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 activeTab="7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</sheets>
  <externalReferences>
    <externalReference r:id="rId25"/>
    <externalReference r:id="rId26"/>
    <externalReference r:id="rId27"/>
    <externalReference r:id="rId28"/>
    <externalReference r:id="rId29"/>
  </externalReferences>
  <definedNames>
    <definedName name="_C111">TH!$Q$10:$Q$2232</definedName>
    <definedName name="_C112">TH!$T$10:$T$2232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'112'!$A$10:$K$73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BTGT!$A$249:$Y$369</definedName>
    <definedName name="_xlnm._FilterDatabase" localSheetId="3" hidden="1">CTTK!$A$13:$J$15</definedName>
    <definedName name="_xlnm._FilterDatabase" localSheetId="12" hidden="1">NXT!$A$11:$N$382</definedName>
    <definedName name="_xlnm._FilterDatabase" localSheetId="1" hidden="1">TH!$A$9:$AD$2111</definedName>
    <definedName name="_xlnm._FilterDatabase" localSheetId="15" hidden="1">TK!$A$1:$J$1</definedName>
    <definedName name="_M">TH!$B$10:$B$2232</definedName>
    <definedName name="_N111">TH!$P$10:$P$2232</definedName>
    <definedName name="_N112">TH!$S$10:$S$2232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TH!$J$10:$J$2232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'131'!$B$6:$B$42</definedName>
    <definedName name="DSGT1">BTGT!$B$6:$B$55</definedName>
    <definedName name="DSGT2">BTGT!$B$63:$B$135</definedName>
    <definedName name="DSGT3">BTGT!$B$144:$B$242</definedName>
    <definedName name="DSGT4">BTGT!$B$250:$B$366</definedName>
    <definedName name="DSKH">'331'!$B$6:$B$16</definedName>
    <definedName name="DSKHusd">'[2]131'!$B$5:$B$15</definedName>
    <definedName name="DSSP1">BTGT!$B$6:$J$55</definedName>
    <definedName name="DSSP2">BTGT!$B$63:$J$135</definedName>
    <definedName name="DSSP3">BTGT!$B$144:$J$242</definedName>
    <definedName name="DSSP4">BTGT!$B$250:$J$366</definedName>
    <definedName name="DSTK">CDPS!$A$10:$D$53</definedName>
    <definedName name="DSTS1">'SO-TS'!$D$14:$D$17</definedName>
    <definedName name="DSTS2">'SO-TS'!#REF!</definedName>
    <definedName name="KH">TH!$H$10:$H$2232</definedName>
    <definedName name="KHC">TH!$M$10:$M$2232</definedName>
    <definedName name="KHN">TH!$L$10:$L$2232</definedName>
    <definedName name="Loai">OFFSET(TH!$N$5,,,COUNTA(TH!$N$5:$N$40542))</definedName>
    <definedName name="Loai1">OFFSET(TH!$O$5,,,COUNTA(TH!$O$5:$O$40542))</definedName>
    <definedName name="Loai2">OFFSET(TH!$R$5,,,COUNTA(TH!$R$5:$R$40542))</definedName>
    <definedName name="Loai3">OFFSET('SO-TS'!$P$14,,,COUNTA('SO-TS'!$P$14:$P$3889))</definedName>
    <definedName name="Loai4">OFFSET(TH!$U$5,,,COUNTA(TH!$U$5:$U$40542))</definedName>
    <definedName name="Loai5">OFFSET(TH!$V$5,,,COUNTA(TH!$V$5:$V$40542))</definedName>
    <definedName name="Loai6">OFFSET(TH!$Z$5,,,COUNTA(TH!$Z$5:$Z$40542))</definedName>
    <definedName name="Loai7">OFFSET(TH!$W$5,,,COUNTA(TH!$W$5:$W$40542))</definedName>
    <definedName name="Loai8">OFFSET(TH!$X$5,,,COUNTA(TH!$X$5:$X$40542))</definedName>
    <definedName name="Loai9">OFFSET(TH!$Y$5,,,COUNTA(TH!$Y$5:$Y$40542))</definedName>
    <definedName name="MH">TH!$F$10:$F$2232</definedName>
    <definedName name="NXT">NXT!$A$12:$A$704</definedName>
    <definedName name="_xlnm.Print_Area" localSheetId="4">'111'!$A$1:$J$78</definedName>
    <definedName name="_xlnm.Print_Area" localSheetId="6">'112'!$A$1:$I$81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'331'!$A$1:$H$25</definedName>
    <definedName name="_xlnm.Print_Area" localSheetId="10">'331-CT'!$A$1:$J$116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BTGT!$A$59:$J$136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NXT!$B$1:$L$387</definedName>
    <definedName name="_xlnm.Print_Area" localSheetId="18">'SO-TS'!$A$1:$O$33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BTGT!$62:$62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TH!$I$10:$I$2232</definedName>
    <definedName name="TH">TH!$K$10:$K$2232</definedName>
    <definedName name="TM">TH!$A$10:$M$2232</definedName>
  </definedNames>
  <calcPr calcId="144525"/>
</workbook>
</file>

<file path=xl/calcChain.xml><?xml version="1.0" encoding="utf-8"?>
<calcChain xmlns="http://schemas.openxmlformats.org/spreadsheetml/2006/main">
  <c r="AC589" i="34" l="1"/>
  <c r="Y589" i="34"/>
  <c r="X589" i="34"/>
  <c r="T589" i="34"/>
  <c r="S589" i="34"/>
  <c r="R589" i="34"/>
  <c r="N589" i="34"/>
  <c r="C589" i="34"/>
  <c r="B589" i="34" s="1"/>
  <c r="AC1063" i="34"/>
  <c r="Y1063" i="34"/>
  <c r="X1063" i="34"/>
  <c r="T1063" i="34"/>
  <c r="S1063" i="34"/>
  <c r="R1063" i="34"/>
  <c r="N1063" i="34"/>
  <c r="C1063" i="34"/>
  <c r="B1063" i="34" s="1"/>
  <c r="AC1068" i="34"/>
  <c r="Y1068" i="34"/>
  <c r="X1068" i="34"/>
  <c r="T1068" i="34"/>
  <c r="S1068" i="34"/>
  <c r="R1068" i="34"/>
  <c r="N1068" i="34"/>
  <c r="C1068" i="34"/>
  <c r="B1068" i="34" s="1"/>
  <c r="AC1051" i="34"/>
  <c r="Y1051" i="34"/>
  <c r="X1051" i="34"/>
  <c r="T1051" i="34"/>
  <c r="S1051" i="34"/>
  <c r="R1051" i="34"/>
  <c r="N1051" i="34"/>
  <c r="C1051" i="34"/>
  <c r="B1051" i="34" s="1"/>
  <c r="AC1039" i="34"/>
  <c r="Y1039" i="34"/>
  <c r="X1039" i="34"/>
  <c r="T1039" i="34"/>
  <c r="S1039" i="34"/>
  <c r="R1039" i="34"/>
  <c r="N1039" i="34"/>
  <c r="C1039" i="34"/>
  <c r="B1039" i="34" s="1"/>
  <c r="AC1035" i="34"/>
  <c r="Y1035" i="34"/>
  <c r="X1035" i="34"/>
  <c r="T1035" i="34"/>
  <c r="S1035" i="34"/>
  <c r="R1035" i="34"/>
  <c r="N1035" i="34"/>
  <c r="C1035" i="34"/>
  <c r="B1035" i="34" s="1"/>
  <c r="AC1015" i="34"/>
  <c r="Y1015" i="34"/>
  <c r="X1015" i="34"/>
  <c r="T1015" i="34"/>
  <c r="S1015" i="34"/>
  <c r="R1015" i="34"/>
  <c r="N1015" i="34"/>
  <c r="C1015" i="34"/>
  <c r="B1015" i="34"/>
  <c r="Z1015" i="34" s="1"/>
  <c r="AC1008" i="34"/>
  <c r="Y1008" i="34"/>
  <c r="X1008" i="34"/>
  <c r="T1008" i="34"/>
  <c r="S1008" i="34"/>
  <c r="R1008" i="34"/>
  <c r="N1008" i="34"/>
  <c r="C1008" i="34"/>
  <c r="B1008" i="34" s="1"/>
  <c r="AC1003" i="34"/>
  <c r="Y1003" i="34"/>
  <c r="X1003" i="34"/>
  <c r="T1003" i="34"/>
  <c r="S1003" i="34"/>
  <c r="R1003" i="34"/>
  <c r="N1003" i="34"/>
  <c r="C1003" i="34"/>
  <c r="B1003" i="34" s="1"/>
  <c r="AC981" i="34"/>
  <c r="Y981" i="34"/>
  <c r="X981" i="34"/>
  <c r="T981" i="34"/>
  <c r="S981" i="34"/>
  <c r="R981" i="34"/>
  <c r="N981" i="34"/>
  <c r="C981" i="34"/>
  <c r="B981" i="34" s="1"/>
  <c r="AC917" i="34"/>
  <c r="Y917" i="34"/>
  <c r="X917" i="34"/>
  <c r="T917" i="34"/>
  <c r="S917" i="34"/>
  <c r="R917" i="34"/>
  <c r="N917" i="34"/>
  <c r="C917" i="34"/>
  <c r="B917" i="34" s="1"/>
  <c r="W917" i="34" s="1"/>
  <c r="AC879" i="34"/>
  <c r="Y879" i="34"/>
  <c r="X879" i="34"/>
  <c r="T879" i="34"/>
  <c r="S879" i="34"/>
  <c r="R879" i="34"/>
  <c r="N879" i="34"/>
  <c r="C879" i="34"/>
  <c r="B879" i="34" s="1"/>
  <c r="AC853" i="34"/>
  <c r="Y853" i="34"/>
  <c r="X853" i="34"/>
  <c r="T853" i="34"/>
  <c r="S853" i="34"/>
  <c r="R853" i="34"/>
  <c r="N853" i="34"/>
  <c r="C853" i="34"/>
  <c r="B853" i="34" s="1"/>
  <c r="AC814" i="34"/>
  <c r="Y814" i="34"/>
  <c r="X814" i="34"/>
  <c r="T814" i="34"/>
  <c r="S814" i="34"/>
  <c r="R814" i="34"/>
  <c r="N814" i="34"/>
  <c r="C814" i="34"/>
  <c r="B814" i="34" s="1"/>
  <c r="W814" i="34" s="1"/>
  <c r="AC781" i="34"/>
  <c r="Y781" i="34"/>
  <c r="X781" i="34"/>
  <c r="T781" i="34"/>
  <c r="S781" i="34"/>
  <c r="R781" i="34"/>
  <c r="N781" i="34"/>
  <c r="C781" i="34"/>
  <c r="B781" i="34" s="1"/>
  <c r="AC759" i="34"/>
  <c r="Y759" i="34"/>
  <c r="X759" i="34"/>
  <c r="T759" i="34"/>
  <c r="S759" i="34"/>
  <c r="R759" i="34"/>
  <c r="N759" i="34"/>
  <c r="C759" i="34"/>
  <c r="B759" i="34" s="1"/>
  <c r="B760" i="34"/>
  <c r="A760" i="34" s="1"/>
  <c r="C760" i="34"/>
  <c r="K760" i="34"/>
  <c r="N760" i="34"/>
  <c r="O760" i="34"/>
  <c r="R760" i="34"/>
  <c r="S760" i="34"/>
  <c r="T760" i="34"/>
  <c r="W760" i="34"/>
  <c r="X760" i="34"/>
  <c r="Y760" i="34"/>
  <c r="AC734" i="34"/>
  <c r="Y734" i="34"/>
  <c r="X734" i="34"/>
  <c r="T734" i="34"/>
  <c r="S734" i="34"/>
  <c r="R734" i="34"/>
  <c r="N734" i="34"/>
  <c r="C734" i="34"/>
  <c r="B734" i="34" s="1"/>
  <c r="AC713" i="34"/>
  <c r="Y713" i="34"/>
  <c r="X713" i="34"/>
  <c r="T713" i="34"/>
  <c r="S713" i="34"/>
  <c r="R713" i="34"/>
  <c r="N713" i="34"/>
  <c r="C713" i="34"/>
  <c r="B713" i="34" s="1"/>
  <c r="AC673" i="34"/>
  <c r="Y673" i="34"/>
  <c r="X673" i="34"/>
  <c r="T673" i="34"/>
  <c r="S673" i="34"/>
  <c r="R673" i="34"/>
  <c r="N673" i="34"/>
  <c r="C673" i="34"/>
  <c r="B673" i="34" s="1"/>
  <c r="AC619" i="34"/>
  <c r="Y619" i="34"/>
  <c r="X619" i="34"/>
  <c r="T619" i="34"/>
  <c r="S619" i="34"/>
  <c r="R619" i="34"/>
  <c r="N619" i="34"/>
  <c r="C619" i="34"/>
  <c r="B619" i="34" s="1"/>
  <c r="AC559" i="34"/>
  <c r="Y559" i="34"/>
  <c r="X559" i="34"/>
  <c r="T559" i="34"/>
  <c r="S559" i="34"/>
  <c r="R559" i="34"/>
  <c r="N559" i="34"/>
  <c r="C559" i="34"/>
  <c r="B559" i="34" s="1"/>
  <c r="AC548" i="34"/>
  <c r="Y548" i="34"/>
  <c r="X548" i="34"/>
  <c r="T548" i="34"/>
  <c r="S548" i="34"/>
  <c r="R548" i="34"/>
  <c r="N548" i="34"/>
  <c r="C548" i="34"/>
  <c r="B548" i="34" s="1"/>
  <c r="AC532" i="34"/>
  <c r="Y532" i="34"/>
  <c r="X532" i="34"/>
  <c r="T532" i="34"/>
  <c r="S532" i="34"/>
  <c r="R532" i="34"/>
  <c r="N532" i="34"/>
  <c r="C532" i="34"/>
  <c r="B532" i="34" s="1"/>
  <c r="AC511" i="34"/>
  <c r="Y511" i="34"/>
  <c r="X511" i="34"/>
  <c r="T511" i="34"/>
  <c r="S511" i="34"/>
  <c r="R511" i="34"/>
  <c r="N511" i="34"/>
  <c r="C511" i="34"/>
  <c r="B511" i="34" s="1"/>
  <c r="AC497" i="34"/>
  <c r="Y497" i="34"/>
  <c r="X497" i="34"/>
  <c r="T497" i="34"/>
  <c r="S497" i="34"/>
  <c r="R497" i="34"/>
  <c r="N497" i="34"/>
  <c r="C497" i="34"/>
  <c r="B497" i="34" s="1"/>
  <c r="AC565" i="34"/>
  <c r="Y565" i="34"/>
  <c r="X565" i="34"/>
  <c r="T565" i="34"/>
  <c r="S565" i="34"/>
  <c r="R565" i="34"/>
  <c r="N565" i="34"/>
  <c r="C565" i="34"/>
  <c r="B565" i="34" s="1"/>
  <c r="AC555" i="34"/>
  <c r="Y555" i="34"/>
  <c r="X555" i="34"/>
  <c r="T555" i="34"/>
  <c r="S555" i="34"/>
  <c r="R555" i="34"/>
  <c r="N555" i="34"/>
  <c r="C555" i="34"/>
  <c r="B555" i="34" s="1"/>
  <c r="AC912" i="34"/>
  <c r="Y912" i="34"/>
  <c r="X912" i="34"/>
  <c r="T912" i="34"/>
  <c r="S912" i="34"/>
  <c r="R912" i="34"/>
  <c r="N912" i="34"/>
  <c r="C912" i="34"/>
  <c r="B912" i="34" s="1"/>
  <c r="AC856" i="34"/>
  <c r="Y856" i="34"/>
  <c r="X856" i="34"/>
  <c r="T856" i="34"/>
  <c r="S856" i="34"/>
  <c r="R856" i="34"/>
  <c r="N856" i="34"/>
  <c r="C856" i="34"/>
  <c r="B856" i="34" s="1"/>
  <c r="AC842" i="34"/>
  <c r="Y842" i="34"/>
  <c r="X842" i="34"/>
  <c r="T842" i="34"/>
  <c r="S842" i="34"/>
  <c r="R842" i="34"/>
  <c r="N842" i="34"/>
  <c r="C842" i="34"/>
  <c r="B842" i="34" s="1"/>
  <c r="AC805" i="34"/>
  <c r="Y805" i="34"/>
  <c r="X805" i="34"/>
  <c r="T805" i="34"/>
  <c r="S805" i="34"/>
  <c r="R805" i="34"/>
  <c r="N805" i="34"/>
  <c r="C805" i="34"/>
  <c r="B805" i="34" s="1"/>
  <c r="AC764" i="34"/>
  <c r="Y764" i="34"/>
  <c r="X764" i="34"/>
  <c r="T764" i="34"/>
  <c r="S764" i="34"/>
  <c r="R764" i="34"/>
  <c r="N764" i="34"/>
  <c r="C764" i="34"/>
  <c r="B764" i="34" s="1"/>
  <c r="AC724" i="34"/>
  <c r="Y724" i="34"/>
  <c r="X724" i="34"/>
  <c r="T724" i="34"/>
  <c r="S724" i="34"/>
  <c r="R724" i="34"/>
  <c r="N724" i="34"/>
  <c r="C724" i="34"/>
  <c r="B724" i="34" s="1"/>
  <c r="AC695" i="34"/>
  <c r="Y695" i="34"/>
  <c r="X695" i="34"/>
  <c r="T695" i="34"/>
  <c r="S695" i="34"/>
  <c r="R695" i="34"/>
  <c r="N695" i="34"/>
  <c r="C695" i="34"/>
  <c r="B695" i="34" s="1"/>
  <c r="AC574" i="34"/>
  <c r="Y574" i="34"/>
  <c r="X574" i="34"/>
  <c r="T574" i="34"/>
  <c r="S574" i="34"/>
  <c r="R574" i="34"/>
  <c r="N574" i="34"/>
  <c r="C574" i="34"/>
  <c r="B574" i="34"/>
  <c r="W574" i="34" s="1"/>
  <c r="AC568" i="34"/>
  <c r="Y568" i="34"/>
  <c r="X568" i="34"/>
  <c r="T568" i="34"/>
  <c r="S568" i="34"/>
  <c r="R568" i="34"/>
  <c r="N568" i="34"/>
  <c r="C568" i="34"/>
  <c r="B568" i="34" s="1"/>
  <c r="AC562" i="34"/>
  <c r="Y562" i="34"/>
  <c r="X562" i="34"/>
  <c r="T562" i="34"/>
  <c r="S562" i="34"/>
  <c r="R562" i="34"/>
  <c r="N562" i="34"/>
  <c r="C562" i="34"/>
  <c r="B562" i="34" s="1"/>
  <c r="W562" i="34" s="1"/>
  <c r="AC542" i="34"/>
  <c r="Y542" i="34"/>
  <c r="X542" i="34"/>
  <c r="T542" i="34"/>
  <c r="S542" i="34"/>
  <c r="R542" i="34"/>
  <c r="N542" i="34"/>
  <c r="C542" i="34"/>
  <c r="B542" i="34" s="1"/>
  <c r="AC517" i="34"/>
  <c r="Y517" i="34"/>
  <c r="X517" i="34"/>
  <c r="T517" i="34"/>
  <c r="S517" i="34"/>
  <c r="R517" i="34"/>
  <c r="N517" i="34"/>
  <c r="C517" i="34"/>
  <c r="B517" i="34" s="1"/>
  <c r="W517" i="34" s="1"/>
  <c r="AC904" i="34"/>
  <c r="Y904" i="34"/>
  <c r="X904" i="34"/>
  <c r="T904" i="34"/>
  <c r="S904" i="34"/>
  <c r="R904" i="34"/>
  <c r="N904" i="34"/>
  <c r="C904" i="34"/>
  <c r="B904" i="34" s="1"/>
  <c r="AC888" i="34"/>
  <c r="Y888" i="34"/>
  <c r="X888" i="34"/>
  <c r="T888" i="34"/>
  <c r="S888" i="34"/>
  <c r="R888" i="34"/>
  <c r="N888" i="34"/>
  <c r="C888" i="34"/>
  <c r="B888" i="34" s="1"/>
  <c r="AC666" i="34"/>
  <c r="Y666" i="34"/>
  <c r="X666" i="34"/>
  <c r="T666" i="34"/>
  <c r="S666" i="34"/>
  <c r="R666" i="34"/>
  <c r="N666" i="34"/>
  <c r="C666" i="34"/>
  <c r="B666" i="34" s="1"/>
  <c r="AC641" i="34"/>
  <c r="Y641" i="34"/>
  <c r="X641" i="34"/>
  <c r="T641" i="34"/>
  <c r="S641" i="34"/>
  <c r="R641" i="34"/>
  <c r="N641" i="34"/>
  <c r="C641" i="34"/>
  <c r="B641" i="34" s="1"/>
  <c r="AC630" i="34"/>
  <c r="Y630" i="34"/>
  <c r="X630" i="34"/>
  <c r="T630" i="34"/>
  <c r="S630" i="34"/>
  <c r="R630" i="34"/>
  <c r="N630" i="34"/>
  <c r="C630" i="34"/>
  <c r="B630" i="34" s="1"/>
  <c r="W630" i="34" s="1"/>
  <c r="AC545" i="34"/>
  <c r="Y545" i="34"/>
  <c r="X545" i="34"/>
  <c r="T545" i="34"/>
  <c r="S545" i="34"/>
  <c r="R545" i="34"/>
  <c r="N545" i="34"/>
  <c r="C545" i="34"/>
  <c r="B545" i="34" s="1"/>
  <c r="AC537" i="34"/>
  <c r="Y537" i="34"/>
  <c r="X537" i="34"/>
  <c r="T537" i="34"/>
  <c r="S537" i="34"/>
  <c r="R537" i="34"/>
  <c r="N537" i="34"/>
  <c r="C537" i="34"/>
  <c r="B537" i="34" s="1"/>
  <c r="Z537" i="34" s="1"/>
  <c r="AC528" i="34"/>
  <c r="Y528" i="34"/>
  <c r="X528" i="34"/>
  <c r="T528" i="34"/>
  <c r="S528" i="34"/>
  <c r="R528" i="34"/>
  <c r="N528" i="34"/>
  <c r="C528" i="34"/>
  <c r="B528" i="34" s="1"/>
  <c r="AC508" i="34"/>
  <c r="Y508" i="34"/>
  <c r="X508" i="34"/>
  <c r="T508" i="34"/>
  <c r="S508" i="34"/>
  <c r="R508" i="34"/>
  <c r="N508" i="34"/>
  <c r="C508" i="34"/>
  <c r="B508" i="34" s="1"/>
  <c r="AC592" i="34"/>
  <c r="Y592" i="34"/>
  <c r="X592" i="34"/>
  <c r="T592" i="34"/>
  <c r="S592" i="34"/>
  <c r="R592" i="34"/>
  <c r="N592" i="34"/>
  <c r="C592" i="34"/>
  <c r="B592" i="34" s="1"/>
  <c r="AC789" i="34"/>
  <c r="Y789" i="34"/>
  <c r="X789" i="34"/>
  <c r="T789" i="34"/>
  <c r="S789" i="34"/>
  <c r="R789" i="34"/>
  <c r="N789" i="34"/>
  <c r="C789" i="34"/>
  <c r="B789" i="34" s="1"/>
  <c r="Z789" i="34" s="1"/>
  <c r="AC623" i="34"/>
  <c r="Y623" i="34"/>
  <c r="X623" i="34"/>
  <c r="T623" i="34"/>
  <c r="S623" i="34"/>
  <c r="R623" i="34"/>
  <c r="N623" i="34"/>
  <c r="C623" i="34"/>
  <c r="B623" i="34" s="1"/>
  <c r="AC986" i="34"/>
  <c r="Y986" i="34"/>
  <c r="X986" i="34"/>
  <c r="T986" i="34"/>
  <c r="S986" i="34"/>
  <c r="R986" i="34"/>
  <c r="N986" i="34"/>
  <c r="C986" i="34"/>
  <c r="B986" i="34" s="1"/>
  <c r="AC863" i="34"/>
  <c r="Y863" i="34"/>
  <c r="X863" i="34"/>
  <c r="T863" i="34"/>
  <c r="S863" i="34"/>
  <c r="R863" i="34"/>
  <c r="N863" i="34"/>
  <c r="C863" i="34"/>
  <c r="B863" i="34" s="1"/>
  <c r="AC802" i="34"/>
  <c r="Y802" i="34"/>
  <c r="X802" i="34"/>
  <c r="T802" i="34"/>
  <c r="S802" i="34"/>
  <c r="R802" i="34"/>
  <c r="N802" i="34"/>
  <c r="C802" i="34"/>
  <c r="B802" i="34" s="1"/>
  <c r="AC698" i="34"/>
  <c r="Y698" i="34"/>
  <c r="X698" i="34"/>
  <c r="T698" i="34"/>
  <c r="S698" i="34"/>
  <c r="R698" i="34"/>
  <c r="N698" i="34"/>
  <c r="C698" i="34"/>
  <c r="B698" i="34" s="1"/>
  <c r="AC514" i="34"/>
  <c r="Y514" i="34"/>
  <c r="X514" i="34"/>
  <c r="T514" i="34"/>
  <c r="S514" i="34"/>
  <c r="R514" i="34"/>
  <c r="N514" i="34"/>
  <c r="C514" i="34"/>
  <c r="B514" i="34" s="1"/>
  <c r="AC959" i="34"/>
  <c r="Y959" i="34"/>
  <c r="X959" i="34"/>
  <c r="T959" i="34"/>
  <c r="S959" i="34"/>
  <c r="R959" i="34"/>
  <c r="N959" i="34"/>
  <c r="C959" i="34"/>
  <c r="B959" i="34" s="1"/>
  <c r="AC956" i="34"/>
  <c r="Y956" i="34"/>
  <c r="X956" i="34"/>
  <c r="T956" i="34"/>
  <c r="S956" i="34"/>
  <c r="R956" i="34"/>
  <c r="N956" i="34"/>
  <c r="C956" i="34"/>
  <c r="B956" i="34" s="1"/>
  <c r="AC946" i="34"/>
  <c r="Y946" i="34"/>
  <c r="X946" i="34"/>
  <c r="T946" i="34"/>
  <c r="S946" i="34"/>
  <c r="R946" i="34"/>
  <c r="N946" i="34"/>
  <c r="C946" i="34"/>
  <c r="B946" i="34" s="1"/>
  <c r="AC936" i="34"/>
  <c r="Y936" i="34"/>
  <c r="X936" i="34"/>
  <c r="T936" i="34"/>
  <c r="S936" i="34"/>
  <c r="R936" i="34"/>
  <c r="N936" i="34"/>
  <c r="C936" i="34"/>
  <c r="B936" i="34" s="1"/>
  <c r="AC1086" i="34"/>
  <c r="Y1086" i="34"/>
  <c r="X1086" i="34"/>
  <c r="T1086" i="34"/>
  <c r="S1086" i="34"/>
  <c r="R1086" i="34"/>
  <c r="N1086" i="34"/>
  <c r="C1086" i="34"/>
  <c r="B1086" i="34" s="1"/>
  <c r="AC1028" i="34"/>
  <c r="Y1028" i="34"/>
  <c r="X1028" i="34"/>
  <c r="T1028" i="34"/>
  <c r="S1028" i="34"/>
  <c r="R1028" i="34"/>
  <c r="N1028" i="34"/>
  <c r="C1028" i="34"/>
  <c r="B1028" i="34" s="1"/>
  <c r="AC1023" i="34"/>
  <c r="Y1023" i="34"/>
  <c r="X1023" i="34"/>
  <c r="T1023" i="34"/>
  <c r="S1023" i="34"/>
  <c r="R1023" i="34"/>
  <c r="N1023" i="34"/>
  <c r="C1023" i="34"/>
  <c r="B1023" i="34" s="1"/>
  <c r="AC963" i="34"/>
  <c r="Y963" i="34"/>
  <c r="X963" i="34"/>
  <c r="T963" i="34"/>
  <c r="S963" i="34"/>
  <c r="R963" i="34"/>
  <c r="N963" i="34"/>
  <c r="C963" i="34"/>
  <c r="B963" i="34" s="1"/>
  <c r="AC745" i="34"/>
  <c r="Y745" i="34"/>
  <c r="X745" i="34"/>
  <c r="T745" i="34"/>
  <c r="S745" i="34"/>
  <c r="R745" i="34"/>
  <c r="N745" i="34"/>
  <c r="C745" i="34"/>
  <c r="B745" i="34" s="1"/>
  <c r="AC657" i="34"/>
  <c r="Y657" i="34"/>
  <c r="X657" i="34"/>
  <c r="T657" i="34"/>
  <c r="S657" i="34"/>
  <c r="R657" i="34"/>
  <c r="N657" i="34"/>
  <c r="C657" i="34"/>
  <c r="B657" i="34" s="1"/>
  <c r="AC616" i="34"/>
  <c r="Y616" i="34"/>
  <c r="X616" i="34"/>
  <c r="T616" i="34"/>
  <c r="S616" i="34"/>
  <c r="R616" i="34"/>
  <c r="N616" i="34"/>
  <c r="C616" i="34"/>
  <c r="B616" i="34" s="1"/>
  <c r="AC601" i="34"/>
  <c r="Y601" i="34"/>
  <c r="X601" i="34"/>
  <c r="T601" i="34"/>
  <c r="S601" i="34"/>
  <c r="R601" i="34"/>
  <c r="N601" i="34"/>
  <c r="C601" i="34"/>
  <c r="B601" i="34"/>
  <c r="W601" i="34" s="1"/>
  <c r="AC595" i="34"/>
  <c r="Y595" i="34"/>
  <c r="X595" i="34"/>
  <c r="T595" i="34"/>
  <c r="S595" i="34"/>
  <c r="R595" i="34"/>
  <c r="N595" i="34"/>
  <c r="C595" i="34"/>
  <c r="B595" i="34" s="1"/>
  <c r="AC652" i="34"/>
  <c r="Y652" i="34"/>
  <c r="X652" i="34"/>
  <c r="T652" i="34"/>
  <c r="S652" i="34"/>
  <c r="R652" i="34"/>
  <c r="N652" i="34"/>
  <c r="C652" i="34"/>
  <c r="B652" i="34" s="1"/>
  <c r="AC649" i="34"/>
  <c r="Y649" i="34"/>
  <c r="X649" i="34"/>
  <c r="T649" i="34"/>
  <c r="S649" i="34"/>
  <c r="R649" i="34"/>
  <c r="N649" i="34"/>
  <c r="C649" i="34"/>
  <c r="B649" i="34" s="1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6" i="70"/>
  <c r="W589" i="34" l="1"/>
  <c r="O589" i="34"/>
  <c r="A589" i="34"/>
  <c r="Z589" i="34"/>
  <c r="U589" i="34"/>
  <c r="Q589" i="34"/>
  <c r="P589" i="34"/>
  <c r="Z759" i="34"/>
  <c r="W759" i="34"/>
  <c r="O759" i="34"/>
  <c r="A759" i="34"/>
  <c r="Z1003" i="34"/>
  <c r="W1003" i="34"/>
  <c r="O1003" i="34"/>
  <c r="A1003" i="34"/>
  <c r="W1008" i="34"/>
  <c r="O1008" i="34"/>
  <c r="A1008" i="34"/>
  <c r="A1015" i="34"/>
  <c r="O1015" i="34"/>
  <c r="W1015" i="34"/>
  <c r="W1063" i="34"/>
  <c r="O1063" i="34"/>
  <c r="A1063" i="34"/>
  <c r="Z1063" i="34"/>
  <c r="U1063" i="34"/>
  <c r="Q1063" i="34"/>
  <c r="P1063" i="34"/>
  <c r="W1068" i="34"/>
  <c r="O1068" i="34"/>
  <c r="A1068" i="34"/>
  <c r="Z1068" i="34"/>
  <c r="U1068" i="34"/>
  <c r="Q1068" i="34"/>
  <c r="P1068" i="34"/>
  <c r="W1051" i="34"/>
  <c r="O1051" i="34"/>
  <c r="A1051" i="34"/>
  <c r="Z1051" i="34"/>
  <c r="U1051" i="34"/>
  <c r="Q1051" i="34"/>
  <c r="P1051" i="34"/>
  <c r="W1039" i="34"/>
  <c r="O1039" i="34"/>
  <c r="A1039" i="34"/>
  <c r="Z1039" i="34"/>
  <c r="U1039" i="34"/>
  <c r="Q1039" i="34"/>
  <c r="P1039" i="34"/>
  <c r="W1035" i="34"/>
  <c r="O1035" i="34"/>
  <c r="A1035" i="34"/>
  <c r="Z1035" i="34"/>
  <c r="U1035" i="34"/>
  <c r="Q1035" i="34"/>
  <c r="P1035" i="34"/>
  <c r="P1015" i="34"/>
  <c r="Q1015" i="34"/>
  <c r="U1015" i="34"/>
  <c r="P1008" i="34"/>
  <c r="Q1008" i="34"/>
  <c r="U1008" i="34"/>
  <c r="Z1008" i="34"/>
  <c r="P1003" i="34"/>
  <c r="Q1003" i="34"/>
  <c r="U1003" i="34"/>
  <c r="W981" i="34"/>
  <c r="O981" i="34"/>
  <c r="A981" i="34"/>
  <c r="Z981" i="34"/>
  <c r="U981" i="34"/>
  <c r="Q981" i="34"/>
  <c r="P981" i="34"/>
  <c r="P917" i="34"/>
  <c r="Q917" i="34"/>
  <c r="U917" i="34"/>
  <c r="Z917" i="34"/>
  <c r="A917" i="34"/>
  <c r="O917" i="34"/>
  <c r="W879" i="34"/>
  <c r="O879" i="34"/>
  <c r="A879" i="34"/>
  <c r="Z879" i="34"/>
  <c r="U879" i="34"/>
  <c r="Q879" i="34"/>
  <c r="P879" i="34"/>
  <c r="W853" i="34"/>
  <c r="O853" i="34"/>
  <c r="A853" i="34"/>
  <c r="Z853" i="34"/>
  <c r="U853" i="34"/>
  <c r="Q853" i="34"/>
  <c r="P853" i="34"/>
  <c r="P814" i="34"/>
  <c r="Q814" i="34"/>
  <c r="U814" i="34"/>
  <c r="Z814" i="34"/>
  <c r="A814" i="34"/>
  <c r="O814" i="34"/>
  <c r="W781" i="34"/>
  <c r="O781" i="34"/>
  <c r="A781" i="34"/>
  <c r="Z781" i="34"/>
  <c r="U781" i="34"/>
  <c r="Q781" i="34"/>
  <c r="P781" i="34"/>
  <c r="P759" i="34"/>
  <c r="Q759" i="34"/>
  <c r="U759" i="34"/>
  <c r="U760" i="34"/>
  <c r="Q760" i="34"/>
  <c r="P760" i="34"/>
  <c r="Z760" i="34"/>
  <c r="W734" i="34"/>
  <c r="O734" i="34"/>
  <c r="A734" i="34"/>
  <c r="Z734" i="34"/>
  <c r="U734" i="34"/>
  <c r="Q734" i="34"/>
  <c r="P734" i="34"/>
  <c r="W713" i="34"/>
  <c r="O713" i="34"/>
  <c r="A713" i="34"/>
  <c r="Z713" i="34"/>
  <c r="U713" i="34"/>
  <c r="Q713" i="34"/>
  <c r="P713" i="34"/>
  <c r="W673" i="34"/>
  <c r="O673" i="34"/>
  <c r="A673" i="34"/>
  <c r="Z673" i="34"/>
  <c r="U673" i="34"/>
  <c r="Q673" i="34"/>
  <c r="P673" i="34"/>
  <c r="W619" i="34"/>
  <c r="O619" i="34"/>
  <c r="A619" i="34"/>
  <c r="Z619" i="34"/>
  <c r="U619" i="34"/>
  <c r="Q619" i="34"/>
  <c r="P619" i="34"/>
  <c r="W559" i="34"/>
  <c r="O559" i="34"/>
  <c r="A559" i="34"/>
  <c r="Z559" i="34"/>
  <c r="U559" i="34"/>
  <c r="Q559" i="34"/>
  <c r="P559" i="34"/>
  <c r="W548" i="34"/>
  <c r="O548" i="34"/>
  <c r="A548" i="34"/>
  <c r="Z548" i="34"/>
  <c r="U548" i="34"/>
  <c r="Q548" i="34"/>
  <c r="P548" i="34"/>
  <c r="W532" i="34"/>
  <c r="O532" i="34"/>
  <c r="A532" i="34"/>
  <c r="Z532" i="34"/>
  <c r="U532" i="34"/>
  <c r="Q532" i="34"/>
  <c r="P532" i="34"/>
  <c r="W511" i="34"/>
  <c r="O511" i="34"/>
  <c r="A511" i="34"/>
  <c r="Z511" i="34"/>
  <c r="U511" i="34"/>
  <c r="Q511" i="34"/>
  <c r="P511" i="34"/>
  <c r="W497" i="34"/>
  <c r="O497" i="34"/>
  <c r="A497" i="34"/>
  <c r="Z497" i="34"/>
  <c r="U497" i="34"/>
  <c r="Q497" i="34"/>
  <c r="P497" i="34"/>
  <c r="W565" i="34"/>
  <c r="O565" i="34"/>
  <c r="A565" i="34"/>
  <c r="Z565" i="34"/>
  <c r="U565" i="34"/>
  <c r="Q565" i="34"/>
  <c r="P565" i="34"/>
  <c r="W555" i="34"/>
  <c r="O555" i="34"/>
  <c r="A555" i="34"/>
  <c r="Z555" i="34"/>
  <c r="U555" i="34"/>
  <c r="Q555" i="34"/>
  <c r="P555" i="34"/>
  <c r="W912" i="34"/>
  <c r="O912" i="34"/>
  <c r="A912" i="34"/>
  <c r="Z912" i="34"/>
  <c r="U912" i="34"/>
  <c r="Q912" i="34"/>
  <c r="P912" i="34"/>
  <c r="W856" i="34"/>
  <c r="O856" i="34"/>
  <c r="A856" i="34"/>
  <c r="Z856" i="34"/>
  <c r="U856" i="34"/>
  <c r="Q856" i="34"/>
  <c r="P856" i="34"/>
  <c r="W842" i="34"/>
  <c r="O842" i="34"/>
  <c r="A842" i="34"/>
  <c r="Z842" i="34"/>
  <c r="U842" i="34"/>
  <c r="Q842" i="34"/>
  <c r="P842" i="34"/>
  <c r="W805" i="34"/>
  <c r="O805" i="34"/>
  <c r="A805" i="34"/>
  <c r="Z805" i="34"/>
  <c r="U805" i="34"/>
  <c r="Q805" i="34"/>
  <c r="P805" i="34"/>
  <c r="W764" i="34"/>
  <c r="O764" i="34"/>
  <c r="A764" i="34"/>
  <c r="Z764" i="34"/>
  <c r="U764" i="34"/>
  <c r="Q764" i="34"/>
  <c r="P764" i="34"/>
  <c r="W724" i="34"/>
  <c r="O724" i="34"/>
  <c r="A724" i="34"/>
  <c r="Z724" i="34"/>
  <c r="U724" i="34"/>
  <c r="Q724" i="34"/>
  <c r="P724" i="34"/>
  <c r="W695" i="34"/>
  <c r="O695" i="34"/>
  <c r="A695" i="34"/>
  <c r="Z695" i="34"/>
  <c r="U695" i="34"/>
  <c r="Q695" i="34"/>
  <c r="P695" i="34"/>
  <c r="P574" i="34"/>
  <c r="Q574" i="34"/>
  <c r="U574" i="34"/>
  <c r="Z574" i="34"/>
  <c r="A574" i="34"/>
  <c r="O574" i="34"/>
  <c r="W568" i="34"/>
  <c r="O568" i="34"/>
  <c r="A568" i="34"/>
  <c r="Z568" i="34"/>
  <c r="U568" i="34"/>
  <c r="Q568" i="34"/>
  <c r="P568" i="34"/>
  <c r="P562" i="34"/>
  <c r="Q562" i="34"/>
  <c r="U562" i="34"/>
  <c r="Z562" i="34"/>
  <c r="A562" i="34"/>
  <c r="O562" i="34"/>
  <c r="W542" i="34"/>
  <c r="O542" i="34"/>
  <c r="A542" i="34"/>
  <c r="Z542" i="34"/>
  <c r="U542" i="34"/>
  <c r="Q542" i="34"/>
  <c r="P542" i="34"/>
  <c r="P517" i="34"/>
  <c r="Q517" i="34"/>
  <c r="U517" i="34"/>
  <c r="Z517" i="34"/>
  <c r="A517" i="34"/>
  <c r="O517" i="34"/>
  <c r="W904" i="34"/>
  <c r="O904" i="34"/>
  <c r="A904" i="34"/>
  <c r="Z904" i="34"/>
  <c r="U904" i="34"/>
  <c r="Q904" i="34"/>
  <c r="P904" i="34"/>
  <c r="W888" i="34"/>
  <c r="O888" i="34"/>
  <c r="A888" i="34"/>
  <c r="Z888" i="34"/>
  <c r="U888" i="34"/>
  <c r="Q888" i="34"/>
  <c r="P888" i="34"/>
  <c r="W666" i="34"/>
  <c r="O666" i="34"/>
  <c r="A666" i="34"/>
  <c r="Z666" i="34"/>
  <c r="U666" i="34"/>
  <c r="Q666" i="34"/>
  <c r="P666" i="34"/>
  <c r="W641" i="34"/>
  <c r="O641" i="34"/>
  <c r="A641" i="34"/>
  <c r="Z641" i="34"/>
  <c r="U641" i="34"/>
  <c r="Q641" i="34"/>
  <c r="P641" i="34"/>
  <c r="P630" i="34"/>
  <c r="Q630" i="34"/>
  <c r="U630" i="34"/>
  <c r="Z630" i="34"/>
  <c r="A630" i="34"/>
  <c r="O630" i="34"/>
  <c r="A789" i="34"/>
  <c r="O789" i="34"/>
  <c r="W789" i="34"/>
  <c r="A537" i="34"/>
  <c r="O537" i="34"/>
  <c r="W537" i="34"/>
  <c r="W545" i="34"/>
  <c r="O545" i="34"/>
  <c r="A545" i="34"/>
  <c r="Z545" i="34"/>
  <c r="U545" i="34"/>
  <c r="Q545" i="34"/>
  <c r="P545" i="34"/>
  <c r="P537" i="34"/>
  <c r="Q537" i="34"/>
  <c r="U537" i="34"/>
  <c r="W528" i="34"/>
  <c r="O528" i="34"/>
  <c r="A528" i="34"/>
  <c r="Z528" i="34"/>
  <c r="U528" i="34"/>
  <c r="Q528" i="34"/>
  <c r="P528" i="34"/>
  <c r="W508" i="34"/>
  <c r="O508" i="34"/>
  <c r="A508" i="34"/>
  <c r="Z508" i="34"/>
  <c r="U508" i="34"/>
  <c r="Q508" i="34"/>
  <c r="P508" i="34"/>
  <c r="W592" i="34"/>
  <c r="O592" i="34"/>
  <c r="A592" i="34"/>
  <c r="Z592" i="34"/>
  <c r="U592" i="34"/>
  <c r="Q592" i="34"/>
  <c r="P592" i="34"/>
  <c r="P789" i="34"/>
  <c r="Q789" i="34"/>
  <c r="U789" i="34"/>
  <c r="W623" i="34"/>
  <c r="O623" i="34"/>
  <c r="A623" i="34"/>
  <c r="Z623" i="34"/>
  <c r="U623" i="34"/>
  <c r="Q623" i="34"/>
  <c r="P623" i="34"/>
  <c r="W986" i="34"/>
  <c r="O986" i="34"/>
  <c r="A986" i="34"/>
  <c r="Z986" i="34"/>
  <c r="U986" i="34"/>
  <c r="Q986" i="34"/>
  <c r="P986" i="34"/>
  <c r="W863" i="34"/>
  <c r="O863" i="34"/>
  <c r="A863" i="34"/>
  <c r="Z863" i="34"/>
  <c r="U863" i="34"/>
  <c r="Q863" i="34"/>
  <c r="P863" i="34"/>
  <c r="W802" i="34"/>
  <c r="O802" i="34"/>
  <c r="A802" i="34"/>
  <c r="Z802" i="34"/>
  <c r="U802" i="34"/>
  <c r="Q802" i="34"/>
  <c r="P802" i="34"/>
  <c r="W698" i="34"/>
  <c r="O698" i="34"/>
  <c r="A698" i="34"/>
  <c r="Z698" i="34"/>
  <c r="U698" i="34"/>
  <c r="Q698" i="34"/>
  <c r="P698" i="34"/>
  <c r="W514" i="34"/>
  <c r="O514" i="34"/>
  <c r="A514" i="34"/>
  <c r="Z514" i="34"/>
  <c r="U514" i="34"/>
  <c r="Q514" i="34"/>
  <c r="P514" i="34"/>
  <c r="W959" i="34"/>
  <c r="O959" i="34"/>
  <c r="A959" i="34"/>
  <c r="Z959" i="34"/>
  <c r="U959" i="34"/>
  <c r="Q959" i="34"/>
  <c r="P959" i="34"/>
  <c r="W956" i="34"/>
  <c r="O956" i="34"/>
  <c r="A956" i="34"/>
  <c r="Z956" i="34"/>
  <c r="U956" i="34"/>
  <c r="Q956" i="34"/>
  <c r="P956" i="34"/>
  <c r="W946" i="34"/>
  <c r="O946" i="34"/>
  <c r="A946" i="34"/>
  <c r="Z946" i="34"/>
  <c r="U946" i="34"/>
  <c r="Q946" i="34"/>
  <c r="P946" i="34"/>
  <c r="W936" i="34"/>
  <c r="O936" i="34"/>
  <c r="A936" i="34"/>
  <c r="Z936" i="34"/>
  <c r="U936" i="34"/>
  <c r="Q936" i="34"/>
  <c r="P936" i="34"/>
  <c r="W1086" i="34"/>
  <c r="O1086" i="34"/>
  <c r="A1086" i="34"/>
  <c r="Z1086" i="34"/>
  <c r="U1086" i="34"/>
  <c r="Q1086" i="34"/>
  <c r="P1086" i="34"/>
  <c r="W1028" i="34"/>
  <c r="O1028" i="34"/>
  <c r="A1028" i="34"/>
  <c r="Z1028" i="34"/>
  <c r="U1028" i="34"/>
  <c r="Q1028" i="34"/>
  <c r="P1028" i="34"/>
  <c r="W1023" i="34"/>
  <c r="O1023" i="34"/>
  <c r="A1023" i="34"/>
  <c r="Z1023" i="34"/>
  <c r="U1023" i="34"/>
  <c r="Q1023" i="34"/>
  <c r="P1023" i="34"/>
  <c r="W963" i="34"/>
  <c r="O963" i="34"/>
  <c r="A963" i="34"/>
  <c r="Z963" i="34"/>
  <c r="U963" i="34"/>
  <c r="Q963" i="34"/>
  <c r="P963" i="34"/>
  <c r="W745" i="34"/>
  <c r="O745" i="34"/>
  <c r="A745" i="34"/>
  <c r="Z745" i="34"/>
  <c r="U745" i="34"/>
  <c r="Q745" i="34"/>
  <c r="P745" i="34"/>
  <c r="W657" i="34"/>
  <c r="O657" i="34"/>
  <c r="A657" i="34"/>
  <c r="Z657" i="34"/>
  <c r="U657" i="34"/>
  <c r="Q657" i="34"/>
  <c r="P657" i="34"/>
  <c r="W616" i="34"/>
  <c r="O616" i="34"/>
  <c r="A616" i="34"/>
  <c r="Z616" i="34"/>
  <c r="U616" i="34"/>
  <c r="Q616" i="34"/>
  <c r="P616" i="34"/>
  <c r="Q601" i="34"/>
  <c r="U601" i="34"/>
  <c r="Z601" i="34"/>
  <c r="P601" i="34"/>
  <c r="A601" i="34"/>
  <c r="O601" i="34"/>
  <c r="W595" i="34"/>
  <c r="O595" i="34"/>
  <c r="A595" i="34"/>
  <c r="Z595" i="34"/>
  <c r="U595" i="34"/>
  <c r="Q595" i="34"/>
  <c r="P595" i="34"/>
  <c r="W652" i="34"/>
  <c r="O652" i="34"/>
  <c r="A652" i="34"/>
  <c r="Z652" i="34"/>
  <c r="U652" i="34"/>
  <c r="Q652" i="34"/>
  <c r="P652" i="34"/>
  <c r="W649" i="34"/>
  <c r="O649" i="34"/>
  <c r="A649" i="34"/>
  <c r="Q649" i="34"/>
  <c r="Z649" i="34"/>
  <c r="P649" i="34"/>
  <c r="U649" i="34"/>
  <c r="P260" i="60" l="1"/>
  <c r="P308" i="60"/>
  <c r="P287" i="60"/>
  <c r="P232" i="60"/>
  <c r="P182" i="60"/>
  <c r="P262" i="60" l="1"/>
  <c r="P335" i="60"/>
  <c r="P311" i="60"/>
  <c r="P306" i="60"/>
  <c r="P353" i="60"/>
  <c r="P281" i="60"/>
  <c r="P279" i="60"/>
  <c r="P348" i="60"/>
  <c r="P282" i="60"/>
  <c r="P318" i="60"/>
  <c r="P286" i="60"/>
  <c r="M154" i="60" l="1"/>
  <c r="P213" i="60"/>
  <c r="P177" i="60"/>
  <c r="P168" i="60"/>
  <c r="P317" i="60"/>
  <c r="P302" i="60"/>
  <c r="P290" i="60"/>
  <c r="P289" i="60"/>
  <c r="P251" i="60"/>
  <c r="P340" i="60"/>
  <c r="P326" i="60" l="1"/>
  <c r="P325" i="60"/>
  <c r="P198" i="60" l="1"/>
  <c r="P190" i="60"/>
  <c r="P234" i="60"/>
  <c r="P221" i="60"/>
  <c r="P181" i="60"/>
  <c r="P170" i="60"/>
  <c r="P164" i="60"/>
  <c r="P219" i="60" l="1"/>
  <c r="P206" i="60"/>
  <c r="P207" i="60"/>
  <c r="P220" i="60"/>
  <c r="P236" i="60"/>
  <c r="P230" i="60"/>
  <c r="P209" i="60"/>
  <c r="P235" i="60"/>
  <c r="P216" i="60"/>
  <c r="P225" i="60"/>
  <c r="P222" i="60"/>
  <c r="P215" i="60"/>
  <c r="P193" i="60"/>
  <c r="P192" i="60"/>
  <c r="P172" i="60"/>
  <c r="P147" i="60"/>
  <c r="P146" i="60"/>
  <c r="P86" i="60" l="1"/>
  <c r="P97" i="60"/>
  <c r="P122" i="60" l="1"/>
  <c r="P89" i="60"/>
  <c r="P113" i="60" l="1"/>
  <c r="P66" i="60"/>
  <c r="P76" i="60"/>
  <c r="P69" i="60"/>
  <c r="P68" i="60"/>
  <c r="P121" i="60"/>
  <c r="P117" i="60"/>
  <c r="P107" i="60"/>
  <c r="P83" i="60"/>
  <c r="P63" i="60"/>
  <c r="P133" i="60"/>
  <c r="R34" i="60"/>
  <c r="P43" i="60"/>
  <c r="P49" i="60"/>
  <c r="P47" i="60"/>
  <c r="P44" i="60"/>
  <c r="C1952" i="34" l="1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6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1771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707" i="34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M251" i="60"/>
  <c r="M252" i="60"/>
  <c r="M253" i="60"/>
  <c r="M254" i="60"/>
  <c r="M255" i="60"/>
  <c r="M256" i="60"/>
  <c r="M257" i="60"/>
  <c r="M258" i="60"/>
  <c r="M259" i="60"/>
  <c r="M260" i="60"/>
  <c r="M261" i="60"/>
  <c r="M262" i="60"/>
  <c r="M263" i="60"/>
  <c r="M264" i="60"/>
  <c r="M265" i="60"/>
  <c r="M266" i="60"/>
  <c r="M267" i="60"/>
  <c r="M268" i="60"/>
  <c r="M269" i="60"/>
  <c r="M270" i="60"/>
  <c r="M271" i="60"/>
  <c r="M272" i="60"/>
  <c r="M273" i="60"/>
  <c r="M274" i="60"/>
  <c r="M275" i="60"/>
  <c r="M276" i="60"/>
  <c r="M277" i="60"/>
  <c r="M278" i="60"/>
  <c r="M279" i="60"/>
  <c r="M280" i="60"/>
  <c r="M281" i="60"/>
  <c r="M282" i="60"/>
  <c r="M283" i="60"/>
  <c r="M284" i="60"/>
  <c r="M285" i="60"/>
  <c r="M286" i="60"/>
  <c r="M287" i="60"/>
  <c r="M288" i="60"/>
  <c r="M289" i="60"/>
  <c r="M290" i="60"/>
  <c r="M291" i="60"/>
  <c r="M292" i="60"/>
  <c r="M293" i="60"/>
  <c r="M294" i="60"/>
  <c r="M295" i="60"/>
  <c r="M296" i="60"/>
  <c r="M297" i="60"/>
  <c r="M298" i="60"/>
  <c r="M299" i="60"/>
  <c r="M300" i="60"/>
  <c r="M301" i="60"/>
  <c r="M302" i="60"/>
  <c r="M303" i="60"/>
  <c r="M304" i="60"/>
  <c r="M305" i="60"/>
  <c r="M306" i="60"/>
  <c r="M307" i="60"/>
  <c r="M308" i="60"/>
  <c r="M309" i="60"/>
  <c r="M310" i="60"/>
  <c r="M311" i="60"/>
  <c r="M312" i="60"/>
  <c r="M313" i="60"/>
  <c r="M314" i="60"/>
  <c r="M315" i="60"/>
  <c r="M316" i="60"/>
  <c r="M317" i="60"/>
  <c r="M318" i="60"/>
  <c r="M319" i="60"/>
  <c r="M320" i="60"/>
  <c r="M321" i="60"/>
  <c r="M322" i="60"/>
  <c r="M323" i="60"/>
  <c r="M324" i="60"/>
  <c r="M325" i="60"/>
  <c r="M326" i="60"/>
  <c r="M327" i="60"/>
  <c r="M328" i="60"/>
  <c r="M329" i="60"/>
  <c r="M330" i="60"/>
  <c r="M331" i="60"/>
  <c r="M332" i="60"/>
  <c r="M333" i="60"/>
  <c r="M334" i="60"/>
  <c r="M335" i="60"/>
  <c r="M336" i="60"/>
  <c r="M337" i="60"/>
  <c r="M338" i="60"/>
  <c r="M339" i="60"/>
  <c r="M340" i="60"/>
  <c r="M341" i="60"/>
  <c r="M342" i="60"/>
  <c r="M343" i="60"/>
  <c r="M344" i="60"/>
  <c r="M345" i="60"/>
  <c r="M346" i="60"/>
  <c r="M347" i="60"/>
  <c r="M348" i="60"/>
  <c r="M349" i="60"/>
  <c r="M350" i="60"/>
  <c r="M351" i="60"/>
  <c r="M352" i="60"/>
  <c r="M353" i="60"/>
  <c r="M354" i="60"/>
  <c r="M355" i="60"/>
  <c r="M356" i="60"/>
  <c r="M357" i="60"/>
  <c r="M358" i="60"/>
  <c r="M359" i="60"/>
  <c r="M360" i="60"/>
  <c r="M361" i="60"/>
  <c r="M362" i="60"/>
  <c r="M363" i="60"/>
  <c r="M364" i="60"/>
  <c r="M365" i="60"/>
  <c r="M250" i="60"/>
  <c r="M145" i="60"/>
  <c r="M146" i="60"/>
  <c r="M147" i="60"/>
  <c r="M148" i="60"/>
  <c r="M149" i="60"/>
  <c r="M150" i="60"/>
  <c r="M151" i="60"/>
  <c r="M152" i="60"/>
  <c r="M153" i="60"/>
  <c r="M155" i="60"/>
  <c r="M156" i="60"/>
  <c r="M157" i="60"/>
  <c r="M158" i="60"/>
  <c r="M159" i="60"/>
  <c r="M160" i="60"/>
  <c r="M161" i="60"/>
  <c r="M162" i="60"/>
  <c r="M163" i="60"/>
  <c r="M164" i="60"/>
  <c r="M165" i="60"/>
  <c r="M166" i="60"/>
  <c r="M167" i="60"/>
  <c r="M168" i="60"/>
  <c r="M169" i="60"/>
  <c r="M170" i="60"/>
  <c r="M171" i="60"/>
  <c r="M172" i="60"/>
  <c r="M173" i="60"/>
  <c r="M174" i="60"/>
  <c r="M175" i="60"/>
  <c r="M176" i="60"/>
  <c r="M177" i="60"/>
  <c r="M178" i="60"/>
  <c r="M179" i="60"/>
  <c r="M180" i="60"/>
  <c r="M181" i="60"/>
  <c r="M182" i="60"/>
  <c r="M183" i="60"/>
  <c r="M184" i="60"/>
  <c r="M185" i="60"/>
  <c r="M186" i="60"/>
  <c r="M187" i="60"/>
  <c r="M188" i="60"/>
  <c r="M189" i="60"/>
  <c r="M190" i="60"/>
  <c r="M191" i="60"/>
  <c r="M192" i="60"/>
  <c r="M193" i="60"/>
  <c r="M194" i="60"/>
  <c r="M195" i="60"/>
  <c r="M196" i="60"/>
  <c r="M197" i="60"/>
  <c r="M198" i="60"/>
  <c r="M199" i="60"/>
  <c r="M200" i="60"/>
  <c r="M201" i="60"/>
  <c r="M202" i="60"/>
  <c r="M203" i="60"/>
  <c r="M204" i="60"/>
  <c r="M205" i="60"/>
  <c r="M206" i="60"/>
  <c r="M207" i="60"/>
  <c r="M208" i="60"/>
  <c r="M209" i="60"/>
  <c r="M210" i="60"/>
  <c r="M211" i="60"/>
  <c r="M212" i="60"/>
  <c r="M213" i="60"/>
  <c r="M214" i="60"/>
  <c r="M215" i="60"/>
  <c r="M216" i="60"/>
  <c r="M217" i="60"/>
  <c r="M218" i="60"/>
  <c r="M219" i="60"/>
  <c r="M220" i="60"/>
  <c r="M221" i="60"/>
  <c r="M222" i="60"/>
  <c r="M223" i="60"/>
  <c r="M224" i="60"/>
  <c r="M225" i="60"/>
  <c r="M226" i="60"/>
  <c r="M227" i="60"/>
  <c r="M228" i="60"/>
  <c r="M229" i="60"/>
  <c r="M230" i="60"/>
  <c r="M231" i="60"/>
  <c r="M232" i="60"/>
  <c r="M233" i="60"/>
  <c r="M234" i="60"/>
  <c r="M235" i="60"/>
  <c r="M236" i="60"/>
  <c r="M237" i="60"/>
  <c r="M238" i="60"/>
  <c r="M239" i="60"/>
  <c r="M240" i="60"/>
  <c r="M241" i="60"/>
  <c r="M144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M102" i="60"/>
  <c r="M103" i="60"/>
  <c r="M104" i="60"/>
  <c r="M105" i="60"/>
  <c r="M106" i="60"/>
  <c r="M107" i="60"/>
  <c r="M108" i="60"/>
  <c r="M109" i="60"/>
  <c r="M110" i="60"/>
  <c r="M111" i="60"/>
  <c r="M112" i="60"/>
  <c r="M113" i="60"/>
  <c r="M114" i="60"/>
  <c r="M115" i="60"/>
  <c r="M116" i="60"/>
  <c r="M117" i="60"/>
  <c r="M118" i="60"/>
  <c r="M119" i="60"/>
  <c r="M120" i="60"/>
  <c r="M121" i="60"/>
  <c r="M122" i="60"/>
  <c r="M123" i="60"/>
  <c r="M124" i="60"/>
  <c r="M125" i="60"/>
  <c r="M126" i="60"/>
  <c r="M127" i="60"/>
  <c r="M128" i="60"/>
  <c r="M129" i="60"/>
  <c r="M130" i="60"/>
  <c r="M131" i="60"/>
  <c r="M132" i="60"/>
  <c r="M133" i="60"/>
  <c r="M134" i="60"/>
  <c r="M63" i="60"/>
  <c r="K1102" i="34"/>
  <c r="K1103" i="34"/>
  <c r="K1104" i="34"/>
  <c r="K1105" i="34"/>
  <c r="K1106" i="34"/>
  <c r="K1107" i="34"/>
  <c r="K1108" i="34"/>
  <c r="K1109" i="34"/>
  <c r="K1110" i="34"/>
  <c r="K1111" i="34"/>
  <c r="K1112" i="34"/>
  <c r="K1113" i="34"/>
  <c r="K1114" i="34"/>
  <c r="K1115" i="34"/>
  <c r="K1116" i="34"/>
  <c r="K1117" i="34"/>
  <c r="K1118" i="34"/>
  <c r="K1119" i="34"/>
  <c r="K1120" i="34"/>
  <c r="K1121" i="34"/>
  <c r="K1122" i="34"/>
  <c r="K1123" i="34"/>
  <c r="K1124" i="34"/>
  <c r="K1125" i="34"/>
  <c r="K1126" i="34"/>
  <c r="K1127" i="34"/>
  <c r="K1128" i="34"/>
  <c r="K1129" i="34"/>
  <c r="K1130" i="34"/>
  <c r="K1131" i="34"/>
  <c r="K1132" i="34"/>
  <c r="K1133" i="34"/>
  <c r="K1134" i="34"/>
  <c r="K1135" i="34"/>
  <c r="K1136" i="34"/>
  <c r="K1137" i="34"/>
  <c r="K1138" i="34"/>
  <c r="K1139" i="34"/>
  <c r="K1140" i="34"/>
  <c r="K1141" i="34"/>
  <c r="K1142" i="34"/>
  <c r="K1143" i="34"/>
  <c r="K1144" i="34"/>
  <c r="K1145" i="34"/>
  <c r="K1146" i="34"/>
  <c r="K1147" i="34"/>
  <c r="K1148" i="34"/>
  <c r="K1149" i="34"/>
  <c r="K1150" i="34"/>
  <c r="K1151" i="34"/>
  <c r="K1152" i="34"/>
  <c r="K1153" i="34"/>
  <c r="K1154" i="34"/>
  <c r="K1155" i="34"/>
  <c r="K1156" i="34"/>
  <c r="K1157" i="34"/>
  <c r="K1158" i="34"/>
  <c r="K1159" i="34"/>
  <c r="K1160" i="34"/>
  <c r="K1161" i="34"/>
  <c r="K1162" i="34"/>
  <c r="K1163" i="34"/>
  <c r="K1164" i="34"/>
  <c r="K1165" i="34"/>
  <c r="K1166" i="34"/>
  <c r="K1167" i="34"/>
  <c r="K1168" i="34"/>
  <c r="K1169" i="34"/>
  <c r="K1170" i="34"/>
  <c r="K1171" i="34"/>
  <c r="K1172" i="34"/>
  <c r="K1173" i="34"/>
  <c r="K1174" i="34"/>
  <c r="K1175" i="34"/>
  <c r="K1176" i="34"/>
  <c r="K1177" i="34"/>
  <c r="K1178" i="34"/>
  <c r="K1179" i="34"/>
  <c r="K1180" i="34"/>
  <c r="K1181" i="34"/>
  <c r="K1182" i="34"/>
  <c r="K1183" i="34"/>
  <c r="K1184" i="34"/>
  <c r="K1185" i="34"/>
  <c r="K1186" i="34"/>
  <c r="K1187" i="34"/>
  <c r="K1188" i="34"/>
  <c r="K1189" i="34"/>
  <c r="K1190" i="34"/>
  <c r="K1191" i="34"/>
  <c r="K1192" i="34"/>
  <c r="K1193" i="34"/>
  <c r="K1194" i="34"/>
  <c r="K1195" i="34"/>
  <c r="K1196" i="34"/>
  <c r="K1197" i="34"/>
  <c r="K1198" i="34"/>
  <c r="K1199" i="34"/>
  <c r="K1200" i="34"/>
  <c r="K1201" i="34"/>
  <c r="K1202" i="34"/>
  <c r="K1203" i="34"/>
  <c r="K1204" i="34"/>
  <c r="K1205" i="34"/>
  <c r="K1206" i="34"/>
  <c r="K1207" i="34"/>
  <c r="K1208" i="34"/>
  <c r="K1209" i="34"/>
  <c r="K1210" i="34"/>
  <c r="K1211" i="34"/>
  <c r="K1212" i="34"/>
  <c r="K1213" i="34"/>
  <c r="K1214" i="34"/>
  <c r="K1215" i="34"/>
  <c r="K1216" i="34"/>
  <c r="K1217" i="34"/>
  <c r="K1218" i="34"/>
  <c r="K1219" i="34"/>
  <c r="K1220" i="34"/>
  <c r="K1221" i="34"/>
  <c r="K1222" i="34"/>
  <c r="K1223" i="34"/>
  <c r="K1224" i="34"/>
  <c r="K1225" i="34"/>
  <c r="K1226" i="34"/>
  <c r="K1227" i="34"/>
  <c r="K1228" i="34"/>
  <c r="K1229" i="34"/>
  <c r="K1230" i="34"/>
  <c r="K1231" i="34"/>
  <c r="K1232" i="34"/>
  <c r="K1233" i="34"/>
  <c r="K1234" i="34"/>
  <c r="K1235" i="34"/>
  <c r="K1236" i="34"/>
  <c r="K1237" i="34"/>
  <c r="K1238" i="34"/>
  <c r="K1239" i="34"/>
  <c r="K1240" i="34"/>
  <c r="K1241" i="34"/>
  <c r="K1242" i="34"/>
  <c r="K1243" i="34"/>
  <c r="K1244" i="34"/>
  <c r="K1245" i="34"/>
  <c r="K1246" i="34"/>
  <c r="K1247" i="34"/>
  <c r="K1248" i="34"/>
  <c r="K1249" i="34"/>
  <c r="K1250" i="34"/>
  <c r="K1251" i="34"/>
  <c r="K1252" i="34"/>
  <c r="K1253" i="34"/>
  <c r="K1254" i="34"/>
  <c r="K1255" i="34"/>
  <c r="K1256" i="34"/>
  <c r="K1257" i="34"/>
  <c r="K1258" i="34"/>
  <c r="K1259" i="34"/>
  <c r="K1260" i="34"/>
  <c r="K1261" i="34"/>
  <c r="K1262" i="34"/>
  <c r="K1263" i="34"/>
  <c r="K1264" i="34"/>
  <c r="K1265" i="34"/>
  <c r="K1266" i="34"/>
  <c r="K1267" i="34"/>
  <c r="K1268" i="34"/>
  <c r="K1269" i="34"/>
  <c r="K1270" i="34"/>
  <c r="K1271" i="34"/>
  <c r="K1272" i="34"/>
  <c r="K1273" i="34"/>
  <c r="K1274" i="34"/>
  <c r="K1275" i="34"/>
  <c r="K1276" i="34"/>
  <c r="K1277" i="34"/>
  <c r="K1278" i="34"/>
  <c r="K1279" i="34"/>
  <c r="K1280" i="34"/>
  <c r="K1281" i="34"/>
  <c r="K1282" i="34"/>
  <c r="K1283" i="34"/>
  <c r="K1284" i="34"/>
  <c r="K1285" i="34"/>
  <c r="K1286" i="34"/>
  <c r="K1287" i="34"/>
  <c r="K1288" i="34"/>
  <c r="K1289" i="34"/>
  <c r="K1290" i="34"/>
  <c r="K1291" i="34"/>
  <c r="K1292" i="34"/>
  <c r="K1293" i="34"/>
  <c r="K1294" i="34"/>
  <c r="K1295" i="34"/>
  <c r="K1296" i="34"/>
  <c r="K1297" i="34"/>
  <c r="K1298" i="34"/>
  <c r="K1299" i="34"/>
  <c r="K1300" i="34"/>
  <c r="K1301" i="34"/>
  <c r="K1302" i="34"/>
  <c r="K1303" i="34"/>
  <c r="K1304" i="34"/>
  <c r="K1305" i="34"/>
  <c r="K1306" i="34"/>
  <c r="K1307" i="34"/>
  <c r="K1308" i="34"/>
  <c r="K1309" i="34"/>
  <c r="K1310" i="34"/>
  <c r="K1311" i="34"/>
  <c r="K1312" i="34"/>
  <c r="K1313" i="34"/>
  <c r="K1314" i="34"/>
  <c r="K1315" i="34"/>
  <c r="K1316" i="34"/>
  <c r="K1317" i="34"/>
  <c r="K1318" i="34"/>
  <c r="K1319" i="34"/>
  <c r="K1320" i="34"/>
  <c r="K1321" i="34"/>
  <c r="K1322" i="34"/>
  <c r="K1323" i="34"/>
  <c r="K1324" i="34"/>
  <c r="K1325" i="34"/>
  <c r="K1326" i="34"/>
  <c r="K1327" i="34"/>
  <c r="K1328" i="34"/>
  <c r="K1329" i="34"/>
  <c r="K1330" i="34"/>
  <c r="K1331" i="34"/>
  <c r="K1332" i="34"/>
  <c r="K1333" i="34"/>
  <c r="K1334" i="34"/>
  <c r="K1335" i="34"/>
  <c r="K1336" i="34"/>
  <c r="K1337" i="34"/>
  <c r="K1338" i="34"/>
  <c r="K1339" i="34"/>
  <c r="K1340" i="34"/>
  <c r="K1341" i="34"/>
  <c r="K1342" i="34"/>
  <c r="K1343" i="34"/>
  <c r="K1344" i="34"/>
  <c r="K1345" i="34"/>
  <c r="K1346" i="34"/>
  <c r="K1347" i="34"/>
  <c r="K1348" i="34"/>
  <c r="K1349" i="34"/>
  <c r="K1350" i="34"/>
  <c r="K1351" i="34"/>
  <c r="K1352" i="34"/>
  <c r="K1353" i="34"/>
  <c r="K1354" i="34"/>
  <c r="K1355" i="34"/>
  <c r="K1356" i="34"/>
  <c r="K1357" i="34"/>
  <c r="K1358" i="34"/>
  <c r="K1359" i="34"/>
  <c r="K1360" i="34"/>
  <c r="K1361" i="34"/>
  <c r="K1362" i="34"/>
  <c r="K1363" i="34"/>
  <c r="K1364" i="34"/>
  <c r="K1365" i="34"/>
  <c r="K1366" i="34"/>
  <c r="K1367" i="34"/>
  <c r="K1368" i="34"/>
  <c r="K1369" i="34"/>
  <c r="K1370" i="34"/>
  <c r="K1371" i="34"/>
  <c r="K1372" i="34"/>
  <c r="K1373" i="34"/>
  <c r="K1374" i="34"/>
  <c r="K1375" i="34"/>
  <c r="K1376" i="34"/>
  <c r="K1377" i="34"/>
  <c r="K1378" i="34"/>
  <c r="K1379" i="34"/>
  <c r="K1380" i="34"/>
  <c r="K1381" i="34"/>
  <c r="K1382" i="34"/>
  <c r="K1383" i="34"/>
  <c r="K1384" i="34"/>
  <c r="K1385" i="34"/>
  <c r="K1386" i="34"/>
  <c r="K1387" i="34"/>
  <c r="K1388" i="34"/>
  <c r="K1389" i="34"/>
  <c r="K1390" i="34"/>
  <c r="K1391" i="34"/>
  <c r="K1392" i="34"/>
  <c r="K1393" i="34"/>
  <c r="K1394" i="34"/>
  <c r="K1395" i="34"/>
  <c r="K1396" i="34"/>
  <c r="K1397" i="34"/>
  <c r="K1398" i="34"/>
  <c r="K1399" i="34"/>
  <c r="K1400" i="34"/>
  <c r="K1401" i="34"/>
  <c r="K1402" i="34"/>
  <c r="K1403" i="34"/>
  <c r="K1404" i="34"/>
  <c r="K1405" i="34"/>
  <c r="K1406" i="34"/>
  <c r="K1407" i="34"/>
  <c r="K1408" i="34"/>
  <c r="K1409" i="34"/>
  <c r="K1410" i="34"/>
  <c r="K1411" i="34"/>
  <c r="K1412" i="34"/>
  <c r="K1413" i="34"/>
  <c r="K1414" i="34"/>
  <c r="K1415" i="34"/>
  <c r="K1416" i="34"/>
  <c r="K1417" i="34"/>
  <c r="K1418" i="34"/>
  <c r="K1419" i="34"/>
  <c r="K1420" i="34"/>
  <c r="K1421" i="34"/>
  <c r="K1422" i="34"/>
  <c r="K1423" i="34"/>
  <c r="K1424" i="34"/>
  <c r="K1425" i="34"/>
  <c r="K1426" i="34"/>
  <c r="K1427" i="34"/>
  <c r="K1428" i="34"/>
  <c r="K1429" i="34"/>
  <c r="K1430" i="34"/>
  <c r="K1431" i="34"/>
  <c r="K1432" i="34"/>
  <c r="K1433" i="34"/>
  <c r="K1434" i="34"/>
  <c r="K1435" i="34"/>
  <c r="K1436" i="34"/>
  <c r="K1437" i="34"/>
  <c r="K1438" i="34"/>
  <c r="K1439" i="34"/>
  <c r="K1440" i="34"/>
  <c r="K1441" i="34"/>
  <c r="K1442" i="34"/>
  <c r="K1443" i="34"/>
  <c r="K1444" i="34"/>
  <c r="K1445" i="34"/>
  <c r="K1446" i="34"/>
  <c r="K1447" i="34"/>
  <c r="K1448" i="34"/>
  <c r="K1449" i="34"/>
  <c r="K1450" i="34"/>
  <c r="K1451" i="34"/>
  <c r="K1452" i="34"/>
  <c r="K1453" i="34"/>
  <c r="K1454" i="34"/>
  <c r="K1455" i="34"/>
  <c r="K1456" i="34"/>
  <c r="K1457" i="34"/>
  <c r="K1458" i="34"/>
  <c r="K1459" i="34"/>
  <c r="K1460" i="34"/>
  <c r="K1461" i="34"/>
  <c r="K1462" i="34"/>
  <c r="K1463" i="34"/>
  <c r="K1464" i="34"/>
  <c r="K1465" i="34"/>
  <c r="K1466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494" i="34"/>
  <c r="K1495" i="34"/>
  <c r="K1496" i="34"/>
  <c r="K1497" i="34"/>
  <c r="K1498" i="34"/>
  <c r="K1499" i="34"/>
  <c r="K1500" i="34"/>
  <c r="K1501" i="34"/>
  <c r="K1502" i="34"/>
  <c r="K1503" i="34"/>
  <c r="K1504" i="34"/>
  <c r="K1505" i="34"/>
  <c r="K1506" i="34"/>
  <c r="K1507" i="34"/>
  <c r="K1508" i="34"/>
  <c r="K1509" i="34"/>
  <c r="K1510" i="34"/>
  <c r="K1511" i="34"/>
  <c r="K1512" i="34"/>
  <c r="K1513" i="34"/>
  <c r="K1514" i="34"/>
  <c r="K1515" i="34"/>
  <c r="K1516" i="34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618" i="34"/>
  <c r="K1619" i="34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101" i="34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8" i="60"/>
  <c r="M7" i="60"/>
  <c r="M6" i="60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4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101" i="34"/>
  <c r="C53" i="34" l="1"/>
  <c r="C54" i="34"/>
  <c r="C55" i="34"/>
  <c r="F55" i="34"/>
  <c r="K55" i="34"/>
  <c r="C56" i="34"/>
  <c r="C57" i="34"/>
  <c r="C58" i="34"/>
  <c r="F58" i="34"/>
  <c r="K58" i="34"/>
  <c r="C59" i="34"/>
  <c r="C60" i="34"/>
  <c r="C61" i="34"/>
  <c r="F61" i="34"/>
  <c r="K61" i="34"/>
  <c r="C41" i="34"/>
  <c r="C42" i="34"/>
  <c r="C43" i="34"/>
  <c r="F43" i="34"/>
  <c r="K43" i="34"/>
  <c r="C44" i="34"/>
  <c r="C45" i="34"/>
  <c r="C46" i="34"/>
  <c r="F46" i="34"/>
  <c r="K46" i="34"/>
  <c r="C47" i="34"/>
  <c r="C48" i="34"/>
  <c r="C49" i="34"/>
  <c r="F49" i="34"/>
  <c r="K49" i="34"/>
  <c r="C50" i="34"/>
  <c r="C51" i="34"/>
  <c r="C52" i="34"/>
  <c r="F52" i="34"/>
  <c r="K52" i="34"/>
  <c r="C29" i="34"/>
  <c r="C30" i="34"/>
  <c r="C31" i="34"/>
  <c r="F31" i="34"/>
  <c r="K31" i="34"/>
  <c r="C32" i="34"/>
  <c r="C33" i="34"/>
  <c r="C34" i="34"/>
  <c r="F34" i="34"/>
  <c r="K34" i="34"/>
  <c r="C35" i="34"/>
  <c r="C36" i="34"/>
  <c r="C37" i="34"/>
  <c r="F37" i="34"/>
  <c r="K37" i="34"/>
  <c r="C38" i="34"/>
  <c r="C39" i="34"/>
  <c r="C40" i="34"/>
  <c r="F40" i="34"/>
  <c r="K40" i="34"/>
  <c r="C27" i="34"/>
  <c r="C28" i="34"/>
  <c r="C26" i="34"/>
  <c r="F28" i="34"/>
  <c r="K28" i="34"/>
  <c r="B62" i="34" l="1"/>
  <c r="A62" i="34" s="1"/>
  <c r="B63" i="34"/>
  <c r="A63" i="34" s="1"/>
  <c r="B64" i="34"/>
  <c r="A64" i="34" s="1"/>
  <c r="B65" i="34"/>
  <c r="A65" i="34" s="1"/>
  <c r="C23" i="34"/>
  <c r="B23" i="34" s="1"/>
  <c r="A23" i="34" s="1"/>
  <c r="C24" i="34"/>
  <c r="B24" i="34" s="1"/>
  <c r="A24" i="34" s="1"/>
  <c r="C25" i="34"/>
  <c r="B25" i="34" s="1"/>
  <c r="A25" i="34" s="1"/>
  <c r="C22" i="34"/>
  <c r="B22" i="34" s="1"/>
  <c r="A22" i="34" s="1"/>
  <c r="K1094" i="34" l="1"/>
  <c r="K1095" i="34"/>
  <c r="K1096" i="34"/>
  <c r="K1097" i="34"/>
  <c r="K1098" i="34"/>
  <c r="K1099" i="34"/>
  <c r="K1100" i="34"/>
  <c r="K1093" i="34"/>
  <c r="K1078" i="34"/>
  <c r="C1100" i="34"/>
  <c r="C1099" i="34"/>
  <c r="C1098" i="34"/>
  <c r="C1097" i="34"/>
  <c r="C1096" i="34"/>
  <c r="C1095" i="34"/>
  <c r="C1093" i="34"/>
  <c r="C1094" i="34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25" i="60"/>
  <c r="A26" i="60"/>
  <c r="A27" i="60"/>
  <c r="A28" i="60"/>
  <c r="A29" i="60"/>
  <c r="A30" i="60"/>
  <c r="A31" i="60"/>
  <c r="A32" i="60"/>
  <c r="A33" i="60"/>
  <c r="A34" i="60"/>
  <c r="A35" i="60"/>
  <c r="A36" i="60"/>
  <c r="A37" i="60"/>
  <c r="A38" i="60"/>
  <c r="A39" i="60"/>
  <c r="A40" i="60"/>
  <c r="A41" i="60"/>
  <c r="A42" i="60"/>
  <c r="A43" i="60"/>
  <c r="A44" i="60"/>
  <c r="A45" i="60"/>
  <c r="A46" i="60"/>
  <c r="A47" i="60"/>
  <c r="A48" i="60"/>
  <c r="A49" i="60"/>
  <c r="A50" i="60"/>
  <c r="A51" i="60"/>
  <c r="A52" i="60"/>
  <c r="A53" i="60"/>
  <c r="A54" i="60"/>
  <c r="A6" i="60"/>
  <c r="I81" i="55" l="1" a="1"/>
  <c r="I81" i="55" s="1"/>
  <c r="G81" i="55" a="1"/>
  <c r="G81" i="55" s="1"/>
  <c r="B81" i="55"/>
  <c r="A81" i="55" s="1"/>
  <c r="I80" i="55" a="1"/>
  <c r="I80" i="55" s="1"/>
  <c r="G80" i="55" a="1"/>
  <c r="G80" i="55" s="1"/>
  <c r="B80" i="55"/>
  <c r="A80" i="55" s="1"/>
  <c r="I79" i="55" a="1"/>
  <c r="I79" i="55" s="1"/>
  <c r="G79" i="55" a="1"/>
  <c r="G79" i="55" s="1"/>
  <c r="B79" i="55"/>
  <c r="A79" i="55" s="1"/>
  <c r="I78" i="55" a="1"/>
  <c r="I78" i="55" s="1"/>
  <c r="G78" i="55" a="1"/>
  <c r="G78" i="55" s="1"/>
  <c r="B78" i="55"/>
  <c r="A78" i="55" s="1"/>
  <c r="I77" i="55" a="1"/>
  <c r="I77" i="55" s="1"/>
  <c r="G77" i="55" a="1"/>
  <c r="G77" i="55" s="1"/>
  <c r="B77" i="55"/>
  <c r="A77" i="55" s="1"/>
  <c r="I76" i="55" a="1"/>
  <c r="I76" i="55" s="1"/>
  <c r="G76" i="55" a="1"/>
  <c r="G76" i="55" s="1"/>
  <c r="B76" i="55"/>
  <c r="A76" i="55" s="1"/>
  <c r="I75" i="55" a="1"/>
  <c r="I75" i="55" s="1"/>
  <c r="G75" i="55" a="1"/>
  <c r="G75" i="55" s="1"/>
  <c r="B75" i="55"/>
  <c r="A75" i="55" s="1"/>
  <c r="I74" i="55" a="1"/>
  <c r="I74" i="55" s="1"/>
  <c r="G74" i="55" a="1"/>
  <c r="G74" i="55" s="1"/>
  <c r="B74" i="55"/>
  <c r="A74" i="55" s="1"/>
  <c r="I73" i="55" a="1"/>
  <c r="I73" i="55" s="1"/>
  <c r="G73" i="55" a="1"/>
  <c r="G73" i="55" s="1"/>
  <c r="B73" i="55"/>
  <c r="A73" i="55" s="1"/>
  <c r="I72" i="55" a="1"/>
  <c r="I72" i="55" s="1"/>
  <c r="G72" i="55" a="1"/>
  <c r="G72" i="55" s="1"/>
  <c r="B72" i="55"/>
  <c r="A72" i="55" s="1"/>
  <c r="I71" i="55" a="1"/>
  <c r="I71" i="55" s="1"/>
  <c r="G71" i="55" a="1"/>
  <c r="G71" i="55" s="1"/>
  <c r="B71" i="55"/>
  <c r="A71" i="55" s="1"/>
  <c r="I70" i="55" a="1"/>
  <c r="I70" i="55" s="1"/>
  <c r="G70" i="55" a="1"/>
  <c r="G70" i="55" s="1"/>
  <c r="B70" i="55"/>
  <c r="A70" i="55" s="1"/>
  <c r="I69" i="55" a="1"/>
  <c r="I69" i="55" s="1"/>
  <c r="G69" i="55" a="1"/>
  <c r="G69" i="55" s="1"/>
  <c r="B69" i="55"/>
  <c r="A69" i="55" s="1"/>
  <c r="I68" i="55" a="1"/>
  <c r="I68" i="55" s="1"/>
  <c r="G68" i="55" a="1"/>
  <c r="G68" i="55" s="1"/>
  <c r="B68" i="55"/>
  <c r="A68" i="55" s="1"/>
  <c r="I67" i="55" a="1"/>
  <c r="I67" i="55" s="1"/>
  <c r="G67" i="55" a="1"/>
  <c r="G67" i="55" s="1"/>
  <c r="B67" i="55"/>
  <c r="A67" i="55" s="1"/>
  <c r="I66" i="55" a="1"/>
  <c r="I66" i="55" s="1"/>
  <c r="G66" i="55" a="1"/>
  <c r="G66" i="55" s="1"/>
  <c r="B66" i="55"/>
  <c r="A66" i="55" s="1"/>
  <c r="I65" i="55" a="1"/>
  <c r="I65" i="55" s="1"/>
  <c r="G65" i="55" a="1"/>
  <c r="G65" i="55" s="1"/>
  <c r="B65" i="55"/>
  <c r="A65" i="55" s="1"/>
  <c r="I64" i="55" a="1"/>
  <c r="I64" i="55" s="1"/>
  <c r="G64" i="55" a="1"/>
  <c r="G64" i="55" s="1"/>
  <c r="B64" i="55"/>
  <c r="A64" i="55" s="1"/>
  <c r="I63" i="55" a="1"/>
  <c r="I63" i="55" s="1"/>
  <c r="G63" i="55" a="1"/>
  <c r="G63" i="55" s="1"/>
  <c r="B63" i="55"/>
  <c r="A63" i="55" s="1"/>
  <c r="I62" i="55" a="1"/>
  <c r="I62" i="55" s="1"/>
  <c r="G62" i="55" a="1"/>
  <c r="G62" i="55" s="1"/>
  <c r="B62" i="55"/>
  <c r="A62" i="55" s="1"/>
  <c r="I61" i="55" a="1"/>
  <c r="I61" i="55" s="1"/>
  <c r="G61" i="55" a="1"/>
  <c r="G61" i="55" s="1"/>
  <c r="B61" i="55"/>
  <c r="A61" i="55" s="1"/>
  <c r="I60" i="55" a="1"/>
  <c r="I60" i="55" s="1"/>
  <c r="G60" i="55" a="1"/>
  <c r="G60" i="55" s="1"/>
  <c r="B60" i="55"/>
  <c r="A60" i="55" s="1"/>
  <c r="I59" i="55" a="1"/>
  <c r="I59" i="55" s="1"/>
  <c r="G59" i="55" a="1"/>
  <c r="G59" i="55" s="1"/>
  <c r="B59" i="55"/>
  <c r="A59" i="55" s="1"/>
  <c r="I58" i="55" a="1"/>
  <c r="I58" i="55" s="1"/>
  <c r="G58" i="55" a="1"/>
  <c r="G58" i="55" s="1"/>
  <c r="B58" i="55"/>
  <c r="A58" i="55" s="1"/>
  <c r="I57" i="55" a="1"/>
  <c r="I57" i="55" s="1"/>
  <c r="G57" i="55" a="1"/>
  <c r="G57" i="55" s="1"/>
  <c r="B57" i="55"/>
  <c r="A57" i="55" s="1"/>
  <c r="I56" i="55" a="1"/>
  <c r="I56" i="55" s="1"/>
  <c r="G56" i="55" a="1"/>
  <c r="G56" i="55" s="1"/>
  <c r="B56" i="55"/>
  <c r="A56" i="55" s="1"/>
  <c r="I55" i="55" a="1"/>
  <c r="I55" i="55" s="1"/>
  <c r="G55" i="55" a="1"/>
  <c r="G55" i="55" s="1"/>
  <c r="B55" i="55"/>
  <c r="A55" i="55" s="1"/>
  <c r="I54" i="55" a="1"/>
  <c r="I54" i="55" s="1"/>
  <c r="G54" i="55" a="1"/>
  <c r="G54" i="55" s="1"/>
  <c r="B54" i="55"/>
  <c r="A54" i="55" s="1"/>
  <c r="I53" i="55" a="1"/>
  <c r="I53" i="55" s="1"/>
  <c r="G53" i="55" a="1"/>
  <c r="G53" i="55" s="1"/>
  <c r="B53" i="55"/>
  <c r="A53" i="55" s="1"/>
  <c r="I52" i="55" a="1"/>
  <c r="I52" i="55" s="1"/>
  <c r="G52" i="55" a="1"/>
  <c r="G52" i="55" s="1"/>
  <c r="B52" i="55"/>
  <c r="A52" i="55" s="1"/>
  <c r="I51" i="55" a="1"/>
  <c r="I51" i="55" s="1"/>
  <c r="G51" i="55" a="1"/>
  <c r="G51" i="55" s="1"/>
  <c r="B51" i="55"/>
  <c r="A51" i="55" s="1"/>
  <c r="I50" i="55" a="1"/>
  <c r="I50" i="55" s="1"/>
  <c r="G50" i="55" a="1"/>
  <c r="G50" i="55" s="1"/>
  <c r="B50" i="55"/>
  <c r="A50" i="55" s="1"/>
  <c r="I49" i="55" a="1"/>
  <c r="I49" i="55" s="1"/>
  <c r="G49" i="55" a="1"/>
  <c r="G49" i="55" s="1"/>
  <c r="B49" i="55"/>
  <c r="A49" i="55" s="1"/>
  <c r="I48" i="55" a="1"/>
  <c r="I48" i="55" s="1"/>
  <c r="G48" i="55" a="1"/>
  <c r="G48" i="55" s="1"/>
  <c r="B48" i="55"/>
  <c r="A48" i="55" s="1"/>
  <c r="I47" i="55" a="1"/>
  <c r="I47" i="55" s="1"/>
  <c r="G47" i="55" a="1"/>
  <c r="G47" i="55" s="1"/>
  <c r="B47" i="55"/>
  <c r="A47" i="55" s="1"/>
  <c r="I46" i="55" a="1"/>
  <c r="I46" i="55" s="1"/>
  <c r="G46" i="55" a="1"/>
  <c r="G46" i="55" s="1"/>
  <c r="B46" i="55"/>
  <c r="A46" i="55" s="1"/>
  <c r="I45" i="55" a="1"/>
  <c r="I45" i="55" s="1"/>
  <c r="G45" i="55" a="1"/>
  <c r="G45" i="55" s="1"/>
  <c r="B45" i="55"/>
  <c r="A45" i="55" s="1"/>
  <c r="I44" i="55" a="1"/>
  <c r="I44" i="55" s="1"/>
  <c r="G44" i="55" a="1"/>
  <c r="G44" i="55" s="1"/>
  <c r="B44" i="55"/>
  <c r="A44" i="55" s="1"/>
  <c r="I43" i="55" a="1"/>
  <c r="I43" i="55" s="1"/>
  <c r="G43" i="55" a="1"/>
  <c r="G43" i="55" s="1"/>
  <c r="B43" i="55"/>
  <c r="A43" i="55" s="1"/>
  <c r="I42" i="55" a="1"/>
  <c r="I42" i="55" s="1"/>
  <c r="G42" i="55" a="1"/>
  <c r="G42" i="55" s="1"/>
  <c r="B42" i="55"/>
  <c r="A42" i="55" s="1"/>
  <c r="I41" i="55" a="1"/>
  <c r="I41" i="55" s="1"/>
  <c r="G41" i="55" a="1"/>
  <c r="G41" i="55" s="1"/>
  <c r="B41" i="55"/>
  <c r="A41" i="55" s="1"/>
  <c r="I40" i="55" a="1"/>
  <c r="I40" i="55" s="1"/>
  <c r="G40" i="55" a="1"/>
  <c r="G40" i="55" s="1"/>
  <c r="B40" i="55"/>
  <c r="A40" i="55" s="1"/>
  <c r="I39" i="55" a="1"/>
  <c r="I39" i="55" s="1"/>
  <c r="G39" i="55" a="1"/>
  <c r="G39" i="55" s="1"/>
  <c r="B39" i="55"/>
  <c r="A39" i="55" s="1"/>
  <c r="I38" i="55" a="1"/>
  <c r="I38" i="55" s="1"/>
  <c r="G38" i="55" a="1"/>
  <c r="G38" i="55" s="1"/>
  <c r="B38" i="55"/>
  <c r="A38" i="55" s="1"/>
  <c r="I37" i="55" a="1"/>
  <c r="I37" i="55" s="1"/>
  <c r="G37" i="55" a="1"/>
  <c r="G37" i="55" s="1"/>
  <c r="B37" i="55"/>
  <c r="A37" i="55" s="1"/>
  <c r="I36" i="55" a="1"/>
  <c r="I36" i="55" s="1"/>
  <c r="G36" i="55" a="1"/>
  <c r="G36" i="55" s="1"/>
  <c r="B36" i="55"/>
  <c r="A36" i="55" s="1"/>
  <c r="I35" i="55" a="1"/>
  <c r="I35" i="55" s="1"/>
  <c r="G35" i="55" a="1"/>
  <c r="G35" i="55" s="1"/>
  <c r="B35" i="55"/>
  <c r="A35" i="55" s="1"/>
  <c r="I34" i="55" a="1"/>
  <c r="I34" i="55" s="1"/>
  <c r="G34" i="55" a="1"/>
  <c r="G34" i="55" s="1"/>
  <c r="B34" i="55"/>
  <c r="A34" i="55" s="1"/>
  <c r="I33" i="55" a="1"/>
  <c r="I33" i="55" s="1"/>
  <c r="G33" i="55" a="1"/>
  <c r="G33" i="55" s="1"/>
  <c r="B33" i="55"/>
  <c r="A33" i="55" s="1"/>
  <c r="I32" i="55" a="1"/>
  <c r="I32" i="55" s="1"/>
  <c r="G32" i="55" a="1"/>
  <c r="G32" i="55" s="1"/>
  <c r="B32" i="55"/>
  <c r="A32" i="55" s="1"/>
  <c r="I31" i="55" a="1"/>
  <c r="I31" i="55" s="1"/>
  <c r="G31" i="55" a="1"/>
  <c r="G31" i="55" s="1"/>
  <c r="B31" i="55"/>
  <c r="A31" i="55" s="1"/>
  <c r="I30" i="55" a="1"/>
  <c r="I30" i="55" s="1"/>
  <c r="G30" i="55" a="1"/>
  <c r="G30" i="55" s="1"/>
  <c r="B30" i="55"/>
  <c r="A30" i="55" s="1"/>
  <c r="I29" i="55" a="1"/>
  <c r="I29" i="55" s="1"/>
  <c r="G29" i="55" a="1"/>
  <c r="G29" i="55" s="1"/>
  <c r="B29" i="55"/>
  <c r="A29" i="55" s="1"/>
  <c r="I28" i="55" a="1"/>
  <c r="I28" i="55" s="1"/>
  <c r="G28" i="55" a="1"/>
  <c r="G28" i="55" s="1"/>
  <c r="B28" i="55"/>
  <c r="A28" i="55" s="1"/>
  <c r="I132" i="55" a="1"/>
  <c r="I132" i="55" s="1"/>
  <c r="G132" i="55" a="1"/>
  <c r="G132" i="55" s="1"/>
  <c r="B132" i="55"/>
  <c r="A132" i="55" s="1"/>
  <c r="I131" i="55" a="1"/>
  <c r="I131" i="55" s="1"/>
  <c r="G131" i="55" a="1"/>
  <c r="G131" i="55" s="1"/>
  <c r="B131" i="55"/>
  <c r="A131" i="55" s="1"/>
  <c r="I130" i="55" a="1"/>
  <c r="I130" i="55" s="1"/>
  <c r="G130" i="55" a="1"/>
  <c r="G130" i="55" s="1"/>
  <c r="B130" i="55"/>
  <c r="A130" i="55" s="1"/>
  <c r="I129" i="55" a="1"/>
  <c r="I129" i="55" s="1"/>
  <c r="G129" i="55" a="1"/>
  <c r="G129" i="55" s="1"/>
  <c r="B129" i="55"/>
  <c r="A129" i="55" s="1"/>
  <c r="I128" i="55" a="1"/>
  <c r="I128" i="55" s="1"/>
  <c r="G128" i="55" a="1"/>
  <c r="G128" i="55" s="1"/>
  <c r="B128" i="55"/>
  <c r="A128" i="55" s="1"/>
  <c r="I127" i="55" a="1"/>
  <c r="I127" i="55" s="1"/>
  <c r="G127" i="55" a="1"/>
  <c r="G127" i="55" s="1"/>
  <c r="B127" i="55"/>
  <c r="A127" i="55" s="1"/>
  <c r="I126" i="55" a="1"/>
  <c r="I126" i="55" s="1"/>
  <c r="G126" i="55" a="1"/>
  <c r="G126" i="55" s="1"/>
  <c r="B126" i="55"/>
  <c r="A126" i="55" s="1"/>
  <c r="I125" i="55" a="1"/>
  <c r="I125" i="55" s="1"/>
  <c r="G125" i="55" a="1"/>
  <c r="G125" i="55" s="1"/>
  <c r="B125" i="55"/>
  <c r="A125" i="55" s="1"/>
  <c r="I124" i="55" a="1"/>
  <c r="I124" i="55" s="1"/>
  <c r="G124" i="55" a="1"/>
  <c r="G124" i="55" s="1"/>
  <c r="B124" i="55"/>
  <c r="A124" i="55" s="1"/>
  <c r="I123" i="55" a="1"/>
  <c r="I123" i="55" s="1"/>
  <c r="G123" i="55" a="1"/>
  <c r="G123" i="55" s="1"/>
  <c r="B123" i="55"/>
  <c r="A123" i="55" s="1"/>
  <c r="I122" i="55" a="1"/>
  <c r="I122" i="55" s="1"/>
  <c r="G122" i="55" a="1"/>
  <c r="G122" i="55" s="1"/>
  <c r="B122" i="55"/>
  <c r="A122" i="55" s="1"/>
  <c r="I121" i="55" a="1"/>
  <c r="I121" i="55" s="1"/>
  <c r="G121" i="55" a="1"/>
  <c r="G121" i="55" s="1"/>
  <c r="B121" i="55"/>
  <c r="A121" i="55" s="1"/>
  <c r="I120" i="55" a="1"/>
  <c r="I120" i="55" s="1"/>
  <c r="G120" i="55" a="1"/>
  <c r="G120" i="55" s="1"/>
  <c r="B120" i="55"/>
  <c r="A120" i="55" s="1"/>
  <c r="I119" i="55" a="1"/>
  <c r="I119" i="55" s="1"/>
  <c r="G119" i="55" a="1"/>
  <c r="G119" i="55" s="1"/>
  <c r="B119" i="55"/>
  <c r="A119" i="55" s="1"/>
  <c r="I118" i="55" a="1"/>
  <c r="I118" i="55" s="1"/>
  <c r="G118" i="55" a="1"/>
  <c r="G118" i="55" s="1"/>
  <c r="B118" i="55"/>
  <c r="A118" i="55" s="1"/>
  <c r="I117" i="55" a="1"/>
  <c r="I117" i="55" s="1"/>
  <c r="G117" i="55" a="1"/>
  <c r="G117" i="55" s="1"/>
  <c r="B117" i="55"/>
  <c r="A117" i="55" s="1"/>
  <c r="I116" i="55" a="1"/>
  <c r="I116" i="55" s="1"/>
  <c r="G116" i="55" a="1"/>
  <c r="G116" i="55" s="1"/>
  <c r="B116" i="55"/>
  <c r="A116" i="55" s="1"/>
  <c r="I115" i="55" a="1"/>
  <c r="I115" i="55" s="1"/>
  <c r="G115" i="55" a="1"/>
  <c r="G115" i="55" s="1"/>
  <c r="B115" i="55"/>
  <c r="A115" i="55" s="1"/>
  <c r="I114" i="55" a="1"/>
  <c r="I114" i="55" s="1"/>
  <c r="G114" i="55" a="1"/>
  <c r="G114" i="55" s="1"/>
  <c r="B114" i="55"/>
  <c r="A114" i="55" s="1"/>
  <c r="I113" i="55" a="1"/>
  <c r="I113" i="55" s="1"/>
  <c r="G113" i="55" a="1"/>
  <c r="G113" i="55" s="1"/>
  <c r="B113" i="55"/>
  <c r="A113" i="55" s="1"/>
  <c r="I112" i="55" a="1"/>
  <c r="I112" i="55" s="1"/>
  <c r="G112" i="55" a="1"/>
  <c r="G112" i="55" s="1"/>
  <c r="B112" i="55"/>
  <c r="A112" i="55" s="1"/>
  <c r="I111" i="55" a="1"/>
  <c r="I111" i="55" s="1"/>
  <c r="G111" i="55" a="1"/>
  <c r="G111" i="55" s="1"/>
  <c r="B111" i="55"/>
  <c r="A111" i="55" s="1"/>
  <c r="I110" i="55" a="1"/>
  <c r="I110" i="55" s="1"/>
  <c r="G110" i="55" a="1"/>
  <c r="G110" i="55" s="1"/>
  <c r="B110" i="55"/>
  <c r="A110" i="55" s="1"/>
  <c r="I109" i="55" a="1"/>
  <c r="I109" i="55" s="1"/>
  <c r="G109" i="55" a="1"/>
  <c r="G109" i="55" s="1"/>
  <c r="B109" i="55"/>
  <c r="A109" i="55" s="1"/>
  <c r="I108" i="55" a="1"/>
  <c r="I108" i="55" s="1"/>
  <c r="G108" i="55" a="1"/>
  <c r="G108" i="55" s="1"/>
  <c r="B108" i="55"/>
  <c r="A108" i="55" s="1"/>
  <c r="I107" i="55" a="1"/>
  <c r="I107" i="55" s="1"/>
  <c r="G107" i="55" a="1"/>
  <c r="G107" i="55" s="1"/>
  <c r="B107" i="55"/>
  <c r="A107" i="55" s="1"/>
  <c r="I106" i="55" a="1"/>
  <c r="I106" i="55" s="1"/>
  <c r="G106" i="55" a="1"/>
  <c r="G106" i="55" s="1"/>
  <c r="B106" i="55"/>
  <c r="A106" i="55" s="1"/>
  <c r="I105" i="55" a="1"/>
  <c r="I105" i="55" s="1"/>
  <c r="G105" i="55" a="1"/>
  <c r="G105" i="55" s="1"/>
  <c r="B105" i="55"/>
  <c r="A105" i="55" s="1"/>
  <c r="I104" i="55" a="1"/>
  <c r="I104" i="55" s="1"/>
  <c r="G104" i="55" a="1"/>
  <c r="G104" i="55" s="1"/>
  <c r="B104" i="55"/>
  <c r="A104" i="55" s="1"/>
  <c r="I103" i="55" a="1"/>
  <c r="I103" i="55" s="1"/>
  <c r="G103" i="55" a="1"/>
  <c r="G103" i="55" s="1"/>
  <c r="B103" i="55"/>
  <c r="A103" i="55" s="1"/>
  <c r="I102" i="55" a="1"/>
  <c r="I102" i="55" s="1"/>
  <c r="G102" i="55" a="1"/>
  <c r="G102" i="55" s="1"/>
  <c r="B102" i="55"/>
  <c r="A102" i="55" s="1"/>
  <c r="I101" i="55" a="1"/>
  <c r="I101" i="55" s="1"/>
  <c r="G101" i="55" a="1"/>
  <c r="G101" i="55" s="1"/>
  <c r="B101" i="55"/>
  <c r="A101" i="55" s="1"/>
  <c r="I100" i="55" a="1"/>
  <c r="I100" i="55" s="1"/>
  <c r="G100" i="55" a="1"/>
  <c r="G100" i="55" s="1"/>
  <c r="B100" i="55"/>
  <c r="A100" i="55" s="1"/>
  <c r="I99" i="55" a="1"/>
  <c r="I99" i="55" s="1"/>
  <c r="G99" i="55" a="1"/>
  <c r="G99" i="55" s="1"/>
  <c r="B99" i="55"/>
  <c r="A99" i="55" s="1"/>
  <c r="I98" i="55" a="1"/>
  <c r="I98" i="55" s="1"/>
  <c r="G98" i="55" a="1"/>
  <c r="G98" i="55" s="1"/>
  <c r="B98" i="55"/>
  <c r="A98" i="55" s="1"/>
  <c r="I97" i="55" a="1"/>
  <c r="I97" i="55" s="1"/>
  <c r="G97" i="55" a="1"/>
  <c r="G97" i="55" s="1"/>
  <c r="B97" i="55"/>
  <c r="A97" i="55" s="1"/>
  <c r="I96" i="55" a="1"/>
  <c r="I96" i="55" s="1"/>
  <c r="G96" i="55" a="1"/>
  <c r="G96" i="55" s="1"/>
  <c r="B96" i="55"/>
  <c r="A96" i="55" s="1"/>
  <c r="I95" i="55" a="1"/>
  <c r="I95" i="55" s="1"/>
  <c r="G95" i="55" a="1"/>
  <c r="G95" i="55" s="1"/>
  <c r="B95" i="55"/>
  <c r="A95" i="55" s="1"/>
  <c r="I94" i="55" a="1"/>
  <c r="I94" i="55" s="1"/>
  <c r="G94" i="55" a="1"/>
  <c r="G94" i="55" s="1"/>
  <c r="B94" i="55"/>
  <c r="A94" i="55" s="1"/>
  <c r="I93" i="55" a="1"/>
  <c r="I93" i="55" s="1"/>
  <c r="G93" i="55" a="1"/>
  <c r="G93" i="55" s="1"/>
  <c r="B93" i="55"/>
  <c r="A93" i="55" s="1"/>
  <c r="I92" i="55" a="1"/>
  <c r="I92" i="55" s="1"/>
  <c r="G92" i="55" a="1"/>
  <c r="G92" i="55" s="1"/>
  <c r="B92" i="55"/>
  <c r="A92" i="55" s="1"/>
  <c r="I91" i="55" a="1"/>
  <c r="I91" i="55" s="1"/>
  <c r="G91" i="55" a="1"/>
  <c r="G91" i="55" s="1"/>
  <c r="B91" i="55"/>
  <c r="A91" i="55" s="1"/>
  <c r="I90" i="55" a="1"/>
  <c r="I90" i="55" s="1"/>
  <c r="G90" i="55" a="1"/>
  <c r="G90" i="55" s="1"/>
  <c r="B90" i="55"/>
  <c r="A90" i="55" s="1"/>
  <c r="I89" i="55" a="1"/>
  <c r="I89" i="55" s="1"/>
  <c r="G89" i="55" a="1"/>
  <c r="G89" i="55" s="1"/>
  <c r="B89" i="55"/>
  <c r="A89" i="55" s="1"/>
  <c r="I88" i="55" a="1"/>
  <c r="I88" i="55" s="1"/>
  <c r="G88" i="55" a="1"/>
  <c r="G88" i="55" s="1"/>
  <c r="B88" i="55"/>
  <c r="A88" i="55" s="1"/>
  <c r="I87" i="55" a="1"/>
  <c r="I87" i="55" s="1"/>
  <c r="G87" i="55" a="1"/>
  <c r="G87" i="55" s="1"/>
  <c r="B87" i="55"/>
  <c r="A87" i="55" s="1"/>
  <c r="I86" i="55" a="1"/>
  <c r="I86" i="55" s="1"/>
  <c r="G86" i="55" a="1"/>
  <c r="G86" i="55" s="1"/>
  <c r="B86" i="55"/>
  <c r="A86" i="55" s="1"/>
  <c r="I85" i="55" a="1"/>
  <c r="I85" i="55" s="1"/>
  <c r="G85" i="55" a="1"/>
  <c r="G85" i="55" s="1"/>
  <c r="B85" i="55"/>
  <c r="A85" i="55" s="1"/>
  <c r="I84" i="55" a="1"/>
  <c r="I84" i="55" s="1"/>
  <c r="G84" i="55" a="1"/>
  <c r="G84" i="55" s="1"/>
  <c r="B84" i="55"/>
  <c r="A84" i="55" s="1"/>
  <c r="I83" i="55" a="1"/>
  <c r="I83" i="55" s="1"/>
  <c r="G83" i="55" a="1"/>
  <c r="G83" i="55" s="1"/>
  <c r="B83" i="55"/>
  <c r="A83" i="55" s="1"/>
  <c r="I82" i="55" a="1"/>
  <c r="I82" i="55" s="1"/>
  <c r="G82" i="55" a="1"/>
  <c r="G82" i="55" s="1"/>
  <c r="B82" i="55"/>
  <c r="A82" i="55" s="1"/>
  <c r="B18" i="55"/>
  <c r="B19" i="55"/>
  <c r="B20" i="55"/>
  <c r="B21" i="55"/>
  <c r="B22" i="55"/>
  <c r="B23" i="55"/>
  <c r="B24" i="55"/>
  <c r="B25" i="55"/>
  <c r="B26" i="55"/>
  <c r="B27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B147" i="55"/>
  <c r="B148" i="55"/>
  <c r="B149" i="55"/>
  <c r="B150" i="55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K79" i="55" l="1"/>
  <c r="K122" i="55"/>
  <c r="K131" i="55"/>
  <c r="K60" i="55"/>
  <c r="K64" i="55"/>
  <c r="K81" i="55"/>
  <c r="K69" i="55"/>
  <c r="K124" i="55"/>
  <c r="K111" i="55"/>
  <c r="K113" i="55"/>
  <c r="K118" i="55"/>
  <c r="K120" i="55"/>
  <c r="K130" i="55"/>
  <c r="K54" i="55"/>
  <c r="K61" i="55"/>
  <c r="K77" i="55"/>
  <c r="K86" i="55"/>
  <c r="K116" i="55"/>
  <c r="K58" i="55"/>
  <c r="K71" i="55"/>
  <c r="K114" i="55"/>
  <c r="K56" i="55"/>
  <c r="K63" i="55"/>
  <c r="K104" i="55"/>
  <c r="K51" i="55"/>
  <c r="K67" i="55"/>
  <c r="K75" i="55"/>
  <c r="K96" i="55"/>
  <c r="K100" i="55"/>
  <c r="K88" i="55"/>
  <c r="K94" i="55"/>
  <c r="K125" i="55"/>
  <c r="K126" i="55"/>
  <c r="K59" i="55"/>
  <c r="K65" i="55"/>
  <c r="K73" i="55"/>
  <c r="K84" i="55"/>
  <c r="K98" i="55"/>
  <c r="K117" i="55"/>
  <c r="K121" i="55"/>
  <c r="K127" i="55"/>
  <c r="K53" i="55"/>
  <c r="K55" i="55"/>
  <c r="K57" i="55"/>
  <c r="K66" i="55"/>
  <c r="K68" i="55"/>
  <c r="K70" i="55"/>
  <c r="K72" i="55"/>
  <c r="K74" i="55"/>
  <c r="K76" i="55"/>
  <c r="K78" i="55"/>
  <c r="K80" i="55"/>
  <c r="K92" i="55"/>
  <c r="K102" i="55"/>
  <c r="K82" i="55"/>
  <c r="K90" i="55"/>
  <c r="K110" i="55"/>
  <c r="K119" i="55"/>
  <c r="K28" i="55"/>
  <c r="K30" i="55"/>
  <c r="K32" i="55"/>
  <c r="K34" i="55"/>
  <c r="K36" i="55"/>
  <c r="K38" i="55"/>
  <c r="K40" i="55"/>
  <c r="K42" i="55"/>
  <c r="K44" i="55"/>
  <c r="K46" i="55"/>
  <c r="K48" i="55"/>
  <c r="K50" i="55"/>
  <c r="K62" i="55"/>
  <c r="K29" i="55"/>
  <c r="K31" i="55"/>
  <c r="K33" i="55"/>
  <c r="K35" i="55"/>
  <c r="K37" i="55"/>
  <c r="K39" i="55"/>
  <c r="K41" i="55"/>
  <c r="K43" i="55"/>
  <c r="K45" i="55"/>
  <c r="K47" i="55"/>
  <c r="K49" i="55"/>
  <c r="K52" i="55"/>
  <c r="K106" i="55"/>
  <c r="K112" i="55"/>
  <c r="K123" i="55"/>
  <c r="K132" i="55"/>
  <c r="K108" i="55"/>
  <c r="K109" i="55"/>
  <c r="K115" i="55"/>
  <c r="K128" i="55"/>
  <c r="K129" i="55"/>
  <c r="K83" i="55"/>
  <c r="K89" i="55"/>
  <c r="K91" i="55"/>
  <c r="K93" i="55"/>
  <c r="K97" i="55"/>
  <c r="K99" i="55"/>
  <c r="K107" i="55"/>
  <c r="K85" i="55"/>
  <c r="K87" i="55"/>
  <c r="K95" i="55"/>
  <c r="K101" i="55"/>
  <c r="K103" i="55"/>
  <c r="K105" i="55"/>
  <c r="I27" i="55" l="1" a="1"/>
  <c r="I27" i="55" s="1"/>
  <c r="G27" i="55" a="1"/>
  <c r="G27" i="55" s="1"/>
  <c r="A27" i="55"/>
  <c r="I26" i="55" a="1"/>
  <c r="I26" i="55" s="1"/>
  <c r="G26" i="55" a="1"/>
  <c r="G26" i="55" s="1"/>
  <c r="A26" i="55"/>
  <c r="I25" i="55" a="1"/>
  <c r="I25" i="55" s="1"/>
  <c r="G25" i="55" a="1"/>
  <c r="G25" i="55" s="1"/>
  <c r="A25" i="55"/>
  <c r="I24" i="55" a="1"/>
  <c r="I24" i="55" s="1"/>
  <c r="G24" i="55" a="1"/>
  <c r="G24" i="55" s="1"/>
  <c r="A24" i="55"/>
  <c r="I23" i="55" a="1"/>
  <c r="I23" i="55" s="1"/>
  <c r="G23" i="55" a="1"/>
  <c r="G23" i="55" s="1"/>
  <c r="A23" i="55"/>
  <c r="I22" i="55" a="1"/>
  <c r="I22" i="55" s="1"/>
  <c r="G22" i="55" a="1"/>
  <c r="G22" i="55" s="1"/>
  <c r="A22" i="55"/>
  <c r="I21" i="55" a="1"/>
  <c r="I21" i="55" s="1"/>
  <c r="G21" i="55" a="1"/>
  <c r="G21" i="55" s="1"/>
  <c r="A21" i="55"/>
  <c r="I20" i="55" a="1"/>
  <c r="I20" i="55" s="1"/>
  <c r="G20" i="55" a="1"/>
  <c r="G20" i="55" s="1"/>
  <c r="A20" i="55"/>
  <c r="I19" i="55" a="1"/>
  <c r="I19" i="55" s="1"/>
  <c r="G19" i="55" a="1"/>
  <c r="G19" i="55" s="1"/>
  <c r="A19" i="55"/>
  <c r="B213" i="55"/>
  <c r="A213" i="55" s="1"/>
  <c r="B214" i="55"/>
  <c r="A214" i="55" s="1"/>
  <c r="B215" i="55"/>
  <c r="A215" i="55" s="1"/>
  <c r="B216" i="55"/>
  <c r="A216" i="55" s="1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B181" i="55"/>
  <c r="A181" i="55" s="1"/>
  <c r="B182" i="55"/>
  <c r="A182" i="55" s="1"/>
  <c r="B183" i="55"/>
  <c r="A183" i="55" s="1"/>
  <c r="B184" i="55"/>
  <c r="A184" i="55" s="1"/>
  <c r="B185" i="55"/>
  <c r="A185" i="55" s="1"/>
  <c r="B186" i="55"/>
  <c r="A186" i="55" s="1"/>
  <c r="B187" i="55"/>
  <c r="A187" i="55" s="1"/>
  <c r="B188" i="55"/>
  <c r="A188" i="55" s="1"/>
  <c r="B189" i="55"/>
  <c r="A189" i="55" s="1"/>
  <c r="B190" i="55"/>
  <c r="A190" i="55" s="1"/>
  <c r="B191" i="55"/>
  <c r="A191" i="55" s="1"/>
  <c r="B192" i="55"/>
  <c r="A192" i="55" s="1"/>
  <c r="B193" i="55"/>
  <c r="A193" i="55" s="1"/>
  <c r="B194" i="55"/>
  <c r="A194" i="55" s="1"/>
  <c r="B195" i="55"/>
  <c r="A195" i="55" s="1"/>
  <c r="B196" i="55"/>
  <c r="A196" i="55" s="1"/>
  <c r="B197" i="55"/>
  <c r="A197" i="55" s="1"/>
  <c r="B198" i="55"/>
  <c r="A198" i="55" s="1"/>
  <c r="B199" i="55"/>
  <c r="A199" i="55" s="1"/>
  <c r="B200" i="55"/>
  <c r="A200" i="55" s="1"/>
  <c r="B201" i="55"/>
  <c r="A201" i="55" s="1"/>
  <c r="B202" i="55"/>
  <c r="A202" i="55" s="1"/>
  <c r="B203" i="55"/>
  <c r="A203" i="55" s="1"/>
  <c r="B204" i="55"/>
  <c r="A204" i="55" s="1"/>
  <c r="B205" i="55"/>
  <c r="A205" i="55" s="1"/>
  <c r="B206" i="55"/>
  <c r="A206" i="55" s="1"/>
  <c r="B207" i="55"/>
  <c r="A207" i="55" s="1"/>
  <c r="B208" i="55"/>
  <c r="A208" i="55" s="1"/>
  <c r="B209" i="55"/>
  <c r="A209" i="55" s="1"/>
  <c r="B210" i="55"/>
  <c r="A210" i="55" s="1"/>
  <c r="B211" i="55"/>
  <c r="A211" i="55" s="1"/>
  <c r="B212" i="55"/>
  <c r="A212" i="55" s="1"/>
  <c r="G133" i="55" a="1"/>
  <c r="G133" i="55" s="1"/>
  <c r="I133" i="55" a="1"/>
  <c r="I133" i="55" s="1"/>
  <c r="G134" i="55" a="1"/>
  <c r="G134" i="55" s="1"/>
  <c r="I134" i="55" a="1"/>
  <c r="I134" i="55" s="1"/>
  <c r="K21" i="55" l="1"/>
  <c r="K25" i="55"/>
  <c r="K22" i="55"/>
  <c r="K26" i="55"/>
  <c r="K19" i="55"/>
  <c r="K23" i="55"/>
  <c r="K27" i="55"/>
  <c r="K20" i="55"/>
  <c r="K24" i="55"/>
  <c r="A18" i="55"/>
  <c r="K134" i="55"/>
  <c r="K133" i="55"/>
  <c r="A64" i="60" l="1"/>
  <c r="A65" i="60"/>
  <c r="A66" i="60"/>
  <c r="A67" i="60"/>
  <c r="A68" i="60"/>
  <c r="A69" i="60"/>
  <c r="A70" i="60"/>
  <c r="A71" i="60"/>
  <c r="A72" i="60"/>
  <c r="A73" i="60"/>
  <c r="A74" i="60"/>
  <c r="A75" i="60"/>
  <c r="A76" i="60"/>
  <c r="A77" i="60"/>
  <c r="A78" i="60"/>
  <c r="A79" i="60"/>
  <c r="A80" i="60"/>
  <c r="A81" i="60"/>
  <c r="A82" i="60"/>
  <c r="A83" i="60"/>
  <c r="A84" i="60"/>
  <c r="A85" i="60"/>
  <c r="A86" i="60"/>
  <c r="A87" i="60"/>
  <c r="A88" i="60"/>
  <c r="A89" i="60"/>
  <c r="A90" i="60"/>
  <c r="A91" i="60"/>
  <c r="A92" i="60"/>
  <c r="A93" i="60"/>
  <c r="A94" i="60"/>
  <c r="A95" i="60"/>
  <c r="A96" i="60"/>
  <c r="A97" i="60"/>
  <c r="A98" i="60"/>
  <c r="A99" i="60"/>
  <c r="A100" i="60"/>
  <c r="A101" i="60"/>
  <c r="A102" i="60"/>
  <c r="A103" i="60"/>
  <c r="A104" i="60"/>
  <c r="A105" i="60"/>
  <c r="A106" i="60"/>
  <c r="A107" i="60"/>
  <c r="A108" i="60"/>
  <c r="A109" i="60"/>
  <c r="A110" i="60"/>
  <c r="A111" i="60"/>
  <c r="A112" i="60"/>
  <c r="A113" i="60"/>
  <c r="A114" i="60"/>
  <c r="A115" i="60"/>
  <c r="A116" i="60"/>
  <c r="A117" i="60"/>
  <c r="A118" i="60"/>
  <c r="A119" i="60"/>
  <c r="A120" i="60"/>
  <c r="A121" i="60"/>
  <c r="A122" i="60"/>
  <c r="A123" i="60"/>
  <c r="A124" i="60"/>
  <c r="A125" i="60"/>
  <c r="A126" i="60"/>
  <c r="A127" i="60"/>
  <c r="A128" i="60"/>
  <c r="A129" i="60"/>
  <c r="A130" i="60"/>
  <c r="A131" i="60"/>
  <c r="A132" i="60"/>
  <c r="A133" i="60"/>
  <c r="A134" i="60"/>
  <c r="A63" i="60"/>
  <c r="R8" i="60"/>
  <c r="C8" i="60" s="1"/>
  <c r="R9" i="60"/>
  <c r="C9" i="60" s="1"/>
  <c r="R10" i="60"/>
  <c r="C10" i="60" s="1"/>
  <c r="R11" i="60"/>
  <c r="C11" i="60" s="1"/>
  <c r="R12" i="60"/>
  <c r="C12" i="60" s="1"/>
  <c r="R13" i="60"/>
  <c r="C13" i="60" s="1"/>
  <c r="R14" i="60"/>
  <c r="C14" i="60" s="1"/>
  <c r="R15" i="60"/>
  <c r="C15" i="60" s="1"/>
  <c r="R16" i="60"/>
  <c r="C16" i="60" s="1"/>
  <c r="R17" i="60"/>
  <c r="C17" i="60" s="1"/>
  <c r="R18" i="60"/>
  <c r="C18" i="60" s="1"/>
  <c r="R19" i="60"/>
  <c r="C19" i="60" s="1"/>
  <c r="R20" i="60"/>
  <c r="C20" i="60" s="1"/>
  <c r="R21" i="60"/>
  <c r="C21" i="60" s="1"/>
  <c r="R22" i="60"/>
  <c r="C22" i="60" s="1"/>
  <c r="R23" i="60"/>
  <c r="C23" i="60" s="1"/>
  <c r="R24" i="60"/>
  <c r="C24" i="60" s="1"/>
  <c r="R25" i="60"/>
  <c r="C25" i="60" s="1"/>
  <c r="R26" i="60"/>
  <c r="C26" i="60" s="1"/>
  <c r="R27" i="60"/>
  <c r="C27" i="60" s="1"/>
  <c r="R28" i="60"/>
  <c r="C28" i="60" s="1"/>
  <c r="R29" i="60"/>
  <c r="C29" i="60" s="1"/>
  <c r="R30" i="60"/>
  <c r="C30" i="60" s="1"/>
  <c r="R31" i="60"/>
  <c r="C31" i="60" s="1"/>
  <c r="R32" i="60"/>
  <c r="C32" i="60" s="1"/>
  <c r="R33" i="60"/>
  <c r="C33" i="60" s="1"/>
  <c r="C34" i="60"/>
  <c r="R35" i="60"/>
  <c r="C35" i="60" s="1"/>
  <c r="R36" i="60"/>
  <c r="C36" i="60" s="1"/>
  <c r="R37" i="60"/>
  <c r="C37" i="60" s="1"/>
  <c r="R38" i="60"/>
  <c r="C38" i="60" s="1"/>
  <c r="R39" i="60"/>
  <c r="C39" i="60" s="1"/>
  <c r="R40" i="60"/>
  <c r="C40" i="60" s="1"/>
  <c r="R41" i="60"/>
  <c r="C41" i="60" s="1"/>
  <c r="R42" i="60"/>
  <c r="C42" i="60" s="1"/>
  <c r="R43" i="60"/>
  <c r="C43" i="60" s="1"/>
  <c r="R44" i="60"/>
  <c r="C44" i="60" s="1"/>
  <c r="R45" i="60"/>
  <c r="C45" i="60" s="1"/>
  <c r="R46" i="60"/>
  <c r="C46" i="60" s="1"/>
  <c r="R47" i="60"/>
  <c r="C47" i="60" s="1"/>
  <c r="R48" i="60"/>
  <c r="C48" i="60" s="1"/>
  <c r="R49" i="60"/>
  <c r="C49" i="60" s="1"/>
  <c r="R50" i="60"/>
  <c r="C50" i="60" s="1"/>
  <c r="R51" i="60"/>
  <c r="C51" i="60" s="1"/>
  <c r="R52" i="60"/>
  <c r="C52" i="60" s="1"/>
  <c r="R53" i="60"/>
  <c r="C53" i="60" s="1"/>
  <c r="R54" i="60"/>
  <c r="C54" i="60" s="1"/>
  <c r="I7" i="12" l="1"/>
  <c r="A7" i="12"/>
  <c r="Y287" i="34"/>
  <c r="X287" i="34"/>
  <c r="T287" i="34"/>
  <c r="S287" i="34"/>
  <c r="R287" i="34"/>
  <c r="N287" i="34"/>
  <c r="C287" i="34"/>
  <c r="E16" i="55"/>
  <c r="B287" i="34" l="1"/>
  <c r="A287" i="34" s="1"/>
  <c r="J18" i="64"/>
  <c r="K18" i="64"/>
  <c r="H18" i="64"/>
  <c r="W287" i="34" l="1"/>
  <c r="P287" i="34"/>
  <c r="O287" i="34"/>
  <c r="U287" i="34"/>
  <c r="Q287" i="34"/>
  <c r="Z287" i="34"/>
  <c r="K64" i="34"/>
  <c r="Y63" i="34"/>
  <c r="X63" i="34"/>
  <c r="T63" i="34"/>
  <c r="S63" i="34"/>
  <c r="R63" i="34"/>
  <c r="N63" i="34"/>
  <c r="Z63" i="34"/>
  <c r="Y865" i="34"/>
  <c r="X865" i="34"/>
  <c r="T865" i="34"/>
  <c r="S865" i="34"/>
  <c r="R865" i="34"/>
  <c r="N865" i="34"/>
  <c r="K865" i="34"/>
  <c r="C865" i="34"/>
  <c r="B865" i="34" s="1"/>
  <c r="Y864" i="34"/>
  <c r="X864" i="34"/>
  <c r="T864" i="34"/>
  <c r="S864" i="34"/>
  <c r="R864" i="34"/>
  <c r="N864" i="34"/>
  <c r="K864" i="34"/>
  <c r="C864" i="34"/>
  <c r="B864" i="34" s="1"/>
  <c r="Y866" i="34"/>
  <c r="X866" i="34"/>
  <c r="T866" i="34"/>
  <c r="S866" i="34"/>
  <c r="R866" i="34"/>
  <c r="N866" i="34"/>
  <c r="K866" i="34"/>
  <c r="C866" i="34"/>
  <c r="B866" i="34" s="1"/>
  <c r="AC868" i="34"/>
  <c r="Y868" i="34"/>
  <c r="X868" i="34"/>
  <c r="T868" i="34"/>
  <c r="S868" i="34"/>
  <c r="R868" i="34"/>
  <c r="N868" i="34"/>
  <c r="C868" i="34"/>
  <c r="B868" i="34" s="1"/>
  <c r="A868" i="34" s="1"/>
  <c r="Y867" i="34"/>
  <c r="X867" i="34"/>
  <c r="T867" i="34"/>
  <c r="S867" i="34"/>
  <c r="R867" i="34"/>
  <c r="N867" i="34"/>
  <c r="K867" i="34"/>
  <c r="C867" i="34"/>
  <c r="B867" i="34" s="1"/>
  <c r="A867" i="34" s="1"/>
  <c r="AC845" i="34"/>
  <c r="Y845" i="34"/>
  <c r="X845" i="34"/>
  <c r="T845" i="34"/>
  <c r="S845" i="34"/>
  <c r="R845" i="34"/>
  <c r="N845" i="34"/>
  <c r="C845" i="34"/>
  <c r="B845" i="34" s="1"/>
  <c r="A845" i="34" s="1"/>
  <c r="Y844" i="34"/>
  <c r="X844" i="34"/>
  <c r="T844" i="34"/>
  <c r="S844" i="34"/>
  <c r="R844" i="34"/>
  <c r="N844" i="34"/>
  <c r="K844" i="34"/>
  <c r="C844" i="34"/>
  <c r="B844" i="34" s="1"/>
  <c r="Y843" i="34"/>
  <c r="X843" i="34"/>
  <c r="T843" i="34"/>
  <c r="S843" i="34"/>
  <c r="R843" i="34"/>
  <c r="N843" i="34"/>
  <c r="K843" i="34"/>
  <c r="C843" i="34"/>
  <c r="B843" i="34" s="1"/>
  <c r="AC841" i="34"/>
  <c r="Y841" i="34"/>
  <c r="X841" i="34"/>
  <c r="T841" i="34"/>
  <c r="S841" i="34"/>
  <c r="R841" i="34"/>
  <c r="N841" i="34"/>
  <c r="C841" i="34"/>
  <c r="B841" i="34" s="1"/>
  <c r="A841" i="34" s="1"/>
  <c r="Y840" i="34"/>
  <c r="X840" i="34"/>
  <c r="T840" i="34"/>
  <c r="S840" i="34"/>
  <c r="R840" i="34"/>
  <c r="N840" i="34"/>
  <c r="K840" i="34"/>
  <c r="C840" i="34"/>
  <c r="B840" i="34" s="1"/>
  <c r="AC839" i="34"/>
  <c r="Y839" i="34"/>
  <c r="X839" i="34"/>
  <c r="T839" i="34"/>
  <c r="S839" i="34"/>
  <c r="R839" i="34"/>
  <c r="N839" i="34"/>
  <c r="C839" i="34"/>
  <c r="B839" i="34" s="1"/>
  <c r="A839" i="34" s="1"/>
  <c r="Y838" i="34"/>
  <c r="X838" i="34"/>
  <c r="T838" i="34"/>
  <c r="S838" i="34"/>
  <c r="R838" i="34"/>
  <c r="N838" i="34"/>
  <c r="K838" i="34"/>
  <c r="C838" i="34"/>
  <c r="B838" i="34" s="1"/>
  <c r="AC837" i="34"/>
  <c r="Y837" i="34"/>
  <c r="X837" i="34"/>
  <c r="T837" i="34"/>
  <c r="S837" i="34"/>
  <c r="R837" i="34"/>
  <c r="N837" i="34"/>
  <c r="C837" i="34"/>
  <c r="B837" i="34" s="1"/>
  <c r="A837" i="34" s="1"/>
  <c r="Y836" i="34"/>
  <c r="X836" i="34"/>
  <c r="T836" i="34"/>
  <c r="S836" i="34"/>
  <c r="R836" i="34"/>
  <c r="N836" i="34"/>
  <c r="K836" i="34"/>
  <c r="C836" i="34"/>
  <c r="B836" i="34" s="1"/>
  <c r="Y835" i="34"/>
  <c r="X835" i="34"/>
  <c r="T835" i="34"/>
  <c r="S835" i="34"/>
  <c r="R835" i="34"/>
  <c r="N835" i="34"/>
  <c r="K835" i="34"/>
  <c r="C835" i="34"/>
  <c r="B835" i="34" s="1"/>
  <c r="A835" i="34" s="1"/>
  <c r="AC834" i="34"/>
  <c r="Y834" i="34"/>
  <c r="X834" i="34"/>
  <c r="T834" i="34"/>
  <c r="S834" i="34"/>
  <c r="R834" i="34"/>
  <c r="N834" i="34"/>
  <c r="C834" i="34"/>
  <c r="B834" i="34" s="1"/>
  <c r="Y833" i="34"/>
  <c r="X833" i="34"/>
  <c r="T833" i="34"/>
  <c r="S833" i="34"/>
  <c r="R833" i="34"/>
  <c r="N833" i="34"/>
  <c r="K833" i="34"/>
  <c r="C833" i="34"/>
  <c r="B833" i="34" s="1"/>
  <c r="AC832" i="34"/>
  <c r="Y832" i="34"/>
  <c r="X832" i="34"/>
  <c r="T832" i="34"/>
  <c r="S832" i="34"/>
  <c r="R832" i="34"/>
  <c r="N832" i="34"/>
  <c r="C832" i="34"/>
  <c r="B832" i="34" s="1"/>
  <c r="A832" i="34" s="1"/>
  <c r="Y831" i="34"/>
  <c r="X831" i="34"/>
  <c r="T831" i="34"/>
  <c r="S831" i="34"/>
  <c r="R831" i="34"/>
  <c r="N831" i="34"/>
  <c r="K831" i="34"/>
  <c r="C831" i="34"/>
  <c r="B831" i="34" s="1"/>
  <c r="A831" i="34" s="1"/>
  <c r="Y830" i="34"/>
  <c r="X830" i="34"/>
  <c r="T830" i="34"/>
  <c r="S830" i="34"/>
  <c r="R830" i="34"/>
  <c r="N830" i="34"/>
  <c r="K830" i="34"/>
  <c r="C830" i="34"/>
  <c r="B830" i="34" s="1"/>
  <c r="A830" i="34" s="1"/>
  <c r="Y828" i="34"/>
  <c r="X828" i="34"/>
  <c r="T828" i="34"/>
  <c r="S828" i="34"/>
  <c r="R828" i="34"/>
  <c r="N828" i="34"/>
  <c r="K828" i="34"/>
  <c r="C828" i="34"/>
  <c r="B828" i="34" s="1"/>
  <c r="AC829" i="34"/>
  <c r="Y829" i="34"/>
  <c r="X829" i="34"/>
  <c r="T829" i="34"/>
  <c r="S829" i="34"/>
  <c r="R829" i="34"/>
  <c r="N829" i="34"/>
  <c r="C829" i="34"/>
  <c r="B829" i="34" s="1"/>
  <c r="A829" i="34" s="1"/>
  <c r="Y827" i="34"/>
  <c r="X827" i="34"/>
  <c r="T827" i="34"/>
  <c r="S827" i="34"/>
  <c r="R827" i="34"/>
  <c r="N827" i="34"/>
  <c r="K827" i="34"/>
  <c r="C827" i="34"/>
  <c r="B827" i="34" s="1"/>
  <c r="A827" i="34" s="1"/>
  <c r="Y826" i="34"/>
  <c r="X826" i="34"/>
  <c r="T826" i="34"/>
  <c r="S826" i="34"/>
  <c r="R826" i="34"/>
  <c r="N826" i="34"/>
  <c r="K826" i="34"/>
  <c r="C826" i="34"/>
  <c r="B826" i="34" s="1"/>
  <c r="A826" i="34" s="1"/>
  <c r="AC825" i="34"/>
  <c r="Y825" i="34"/>
  <c r="X825" i="34"/>
  <c r="T825" i="34"/>
  <c r="S825" i="34"/>
  <c r="R825" i="34"/>
  <c r="N825" i="34"/>
  <c r="C825" i="34"/>
  <c r="B825" i="34" s="1"/>
  <c r="A825" i="34" s="1"/>
  <c r="Y824" i="34"/>
  <c r="X824" i="34"/>
  <c r="T824" i="34"/>
  <c r="S824" i="34"/>
  <c r="R824" i="34"/>
  <c r="N824" i="34"/>
  <c r="K824" i="34"/>
  <c r="C824" i="34"/>
  <c r="B824" i="34" s="1"/>
  <c r="Y823" i="34"/>
  <c r="X823" i="34"/>
  <c r="T823" i="34"/>
  <c r="S823" i="34"/>
  <c r="R823" i="34"/>
  <c r="N823" i="34"/>
  <c r="K823" i="34"/>
  <c r="C823" i="34"/>
  <c r="B823" i="34" s="1"/>
  <c r="Z823" i="34" l="1"/>
  <c r="A823" i="34"/>
  <c r="P824" i="34"/>
  <c r="A824" i="34"/>
  <c r="Z828" i="34"/>
  <c r="A828" i="34"/>
  <c r="P833" i="34"/>
  <c r="A833" i="34"/>
  <c r="Z834" i="34"/>
  <c r="A834" i="34"/>
  <c r="P836" i="34"/>
  <c r="A836" i="34"/>
  <c r="P838" i="34"/>
  <c r="A838" i="34"/>
  <c r="P840" i="34"/>
  <c r="A840" i="34"/>
  <c r="Z843" i="34"/>
  <c r="A843" i="34"/>
  <c r="P844" i="34"/>
  <c r="A844" i="34"/>
  <c r="W866" i="34"/>
  <c r="A866" i="34"/>
  <c r="U864" i="34"/>
  <c r="A864" i="34"/>
  <c r="W865" i="34"/>
  <c r="A865" i="34"/>
  <c r="O63" i="34"/>
  <c r="W63" i="34"/>
  <c r="P63" i="34"/>
  <c r="Q63" i="34"/>
  <c r="U63" i="34"/>
  <c r="Z864" i="34"/>
  <c r="P865" i="34"/>
  <c r="O864" i="34"/>
  <c r="W864" i="34"/>
  <c r="Q865" i="34"/>
  <c r="U865" i="34"/>
  <c r="P864" i="34"/>
  <c r="Z865" i="34"/>
  <c r="Q864" i="34"/>
  <c r="O865" i="34"/>
  <c r="P866" i="34"/>
  <c r="Q866" i="34"/>
  <c r="U866" i="34"/>
  <c r="Z866" i="34"/>
  <c r="O866" i="34"/>
  <c r="P867" i="34"/>
  <c r="W867" i="34"/>
  <c r="O867" i="34"/>
  <c r="Z867" i="34"/>
  <c r="U867" i="34"/>
  <c r="Q867" i="34"/>
  <c r="W868" i="34"/>
  <c r="O868" i="34"/>
  <c r="Z868" i="34"/>
  <c r="U868" i="34"/>
  <c r="Q868" i="34"/>
  <c r="P868" i="34"/>
  <c r="U843" i="34"/>
  <c r="Q843" i="34"/>
  <c r="W845" i="34"/>
  <c r="O845" i="34"/>
  <c r="Z845" i="34"/>
  <c r="U845" i="34"/>
  <c r="Q845" i="34"/>
  <c r="P845" i="34"/>
  <c r="O843" i="34"/>
  <c r="W843" i="34"/>
  <c r="Q844" i="34"/>
  <c r="U844" i="34"/>
  <c r="P843" i="34"/>
  <c r="Z844" i="34"/>
  <c r="O844" i="34"/>
  <c r="W844" i="34"/>
  <c r="W841" i="34"/>
  <c r="O841" i="34"/>
  <c r="Z841" i="34"/>
  <c r="U841" i="34"/>
  <c r="Q841" i="34"/>
  <c r="P841" i="34"/>
  <c r="Q840" i="34"/>
  <c r="U840" i="34"/>
  <c r="Z840" i="34"/>
  <c r="O840" i="34"/>
  <c r="W840" i="34"/>
  <c r="W839" i="34"/>
  <c r="O839" i="34"/>
  <c r="Z839" i="34"/>
  <c r="U839" i="34"/>
  <c r="Q839" i="34"/>
  <c r="P839" i="34"/>
  <c r="Q838" i="34"/>
  <c r="U838" i="34"/>
  <c r="Z838" i="34"/>
  <c r="O838" i="34"/>
  <c r="W838" i="34"/>
  <c r="Z835" i="34"/>
  <c r="U835" i="34"/>
  <c r="Q835" i="34"/>
  <c r="P835" i="34"/>
  <c r="W835" i="34"/>
  <c r="O835" i="34"/>
  <c r="W837" i="34"/>
  <c r="O837" i="34"/>
  <c r="Z837" i="34"/>
  <c r="U837" i="34"/>
  <c r="Q837" i="34"/>
  <c r="P837" i="34"/>
  <c r="Q836" i="34"/>
  <c r="U836" i="34"/>
  <c r="Z836" i="34"/>
  <c r="O836" i="34"/>
  <c r="W836" i="34"/>
  <c r="O834" i="34"/>
  <c r="W834" i="34"/>
  <c r="Q833" i="34"/>
  <c r="U833" i="34"/>
  <c r="P834" i="34"/>
  <c r="Z833" i="34"/>
  <c r="Q834" i="34"/>
  <c r="U834" i="34"/>
  <c r="O833" i="34"/>
  <c r="W833" i="34"/>
  <c r="W832" i="34"/>
  <c r="O832" i="34"/>
  <c r="Z832" i="34"/>
  <c r="U832" i="34"/>
  <c r="Q832" i="34"/>
  <c r="P832" i="34"/>
  <c r="P831" i="34"/>
  <c r="W831" i="34"/>
  <c r="O831" i="34"/>
  <c r="Z831" i="34"/>
  <c r="U831" i="34"/>
  <c r="Q831" i="34"/>
  <c r="Z830" i="34"/>
  <c r="U830" i="34"/>
  <c r="Q830" i="34"/>
  <c r="P830" i="34"/>
  <c r="W830" i="34"/>
  <c r="O830" i="34"/>
  <c r="P827" i="34"/>
  <c r="O828" i="34"/>
  <c r="P828" i="34"/>
  <c r="Q828" i="34"/>
  <c r="U828" i="34"/>
  <c r="W828" i="34"/>
  <c r="W829" i="34"/>
  <c r="O829" i="34"/>
  <c r="Z829" i="34"/>
  <c r="U829" i="34"/>
  <c r="Q829" i="34"/>
  <c r="P829" i="34"/>
  <c r="Z826" i="34"/>
  <c r="U826" i="34"/>
  <c r="Q826" i="34"/>
  <c r="P826" i="34"/>
  <c r="W826" i="34"/>
  <c r="O826" i="34"/>
  <c r="Q827" i="34"/>
  <c r="U827" i="34"/>
  <c r="Z827" i="34"/>
  <c r="O827" i="34"/>
  <c r="W827" i="34"/>
  <c r="W825" i="34"/>
  <c r="O825" i="34"/>
  <c r="Z825" i="34"/>
  <c r="U825" i="34"/>
  <c r="Q825" i="34"/>
  <c r="P825" i="34"/>
  <c r="O823" i="34"/>
  <c r="W823" i="34"/>
  <c r="Q824" i="34"/>
  <c r="U824" i="34"/>
  <c r="P823" i="34"/>
  <c r="Z824" i="34"/>
  <c r="O824" i="34"/>
  <c r="W824" i="34"/>
  <c r="Q823" i="34"/>
  <c r="U823" i="34"/>
  <c r="C33" i="15"/>
  <c r="D27" i="15"/>
  <c r="C27" i="15"/>
  <c r="Y434" i="34" l="1"/>
  <c r="X434" i="34"/>
  <c r="T434" i="34"/>
  <c r="S434" i="34"/>
  <c r="R434" i="34"/>
  <c r="N434" i="34"/>
  <c r="C434" i="34"/>
  <c r="B434" i="34" l="1"/>
  <c r="A434" i="34" s="1"/>
  <c r="Y376" i="34"/>
  <c r="X376" i="34"/>
  <c r="T376" i="34"/>
  <c r="S376" i="34"/>
  <c r="R376" i="34"/>
  <c r="N376" i="34"/>
  <c r="C376" i="34"/>
  <c r="A9" i="12"/>
  <c r="A10" i="12"/>
  <c r="A11" i="12"/>
  <c r="A12" i="12"/>
  <c r="U434" i="34" l="1"/>
  <c r="Q434" i="34"/>
  <c r="O434" i="34"/>
  <c r="P434" i="34"/>
  <c r="B376" i="34"/>
  <c r="A376" i="34" s="1"/>
  <c r="W434" i="34"/>
  <c r="Z434" i="34"/>
  <c r="Y424" i="34"/>
  <c r="X424" i="34"/>
  <c r="T424" i="34"/>
  <c r="S424" i="34"/>
  <c r="R424" i="34"/>
  <c r="N424" i="34"/>
  <c r="C424" i="34"/>
  <c r="Y490" i="34"/>
  <c r="X490" i="34"/>
  <c r="T490" i="34"/>
  <c r="S490" i="34"/>
  <c r="R490" i="34"/>
  <c r="N490" i="34"/>
  <c r="C490" i="34"/>
  <c r="B490" i="34" s="1"/>
  <c r="Y487" i="34"/>
  <c r="X487" i="34"/>
  <c r="T487" i="34"/>
  <c r="S487" i="34"/>
  <c r="R487" i="34"/>
  <c r="N487" i="34"/>
  <c r="C487" i="34"/>
  <c r="B487" i="34" s="1"/>
  <c r="A487" i="34" s="1"/>
  <c r="Y484" i="34"/>
  <c r="X484" i="34"/>
  <c r="T484" i="34"/>
  <c r="S484" i="34"/>
  <c r="R484" i="34"/>
  <c r="N484" i="34"/>
  <c r="C484" i="34"/>
  <c r="B484" i="34" s="1"/>
  <c r="Y481" i="34"/>
  <c r="X481" i="34"/>
  <c r="T481" i="34"/>
  <c r="S481" i="34"/>
  <c r="R481" i="34"/>
  <c r="N481" i="34"/>
  <c r="C481" i="34"/>
  <c r="B481" i="34" s="1"/>
  <c r="A481" i="34" s="1"/>
  <c r="Y478" i="34"/>
  <c r="X478" i="34"/>
  <c r="T478" i="34"/>
  <c r="S478" i="34"/>
  <c r="R478" i="34"/>
  <c r="N478" i="34"/>
  <c r="C478" i="34"/>
  <c r="B478" i="34" s="1"/>
  <c r="Y475" i="34"/>
  <c r="X475" i="34"/>
  <c r="T475" i="34"/>
  <c r="S475" i="34"/>
  <c r="R475" i="34"/>
  <c r="N475" i="34"/>
  <c r="C475" i="34"/>
  <c r="B475" i="34" s="1"/>
  <c r="Y472" i="34"/>
  <c r="X472" i="34"/>
  <c r="T472" i="34"/>
  <c r="S472" i="34"/>
  <c r="R472" i="34"/>
  <c r="N472" i="34"/>
  <c r="C472" i="34"/>
  <c r="B472" i="34" s="1"/>
  <c r="A472" i="34" s="1"/>
  <c r="Y469" i="34"/>
  <c r="X469" i="34"/>
  <c r="T469" i="34"/>
  <c r="S469" i="34"/>
  <c r="R469" i="34"/>
  <c r="N469" i="34"/>
  <c r="C469" i="34"/>
  <c r="B469" i="34" s="1"/>
  <c r="Y465" i="34"/>
  <c r="X465" i="34"/>
  <c r="T465" i="34"/>
  <c r="S465" i="34"/>
  <c r="R465" i="34"/>
  <c r="N465" i="34"/>
  <c r="C465" i="34"/>
  <c r="B465" i="34" s="1"/>
  <c r="Y462" i="34"/>
  <c r="X462" i="34"/>
  <c r="T462" i="34"/>
  <c r="S462" i="34"/>
  <c r="R462" i="34"/>
  <c r="N462" i="34"/>
  <c r="C462" i="34"/>
  <c r="B462" i="34" s="1"/>
  <c r="Y458" i="34"/>
  <c r="X458" i="34"/>
  <c r="T458" i="34"/>
  <c r="S458" i="34"/>
  <c r="R458" i="34"/>
  <c r="N458" i="34"/>
  <c r="C458" i="34"/>
  <c r="B458" i="34" s="1"/>
  <c r="A458" i="34" s="1"/>
  <c r="Y453" i="34"/>
  <c r="X453" i="34"/>
  <c r="T453" i="34"/>
  <c r="S453" i="34"/>
  <c r="R453" i="34"/>
  <c r="N453" i="34"/>
  <c r="C453" i="34"/>
  <c r="B453" i="34" s="1"/>
  <c r="A453" i="34" s="1"/>
  <c r="Y449" i="34"/>
  <c r="X449" i="34"/>
  <c r="T449" i="34"/>
  <c r="S449" i="34"/>
  <c r="R449" i="34"/>
  <c r="N449" i="34"/>
  <c r="C449" i="34"/>
  <c r="B449" i="34" s="1"/>
  <c r="A449" i="34" s="1"/>
  <c r="Y446" i="34"/>
  <c r="X446" i="34"/>
  <c r="T446" i="34"/>
  <c r="S446" i="34"/>
  <c r="R446" i="34"/>
  <c r="N446" i="34"/>
  <c r="C446" i="34"/>
  <c r="B446" i="34" s="1"/>
  <c r="Y443" i="34"/>
  <c r="X443" i="34"/>
  <c r="T443" i="34"/>
  <c r="S443" i="34"/>
  <c r="R443" i="34"/>
  <c r="N443" i="34"/>
  <c r="C443" i="34"/>
  <c r="B443" i="34" s="1"/>
  <c r="Y440" i="34"/>
  <c r="X440" i="34"/>
  <c r="T440" i="34"/>
  <c r="S440" i="34"/>
  <c r="R440" i="34"/>
  <c r="N440" i="34"/>
  <c r="C440" i="34"/>
  <c r="B440" i="34" s="1"/>
  <c r="Y437" i="34"/>
  <c r="X437" i="34"/>
  <c r="T437" i="34"/>
  <c r="S437" i="34"/>
  <c r="R437" i="34"/>
  <c r="N437" i="34"/>
  <c r="C437" i="34"/>
  <c r="Y433" i="34"/>
  <c r="X433" i="34"/>
  <c r="T433" i="34"/>
  <c r="S433" i="34"/>
  <c r="R433" i="34"/>
  <c r="N433" i="34"/>
  <c r="C433" i="34"/>
  <c r="Y430" i="34"/>
  <c r="X430" i="34"/>
  <c r="T430" i="34"/>
  <c r="S430" i="34"/>
  <c r="R430" i="34"/>
  <c r="N430" i="34"/>
  <c r="C430" i="34"/>
  <c r="Y427" i="34"/>
  <c r="X427" i="34"/>
  <c r="T427" i="34"/>
  <c r="S427" i="34"/>
  <c r="R427" i="34"/>
  <c r="N427" i="34"/>
  <c r="C427" i="34"/>
  <c r="Y421" i="34"/>
  <c r="X421" i="34"/>
  <c r="T421" i="34"/>
  <c r="S421" i="34"/>
  <c r="R421" i="34"/>
  <c r="N421" i="34"/>
  <c r="C421" i="34"/>
  <c r="B421" i="34" s="1"/>
  <c r="A421" i="34" s="1"/>
  <c r="Y418" i="34"/>
  <c r="X418" i="34"/>
  <c r="T418" i="34"/>
  <c r="S418" i="34"/>
  <c r="R418" i="34"/>
  <c r="N418" i="34"/>
  <c r="C418" i="34"/>
  <c r="Y414" i="34"/>
  <c r="X414" i="34"/>
  <c r="T414" i="34"/>
  <c r="S414" i="34"/>
  <c r="R414" i="34"/>
  <c r="N414" i="34"/>
  <c r="N416" i="34"/>
  <c r="R416" i="34"/>
  <c r="S416" i="34"/>
  <c r="T416" i="34"/>
  <c r="X416" i="34"/>
  <c r="Y416" i="34"/>
  <c r="C414" i="34"/>
  <c r="B414" i="34" s="1"/>
  <c r="A414" i="34" s="1"/>
  <c r="Y410" i="34"/>
  <c r="X410" i="34"/>
  <c r="T410" i="34"/>
  <c r="S410" i="34"/>
  <c r="R410" i="34"/>
  <c r="N410" i="34"/>
  <c r="C410" i="34"/>
  <c r="Y406" i="34"/>
  <c r="X406" i="34"/>
  <c r="T406" i="34"/>
  <c r="S406" i="34"/>
  <c r="R406" i="34"/>
  <c r="N406" i="34"/>
  <c r="C406" i="34"/>
  <c r="Y399" i="34"/>
  <c r="X399" i="34"/>
  <c r="T399" i="34"/>
  <c r="S399" i="34"/>
  <c r="R399" i="34"/>
  <c r="N399" i="34"/>
  <c r="C399" i="34"/>
  <c r="Y396" i="34"/>
  <c r="X396" i="34"/>
  <c r="T396" i="34"/>
  <c r="S396" i="34"/>
  <c r="R396" i="34"/>
  <c r="N396" i="34"/>
  <c r="C396" i="34"/>
  <c r="B396" i="34" s="1"/>
  <c r="A396" i="34" s="1"/>
  <c r="Y387" i="34"/>
  <c r="X387" i="34"/>
  <c r="T387" i="34"/>
  <c r="S387" i="34"/>
  <c r="R387" i="34"/>
  <c r="N387" i="34"/>
  <c r="C387" i="34"/>
  <c r="Y381" i="34"/>
  <c r="X381" i="34"/>
  <c r="T381" i="34"/>
  <c r="S381" i="34"/>
  <c r="R381" i="34"/>
  <c r="N381" i="34"/>
  <c r="C381" i="34"/>
  <c r="Y375" i="34"/>
  <c r="X375" i="34"/>
  <c r="T375" i="34"/>
  <c r="S375" i="34"/>
  <c r="R375" i="34"/>
  <c r="N375" i="34"/>
  <c r="C375" i="34"/>
  <c r="Y372" i="34"/>
  <c r="X372" i="34"/>
  <c r="T372" i="34"/>
  <c r="S372" i="34"/>
  <c r="R372" i="34"/>
  <c r="N372" i="34"/>
  <c r="C372" i="34"/>
  <c r="Y368" i="34"/>
  <c r="X368" i="34"/>
  <c r="T368" i="34"/>
  <c r="S368" i="34"/>
  <c r="R368" i="34"/>
  <c r="N368" i="34"/>
  <c r="C368" i="34"/>
  <c r="Y365" i="34"/>
  <c r="X365" i="34"/>
  <c r="T365" i="34"/>
  <c r="S365" i="34"/>
  <c r="R365" i="34"/>
  <c r="N365" i="34"/>
  <c r="C365" i="34"/>
  <c r="Y359" i="34"/>
  <c r="X359" i="34"/>
  <c r="T359" i="34"/>
  <c r="S359" i="34"/>
  <c r="R359" i="34"/>
  <c r="N359" i="34"/>
  <c r="C359" i="34"/>
  <c r="Y355" i="34"/>
  <c r="X355" i="34"/>
  <c r="T355" i="34"/>
  <c r="S355" i="34"/>
  <c r="R355" i="34"/>
  <c r="N355" i="34"/>
  <c r="C355" i="34"/>
  <c r="Y351" i="34"/>
  <c r="X351" i="34"/>
  <c r="T351" i="34"/>
  <c r="S351" i="34"/>
  <c r="R351" i="34"/>
  <c r="N351" i="34"/>
  <c r="C351" i="34"/>
  <c r="B351" i="34" s="1"/>
  <c r="A351" i="34" s="1"/>
  <c r="Y347" i="34"/>
  <c r="X347" i="34"/>
  <c r="T347" i="34"/>
  <c r="S347" i="34"/>
  <c r="R347" i="34"/>
  <c r="N347" i="34"/>
  <c r="C347" i="34"/>
  <c r="Y341" i="34"/>
  <c r="X341" i="34"/>
  <c r="T341" i="34"/>
  <c r="S341" i="34"/>
  <c r="R341" i="34"/>
  <c r="N341" i="34"/>
  <c r="C341" i="34"/>
  <c r="Y332" i="34"/>
  <c r="X332" i="34"/>
  <c r="T332" i="34"/>
  <c r="S332" i="34"/>
  <c r="R332" i="34"/>
  <c r="N332" i="34"/>
  <c r="C332" i="34"/>
  <c r="B332" i="34" s="1"/>
  <c r="A332" i="34" s="1"/>
  <c r="Y327" i="34"/>
  <c r="X327" i="34"/>
  <c r="T327" i="34"/>
  <c r="S327" i="34"/>
  <c r="R327" i="34"/>
  <c r="N327" i="34"/>
  <c r="C327" i="34"/>
  <c r="B327" i="34" s="1"/>
  <c r="A327" i="34" s="1"/>
  <c r="Y323" i="34"/>
  <c r="X323" i="34"/>
  <c r="T323" i="34"/>
  <c r="S323" i="34"/>
  <c r="R323" i="34"/>
  <c r="N323" i="34"/>
  <c r="C323" i="34"/>
  <c r="B323" i="34" s="1"/>
  <c r="A323" i="34" s="1"/>
  <c r="Y318" i="34"/>
  <c r="X318" i="34"/>
  <c r="T318" i="34"/>
  <c r="S318" i="34"/>
  <c r="R318" i="34"/>
  <c r="N318" i="34"/>
  <c r="C318" i="34"/>
  <c r="B318" i="34" s="1"/>
  <c r="A318" i="34" s="1"/>
  <c r="Y313" i="34"/>
  <c r="X313" i="34"/>
  <c r="T313" i="34"/>
  <c r="S313" i="34"/>
  <c r="R313" i="34"/>
  <c r="N313" i="34"/>
  <c r="C313" i="34"/>
  <c r="Y306" i="34"/>
  <c r="X306" i="34"/>
  <c r="T306" i="34"/>
  <c r="S306" i="34"/>
  <c r="R306" i="34"/>
  <c r="N306" i="34"/>
  <c r="C306" i="34"/>
  <c r="Y300" i="34"/>
  <c r="X300" i="34"/>
  <c r="T300" i="34"/>
  <c r="S300" i="34"/>
  <c r="R300" i="34"/>
  <c r="N300" i="34"/>
  <c r="C300" i="34"/>
  <c r="W376" i="34" l="1"/>
  <c r="O376" i="34"/>
  <c r="B306" i="34"/>
  <c r="A306" i="34" s="1"/>
  <c r="B368" i="34"/>
  <c r="A368" i="34" s="1"/>
  <c r="B387" i="34"/>
  <c r="A387" i="34" s="1"/>
  <c r="B410" i="34"/>
  <c r="A410" i="34" s="1"/>
  <c r="B418" i="34"/>
  <c r="A418" i="34" s="1"/>
  <c r="B433" i="34"/>
  <c r="A433" i="34" s="1"/>
  <c r="W446" i="34"/>
  <c r="A446" i="34"/>
  <c r="O462" i="34"/>
  <c r="A462" i="34"/>
  <c r="W475" i="34"/>
  <c r="A475" i="34"/>
  <c r="B300" i="34"/>
  <c r="A300" i="34" s="1"/>
  <c r="B347" i="34"/>
  <c r="A347" i="34" s="1"/>
  <c r="B365" i="34"/>
  <c r="A365" i="34" s="1"/>
  <c r="B381" i="34"/>
  <c r="A381" i="34" s="1"/>
  <c r="B406" i="34"/>
  <c r="A406" i="34" s="1"/>
  <c r="B430" i="34"/>
  <c r="A430" i="34" s="1"/>
  <c r="P443" i="34"/>
  <c r="A443" i="34"/>
  <c r="Z484" i="34"/>
  <c r="A484" i="34"/>
  <c r="U376" i="34"/>
  <c r="Q376" i="34"/>
  <c r="Z376" i="34"/>
  <c r="B341" i="34"/>
  <c r="A341" i="34" s="1"/>
  <c r="B359" i="34"/>
  <c r="A359" i="34" s="1"/>
  <c r="B375" i="34"/>
  <c r="A375" i="34" s="1"/>
  <c r="B399" i="34"/>
  <c r="A399" i="34" s="1"/>
  <c r="B427" i="34"/>
  <c r="A427" i="34" s="1"/>
  <c r="W440" i="34"/>
  <c r="A440" i="34"/>
  <c r="Z469" i="34"/>
  <c r="A469" i="34"/>
  <c r="B424" i="34"/>
  <c r="A424" i="34" s="1"/>
  <c r="P376" i="34"/>
  <c r="B313" i="34"/>
  <c r="A313" i="34" s="1"/>
  <c r="B355" i="34"/>
  <c r="A355" i="34" s="1"/>
  <c r="B372" i="34"/>
  <c r="A372" i="34" s="1"/>
  <c r="B437" i="34"/>
  <c r="A437" i="34" s="1"/>
  <c r="W465" i="34"/>
  <c r="A465" i="34"/>
  <c r="Z478" i="34"/>
  <c r="A478" i="34"/>
  <c r="Z490" i="34"/>
  <c r="A490" i="34"/>
  <c r="O424" i="34"/>
  <c r="P449" i="34"/>
  <c r="W449" i="34"/>
  <c r="O449" i="34"/>
  <c r="P458" i="34"/>
  <c r="W458" i="34"/>
  <c r="O458" i="34"/>
  <c r="W462" i="34"/>
  <c r="O469" i="34"/>
  <c r="P478" i="34"/>
  <c r="O443" i="34"/>
  <c r="W443" i="34"/>
  <c r="P469" i="34"/>
  <c r="O478" i="34"/>
  <c r="Z414" i="34"/>
  <c r="W414" i="34"/>
  <c r="Z421" i="34"/>
  <c r="W421" i="34"/>
  <c r="W453" i="34"/>
  <c r="Z453" i="34"/>
  <c r="U453" i="34"/>
  <c r="Q453" i="34"/>
  <c r="P453" i="34"/>
  <c r="O453" i="34"/>
  <c r="W332" i="34"/>
  <c r="O332" i="34"/>
  <c r="O487" i="34"/>
  <c r="W487" i="34"/>
  <c r="Z487" i="34"/>
  <c r="U487" i="34"/>
  <c r="Q487" i="34"/>
  <c r="P487" i="34"/>
  <c r="O481" i="34"/>
  <c r="W481" i="34"/>
  <c r="Z481" i="34"/>
  <c r="U481" i="34"/>
  <c r="Q481" i="34"/>
  <c r="P481" i="34"/>
  <c r="W323" i="34"/>
  <c r="O323" i="34"/>
  <c r="O472" i="34"/>
  <c r="W472" i="34"/>
  <c r="Z472" i="34"/>
  <c r="U472" i="34"/>
  <c r="Q472" i="34"/>
  <c r="P472" i="34"/>
  <c r="P355" i="34"/>
  <c r="O359" i="34"/>
  <c r="W381" i="34"/>
  <c r="P399" i="34"/>
  <c r="P410" i="34"/>
  <c r="W410" i="34"/>
  <c r="Q430" i="34"/>
  <c r="O440" i="34"/>
  <c r="Q443" i="34"/>
  <c r="U443" i="34"/>
  <c r="Z443" i="34"/>
  <c r="O446" i="34"/>
  <c r="Q449" i="34"/>
  <c r="U449" i="34"/>
  <c r="Z449" i="34"/>
  <c r="Q458" i="34"/>
  <c r="U458" i="34"/>
  <c r="Z458" i="34"/>
  <c r="P462" i="34"/>
  <c r="O465" i="34"/>
  <c r="W469" i="34"/>
  <c r="O475" i="34"/>
  <c r="W478" i="34"/>
  <c r="W484" i="34"/>
  <c r="O490" i="34"/>
  <c r="W490" i="34"/>
  <c r="P440" i="34"/>
  <c r="P446" i="34"/>
  <c r="Q462" i="34"/>
  <c r="U462" i="34"/>
  <c r="Z462" i="34"/>
  <c r="P465" i="34"/>
  <c r="P475" i="34"/>
  <c r="O484" i="34"/>
  <c r="P490" i="34"/>
  <c r="W365" i="34"/>
  <c r="Q433" i="34"/>
  <c r="Q440" i="34"/>
  <c r="U440" i="34"/>
  <c r="Z440" i="34"/>
  <c r="Q446" i="34"/>
  <c r="U446" i="34"/>
  <c r="Z446" i="34"/>
  <c r="Q465" i="34"/>
  <c r="U465" i="34"/>
  <c r="Z465" i="34"/>
  <c r="Q475" i="34"/>
  <c r="U475" i="34"/>
  <c r="Z475" i="34"/>
  <c r="P484" i="34"/>
  <c r="Q490" i="34"/>
  <c r="U490" i="34"/>
  <c r="P313" i="34"/>
  <c r="W372" i="34"/>
  <c r="O399" i="34"/>
  <c r="Q469" i="34"/>
  <c r="U469" i="34"/>
  <c r="Q478" i="34"/>
  <c r="U478" i="34"/>
  <c r="Q484" i="34"/>
  <c r="U484" i="34"/>
  <c r="W396" i="34"/>
  <c r="Z396" i="34"/>
  <c r="U396" i="34"/>
  <c r="Q396" i="34"/>
  <c r="P396" i="34"/>
  <c r="O396" i="34"/>
  <c r="P351" i="34"/>
  <c r="O351" i="34"/>
  <c r="W351" i="34"/>
  <c r="Q351" i="34"/>
  <c r="Z351" i="34"/>
  <c r="U351" i="34"/>
  <c r="P318" i="34"/>
  <c r="O318" i="34"/>
  <c r="W318" i="34"/>
  <c r="Z318" i="34"/>
  <c r="Q318" i="34"/>
  <c r="U318" i="34"/>
  <c r="P327" i="34"/>
  <c r="O327" i="34"/>
  <c r="Z327" i="34"/>
  <c r="Q327" i="34"/>
  <c r="W327" i="34"/>
  <c r="U327" i="34"/>
  <c r="P375" i="34"/>
  <c r="Q387" i="34"/>
  <c r="U387" i="34"/>
  <c r="Z387" i="34"/>
  <c r="Q406" i="34"/>
  <c r="U406" i="34"/>
  <c r="Z406" i="34"/>
  <c r="P418" i="34"/>
  <c r="Z306" i="34"/>
  <c r="P332" i="34"/>
  <c r="U368" i="34"/>
  <c r="O372" i="34"/>
  <c r="Q375" i="34"/>
  <c r="U375" i="34"/>
  <c r="Z375" i="34"/>
  <c r="O381" i="34"/>
  <c r="W387" i="34"/>
  <c r="W406" i="34"/>
  <c r="Q410" i="34"/>
  <c r="U410" i="34"/>
  <c r="Z410" i="34"/>
  <c r="O414" i="34"/>
  <c r="Q418" i="34"/>
  <c r="U418" i="34"/>
  <c r="Z418" i="34"/>
  <c r="O421" i="34"/>
  <c r="P306" i="34"/>
  <c r="Q306" i="34"/>
  <c r="P323" i="34"/>
  <c r="U313" i="34"/>
  <c r="Z313" i="34"/>
  <c r="Q323" i="34"/>
  <c r="U323" i="34"/>
  <c r="Z323" i="34"/>
  <c r="Q332" i="34"/>
  <c r="U332" i="34"/>
  <c r="Z332" i="34"/>
  <c r="W347" i="34"/>
  <c r="Q359" i="34"/>
  <c r="U359" i="34"/>
  <c r="Z359" i="34"/>
  <c r="P372" i="34"/>
  <c r="W375" i="34"/>
  <c r="P381" i="34"/>
  <c r="O387" i="34"/>
  <c r="O406" i="34"/>
  <c r="P414" i="34"/>
  <c r="W418" i="34"/>
  <c r="P421" i="34"/>
  <c r="U306" i="34"/>
  <c r="W306" i="34"/>
  <c r="Q313" i="34"/>
  <c r="Q365" i="34"/>
  <c r="U365" i="34"/>
  <c r="Q372" i="34"/>
  <c r="U372" i="34"/>
  <c r="Q381" i="34"/>
  <c r="U381" i="34"/>
  <c r="Q399" i="34"/>
  <c r="U399" i="34"/>
  <c r="Q414" i="34"/>
  <c r="U414" i="34"/>
  <c r="Q421" i="34"/>
  <c r="U421" i="34"/>
  <c r="O300" i="34"/>
  <c r="W300" i="34"/>
  <c r="Q300" i="34"/>
  <c r="U300" i="34"/>
  <c r="P300" i="34"/>
  <c r="A37" i="70"/>
  <c r="Q355" i="34" l="1"/>
  <c r="W430" i="34"/>
  <c r="P365" i="34"/>
  <c r="W399" i="34"/>
  <c r="O313" i="34"/>
  <c r="U341" i="34"/>
  <c r="Q368" i="34"/>
  <c r="Z347" i="34"/>
  <c r="U427" i="34"/>
  <c r="O341" i="34"/>
  <c r="P427" i="34"/>
  <c r="P433" i="34"/>
  <c r="O433" i="34"/>
  <c r="W427" i="34"/>
  <c r="W341" i="34"/>
  <c r="P430" i="34"/>
  <c r="Q341" i="34"/>
  <c r="P347" i="34"/>
  <c r="Z355" i="34"/>
  <c r="U347" i="34"/>
  <c r="P368" i="34"/>
  <c r="Q427" i="34"/>
  <c r="Z433" i="34"/>
  <c r="Z430" i="34"/>
  <c r="P341" i="34"/>
  <c r="W368" i="34"/>
  <c r="W355" i="34"/>
  <c r="Z368" i="34"/>
  <c r="U355" i="34"/>
  <c r="Q347" i="34"/>
  <c r="U433" i="34"/>
  <c r="U430" i="34"/>
  <c r="U437" i="34"/>
  <c r="O437" i="34"/>
  <c r="Z437" i="34"/>
  <c r="O365" i="34"/>
  <c r="Q437" i="34"/>
  <c r="O375" i="34"/>
  <c r="U424" i="34"/>
  <c r="O427" i="34"/>
  <c r="W424" i="34"/>
  <c r="Z341" i="34"/>
  <c r="Z427" i="34"/>
  <c r="P359" i="34"/>
  <c r="P424" i="34"/>
  <c r="Q424" i="34"/>
  <c r="Z424" i="34"/>
  <c r="Z399" i="34"/>
  <c r="W359" i="34"/>
  <c r="W437" i="34"/>
  <c r="Z372" i="34"/>
  <c r="W313" i="34"/>
  <c r="P406" i="34"/>
  <c r="Z365" i="34"/>
  <c r="Z300" i="34"/>
  <c r="W433" i="34"/>
  <c r="O410" i="34"/>
  <c r="O368" i="34"/>
  <c r="P437" i="34"/>
  <c r="O355" i="34"/>
  <c r="O430" i="34"/>
  <c r="Z381" i="34"/>
  <c r="O347" i="34"/>
  <c r="O418" i="34"/>
  <c r="P387" i="34"/>
  <c r="O306" i="34"/>
  <c r="A41" i="70"/>
  <c r="A8" i="70"/>
  <c r="A32" i="70"/>
  <c r="A33" i="70"/>
  <c r="A9" i="70"/>
  <c r="A26" i="70"/>
  <c r="A10" i="70"/>
  <c r="A24" i="70"/>
  <c r="A39" i="70"/>
  <c r="A40" i="70"/>
  <c r="A34" i="70"/>
  <c r="A6" i="70"/>
  <c r="A16" i="70"/>
  <c r="A28" i="70"/>
  <c r="A22" i="70"/>
  <c r="A29" i="70"/>
  <c r="A23" i="70"/>
  <c r="A20" i="70"/>
  <c r="C43" i="70"/>
  <c r="A36" i="70"/>
  <c r="A30" i="70"/>
  <c r="AC493" i="34"/>
  <c r="AC496" i="34"/>
  <c r="AC499" i="34"/>
  <c r="AC507" i="34"/>
  <c r="AC510" i="34"/>
  <c r="AC513" i="34"/>
  <c r="AC516" i="34"/>
  <c r="AC520" i="34"/>
  <c r="AC525" i="34"/>
  <c r="AC527" i="34"/>
  <c r="AC531" i="34"/>
  <c r="AC534" i="34"/>
  <c r="AC536" i="34"/>
  <c r="AC539" i="34"/>
  <c r="AC541" i="34"/>
  <c r="AC544" i="34"/>
  <c r="AC547" i="34"/>
  <c r="AC552" i="34"/>
  <c r="AC554" i="34"/>
  <c r="AC558" i="34"/>
  <c r="AC561" i="34"/>
  <c r="AC564" i="34"/>
  <c r="AC567" i="34"/>
  <c r="AC571" i="34"/>
  <c r="AC573" i="34"/>
  <c r="AC580" i="34"/>
  <c r="AC582" i="34"/>
  <c r="AC584" i="34"/>
  <c r="AC586" i="34"/>
  <c r="AC588" i="34"/>
  <c r="AC591" i="34"/>
  <c r="AC594" i="34"/>
  <c r="AC597" i="34"/>
  <c r="AC600" i="34"/>
  <c r="AC604" i="34"/>
  <c r="AC608" i="34"/>
  <c r="AC611" i="34"/>
  <c r="AC613" i="34"/>
  <c r="AC615" i="34"/>
  <c r="AC618" i="34"/>
  <c r="AC622" i="34"/>
  <c r="AC626" i="34"/>
  <c r="AC629" i="34"/>
  <c r="AC632" i="34"/>
  <c r="AC635" i="34"/>
  <c r="AC638" i="34"/>
  <c r="AC640" i="34"/>
  <c r="AC646" i="34"/>
  <c r="AC648" i="34"/>
  <c r="AC651" i="34"/>
  <c r="AC654" i="34"/>
  <c r="AC656" i="34"/>
  <c r="AC659" i="34"/>
  <c r="AC665" i="34"/>
  <c r="AC668" i="34"/>
  <c r="AC670" i="34"/>
  <c r="AC672" i="34"/>
  <c r="AC676" i="34"/>
  <c r="AC681" i="34"/>
  <c r="AC686" i="34"/>
  <c r="AC688" i="34"/>
  <c r="AC690" i="34"/>
  <c r="AC692" i="34"/>
  <c r="AC694" i="34"/>
  <c r="AC697" i="34"/>
  <c r="AC701" i="34"/>
  <c r="AC704" i="34"/>
  <c r="AC708" i="34"/>
  <c r="AC710" i="34"/>
  <c r="AC712" i="34"/>
  <c r="AC715" i="34"/>
  <c r="AC717" i="34"/>
  <c r="AC720" i="34"/>
  <c r="AC723" i="34"/>
  <c r="AC729" i="34"/>
  <c r="AC731" i="34"/>
  <c r="AC733" i="34"/>
  <c r="AC737" i="34"/>
  <c r="AC744" i="34"/>
  <c r="AC749" i="34"/>
  <c r="AC754" i="34"/>
  <c r="AC756" i="34"/>
  <c r="AC758" i="34"/>
  <c r="AC761" i="34"/>
  <c r="AC763" i="34"/>
  <c r="AC766" i="34"/>
  <c r="AC768" i="34"/>
  <c r="AC770" i="34"/>
  <c r="AC772" i="34"/>
  <c r="AC775" i="34"/>
  <c r="AC778" i="34"/>
  <c r="AC780" i="34"/>
  <c r="AC783" i="34"/>
  <c r="AC785" i="34"/>
  <c r="AC788" i="34"/>
  <c r="AC791" i="34"/>
  <c r="AC795" i="34"/>
  <c r="AC797" i="34"/>
  <c r="AC799" i="34"/>
  <c r="AC801" i="34"/>
  <c r="AC804" i="34"/>
  <c r="AC807" i="34"/>
  <c r="AC809" i="34"/>
  <c r="AC811" i="34"/>
  <c r="AC813" i="34"/>
  <c r="AC819" i="34"/>
  <c r="AC822" i="34"/>
  <c r="AC847" i="34"/>
  <c r="AC850" i="34"/>
  <c r="AC852" i="34"/>
  <c r="AC855" i="34"/>
  <c r="AC858" i="34"/>
  <c r="AC860" i="34"/>
  <c r="AC862" i="34"/>
  <c r="AC870" i="34"/>
  <c r="AC872" i="34"/>
  <c r="AC874" i="34"/>
  <c r="AC876" i="34"/>
  <c r="AC878" i="34"/>
  <c r="AC882" i="34"/>
  <c r="AC887" i="34"/>
  <c r="AC890" i="34"/>
  <c r="AC893" i="34"/>
  <c r="AC896" i="34"/>
  <c r="AC898" i="34"/>
  <c r="AC900" i="34"/>
  <c r="AC903" i="34"/>
  <c r="AC907" i="34"/>
  <c r="AC909" i="34"/>
  <c r="AC911" i="34"/>
  <c r="AC914" i="34"/>
  <c r="AC916" i="34"/>
  <c r="AC919" i="34"/>
  <c r="AC921" i="34"/>
  <c r="AC923" i="34"/>
  <c r="AC926" i="34"/>
  <c r="AC928" i="34"/>
  <c r="AC935" i="34"/>
  <c r="AC945" i="34"/>
  <c r="AC955" i="34"/>
  <c r="AC958" i="34"/>
  <c r="AC962" i="34"/>
  <c r="AC965" i="34"/>
  <c r="AC969" i="34"/>
  <c r="AC971" i="34"/>
  <c r="AC974" i="34"/>
  <c r="AC976" i="34"/>
  <c r="AC978" i="34"/>
  <c r="AC980" i="34"/>
  <c r="AC983" i="34"/>
  <c r="AC985" i="34"/>
  <c r="AC989" i="34"/>
  <c r="AC991" i="34"/>
  <c r="AC993" i="34"/>
  <c r="AC996" i="34"/>
  <c r="AC1000" i="34"/>
  <c r="AC1002" i="34"/>
  <c r="AC1005" i="34"/>
  <c r="AC1007" i="34"/>
  <c r="AC1010" i="34"/>
  <c r="AC1012" i="34"/>
  <c r="AC1014" i="34"/>
  <c r="AC1017" i="34"/>
  <c r="AC1022" i="34"/>
  <c r="AC1027" i="34"/>
  <c r="AC1030" i="34"/>
  <c r="AC1034" i="34"/>
  <c r="AC1038" i="34"/>
  <c r="AC1041" i="34"/>
  <c r="AC1045" i="34"/>
  <c r="AC1047" i="34"/>
  <c r="AC1050" i="34"/>
  <c r="AC1054" i="34"/>
  <c r="AC1056" i="34"/>
  <c r="AC1058" i="34"/>
  <c r="AC1060" i="34"/>
  <c r="AC1062" i="34"/>
  <c r="AC1065" i="34"/>
  <c r="AC1067" i="34"/>
  <c r="AC1077" i="34"/>
  <c r="AC1079" i="34"/>
  <c r="AC1081" i="34"/>
  <c r="AC1085" i="34"/>
  <c r="AC1088" i="34"/>
  <c r="AC1090" i="34"/>
  <c r="I8" i="12" l="1"/>
  <c r="I10" i="12"/>
  <c r="I11" i="12"/>
  <c r="I12" i="12"/>
  <c r="I13" i="12"/>
  <c r="I14" i="12"/>
  <c r="I15" i="12"/>
  <c r="I16" i="12"/>
  <c r="I6" i="12"/>
  <c r="I42" i="70"/>
  <c r="D16" i="15" l="1"/>
  <c r="C16" i="15"/>
  <c r="D13" i="15"/>
  <c r="C13" i="15"/>
  <c r="D11" i="15"/>
  <c r="C11" i="15"/>
  <c r="C1092" i="34"/>
  <c r="C1091" i="34"/>
  <c r="C1090" i="34"/>
  <c r="K1089" i="34"/>
  <c r="C1089" i="34"/>
  <c r="C1088" i="34"/>
  <c r="K1087" i="34"/>
  <c r="C1087" i="34"/>
  <c r="C1085" i="34"/>
  <c r="K1084" i="34"/>
  <c r="C1084" i="34"/>
  <c r="K1083" i="34"/>
  <c r="C1083" i="34"/>
  <c r="K1082" i="34"/>
  <c r="C1082" i="34"/>
  <c r="C1081" i="34"/>
  <c r="K1080" i="34"/>
  <c r="C1080" i="34"/>
  <c r="C1079" i="34"/>
  <c r="C1078" i="34"/>
  <c r="C1077" i="34"/>
  <c r="K1076" i="34"/>
  <c r="C1076" i="34"/>
  <c r="K1075" i="34"/>
  <c r="C1075" i="34"/>
  <c r="K1074" i="34"/>
  <c r="C1074" i="34"/>
  <c r="K1073" i="34"/>
  <c r="C1073" i="34"/>
  <c r="K1072" i="34"/>
  <c r="C1072" i="34"/>
  <c r="K1071" i="34"/>
  <c r="C1071" i="34"/>
  <c r="K1070" i="34"/>
  <c r="C1070" i="34"/>
  <c r="K1069" i="34"/>
  <c r="C1069" i="34"/>
  <c r="C1067" i="34"/>
  <c r="K1066" i="34"/>
  <c r="C1066" i="34"/>
  <c r="C1065" i="34"/>
  <c r="K1064" i="34"/>
  <c r="C1064" i="34"/>
  <c r="C1062" i="34"/>
  <c r="K1061" i="34"/>
  <c r="C1061" i="34"/>
  <c r="C1060" i="34"/>
  <c r="K1059" i="34"/>
  <c r="C1059" i="34"/>
  <c r="C1058" i="34"/>
  <c r="K1057" i="34"/>
  <c r="C1057" i="34"/>
  <c r="C1056" i="34"/>
  <c r="K1055" i="34"/>
  <c r="C1055" i="34"/>
  <c r="C1054" i="34"/>
  <c r="K1053" i="34"/>
  <c r="C1053" i="34"/>
  <c r="K1052" i="34"/>
  <c r="C1052" i="34"/>
  <c r="C1050" i="34"/>
  <c r="K1049" i="34"/>
  <c r="C1049" i="34"/>
  <c r="K1048" i="34"/>
  <c r="C1048" i="34"/>
  <c r="C1047" i="34"/>
  <c r="K1046" i="34"/>
  <c r="C1046" i="34"/>
  <c r="C1045" i="34"/>
  <c r="K1044" i="34"/>
  <c r="C1044" i="34"/>
  <c r="K1043" i="34"/>
  <c r="C1043" i="34"/>
  <c r="K1042" i="34"/>
  <c r="C1042" i="34"/>
  <c r="C1041" i="34"/>
  <c r="K1040" i="34"/>
  <c r="C1040" i="34"/>
  <c r="C1038" i="34"/>
  <c r="K1037" i="34"/>
  <c r="C1037" i="34"/>
  <c r="K1036" i="34"/>
  <c r="C1036" i="34"/>
  <c r="C1034" i="34"/>
  <c r="K1033" i="34"/>
  <c r="C1033" i="34"/>
  <c r="K1032" i="34"/>
  <c r="C1032" i="34"/>
  <c r="K1031" i="34"/>
  <c r="C1031" i="34"/>
  <c r="C1030" i="34"/>
  <c r="K1029" i="34"/>
  <c r="C1029" i="34"/>
  <c r="C1027" i="34"/>
  <c r="K1026" i="34"/>
  <c r="C1026" i="34"/>
  <c r="K1025" i="34"/>
  <c r="C1025" i="34"/>
  <c r="K1024" i="34"/>
  <c r="C1024" i="34"/>
  <c r="C1022" i="34"/>
  <c r="K1021" i="34"/>
  <c r="C1021" i="34"/>
  <c r="K1020" i="34"/>
  <c r="C1020" i="34"/>
  <c r="K1019" i="34"/>
  <c r="C1019" i="34"/>
  <c r="K1018" i="34"/>
  <c r="C1018" i="34"/>
  <c r="C1017" i="34"/>
  <c r="K1016" i="34"/>
  <c r="C1016" i="34"/>
  <c r="C1014" i="34"/>
  <c r="K1013" i="34"/>
  <c r="C1013" i="34"/>
  <c r="C1012" i="34"/>
  <c r="K1011" i="34"/>
  <c r="C1011" i="34"/>
  <c r="C1010" i="34"/>
  <c r="K1009" i="34"/>
  <c r="C1009" i="34"/>
  <c r="C1007" i="34"/>
  <c r="K1006" i="34"/>
  <c r="C1006" i="34"/>
  <c r="C1005" i="34"/>
  <c r="K1004" i="34"/>
  <c r="C1004" i="34"/>
  <c r="C1002" i="34"/>
  <c r="K1001" i="34"/>
  <c r="C1001" i="34"/>
  <c r="C1000" i="34"/>
  <c r="K999" i="34"/>
  <c r="C999" i="34"/>
  <c r="K998" i="34"/>
  <c r="C998" i="34"/>
  <c r="K997" i="34"/>
  <c r="C997" i="34"/>
  <c r="C996" i="34"/>
  <c r="K995" i="34"/>
  <c r="C995" i="34"/>
  <c r="K994" i="34"/>
  <c r="C994" i="34"/>
  <c r="C993" i="34"/>
  <c r="K992" i="34"/>
  <c r="C992" i="34"/>
  <c r="C991" i="34"/>
  <c r="K990" i="34"/>
  <c r="C990" i="34"/>
  <c r="C989" i="34"/>
  <c r="K988" i="34"/>
  <c r="C988" i="34"/>
  <c r="K987" i="34"/>
  <c r="C987" i="34"/>
  <c r="C985" i="34"/>
  <c r="K984" i="34"/>
  <c r="C984" i="34"/>
  <c r="C983" i="34"/>
  <c r="K982" i="34"/>
  <c r="C982" i="34"/>
  <c r="C980" i="34"/>
  <c r="K979" i="34"/>
  <c r="C979" i="34"/>
  <c r="C978" i="34"/>
  <c r="K977" i="34"/>
  <c r="C977" i="34"/>
  <c r="C976" i="34"/>
  <c r="K975" i="34"/>
  <c r="C975" i="34"/>
  <c r="C974" i="34"/>
  <c r="K973" i="34"/>
  <c r="C973" i="34"/>
  <c r="K972" i="34"/>
  <c r="C972" i="34"/>
  <c r="C971" i="34"/>
  <c r="K970" i="34"/>
  <c r="C970" i="34"/>
  <c r="C969" i="34"/>
  <c r="K968" i="34"/>
  <c r="C968" i="34"/>
  <c r="K967" i="34"/>
  <c r="C967" i="34"/>
  <c r="K966" i="34"/>
  <c r="C966" i="34"/>
  <c r="C965" i="34"/>
  <c r="K964" i="34"/>
  <c r="C964" i="34"/>
  <c r="C962" i="34"/>
  <c r="K961" i="34"/>
  <c r="C961" i="34"/>
  <c r="K960" i="34"/>
  <c r="C960" i="34"/>
  <c r="C958" i="34"/>
  <c r="K957" i="34"/>
  <c r="C957" i="34"/>
  <c r="C955" i="34"/>
  <c r="K954" i="34"/>
  <c r="C954" i="34"/>
  <c r="K953" i="34"/>
  <c r="C953" i="34"/>
  <c r="K952" i="34"/>
  <c r="C952" i="34"/>
  <c r="K951" i="34"/>
  <c r="C951" i="34"/>
  <c r="K950" i="34"/>
  <c r="C950" i="34"/>
  <c r="K949" i="34"/>
  <c r="C949" i="34"/>
  <c r="K948" i="34"/>
  <c r="C948" i="34"/>
  <c r="K947" i="34"/>
  <c r="C947" i="34"/>
  <c r="C945" i="34"/>
  <c r="K944" i="34"/>
  <c r="C944" i="34"/>
  <c r="K943" i="34"/>
  <c r="C943" i="34"/>
  <c r="K942" i="34"/>
  <c r="C942" i="34"/>
  <c r="K941" i="34"/>
  <c r="C941" i="34"/>
  <c r="K940" i="34"/>
  <c r="C940" i="34"/>
  <c r="K939" i="34"/>
  <c r="C939" i="34"/>
  <c r="K938" i="34"/>
  <c r="C938" i="34"/>
  <c r="K937" i="34"/>
  <c r="C937" i="34"/>
  <c r="C935" i="34"/>
  <c r="K934" i="34"/>
  <c r="C934" i="34"/>
  <c r="K933" i="34"/>
  <c r="C933" i="34"/>
  <c r="K932" i="34"/>
  <c r="C932" i="34"/>
  <c r="K931" i="34"/>
  <c r="C931" i="34"/>
  <c r="K930" i="34"/>
  <c r="C930" i="34"/>
  <c r="K929" i="34"/>
  <c r="C929" i="34"/>
  <c r="C928" i="34"/>
  <c r="K927" i="34"/>
  <c r="C927" i="34"/>
  <c r="C926" i="34"/>
  <c r="K925" i="34"/>
  <c r="C925" i="34"/>
  <c r="K924" i="34"/>
  <c r="C924" i="34"/>
  <c r="C923" i="34"/>
  <c r="K922" i="34"/>
  <c r="C922" i="34"/>
  <c r="C921" i="34"/>
  <c r="K920" i="34"/>
  <c r="C920" i="34"/>
  <c r="C919" i="34"/>
  <c r="K918" i="34"/>
  <c r="C918" i="34"/>
  <c r="C916" i="34"/>
  <c r="K915" i="34"/>
  <c r="C915" i="34"/>
  <c r="C914" i="34"/>
  <c r="K913" i="34"/>
  <c r="C913" i="34"/>
  <c r="C911" i="34"/>
  <c r="K910" i="34"/>
  <c r="C910" i="34"/>
  <c r="C909" i="34"/>
  <c r="K908" i="34"/>
  <c r="C908" i="34"/>
  <c r="C907" i="34"/>
  <c r="K906" i="34"/>
  <c r="C906" i="34"/>
  <c r="K905" i="34"/>
  <c r="C905" i="34"/>
  <c r="C903" i="34"/>
  <c r="K902" i="34"/>
  <c r="C902" i="34"/>
  <c r="K901" i="34"/>
  <c r="C901" i="34"/>
  <c r="C900" i="34"/>
  <c r="K899" i="34"/>
  <c r="C899" i="34"/>
  <c r="C898" i="34"/>
  <c r="K897" i="34"/>
  <c r="C897" i="34"/>
  <c r="C896" i="34"/>
  <c r="K895" i="34"/>
  <c r="C895" i="34"/>
  <c r="K894" i="34"/>
  <c r="C894" i="34"/>
  <c r="C893" i="34"/>
  <c r="K892" i="34"/>
  <c r="C892" i="34"/>
  <c r="K891" i="34"/>
  <c r="C891" i="34"/>
  <c r="C890" i="34"/>
  <c r="K889" i="34"/>
  <c r="C889" i="34"/>
  <c r="C887" i="34"/>
  <c r="K886" i="34"/>
  <c r="C886" i="34"/>
  <c r="K885" i="34"/>
  <c r="C885" i="34"/>
  <c r="K884" i="34"/>
  <c r="C884" i="34"/>
  <c r="K883" i="34"/>
  <c r="C883" i="34"/>
  <c r="C882" i="34"/>
  <c r="K881" i="34"/>
  <c r="C881" i="34"/>
  <c r="K880" i="34"/>
  <c r="C880" i="34"/>
  <c r="C878" i="34"/>
  <c r="K877" i="34"/>
  <c r="C877" i="34"/>
  <c r="C876" i="34"/>
  <c r="K875" i="34"/>
  <c r="C875" i="34"/>
  <c r="C874" i="34"/>
  <c r="K873" i="34"/>
  <c r="C873" i="34"/>
  <c r="C872" i="34"/>
  <c r="K871" i="34"/>
  <c r="C871" i="34"/>
  <c r="C870" i="34"/>
  <c r="K869" i="34"/>
  <c r="C869" i="34"/>
  <c r="C862" i="34"/>
  <c r="K861" i="34"/>
  <c r="C861" i="34"/>
  <c r="C860" i="34"/>
  <c r="K859" i="34"/>
  <c r="C859" i="34"/>
  <c r="C858" i="34"/>
  <c r="K857" i="34"/>
  <c r="C857" i="34"/>
  <c r="C855" i="34"/>
  <c r="K854" i="34"/>
  <c r="C854" i="34"/>
  <c r="C852" i="34"/>
  <c r="K851" i="34"/>
  <c r="C851" i="34"/>
  <c r="C850" i="34"/>
  <c r="K849" i="34"/>
  <c r="C849" i="34"/>
  <c r="K848" i="34"/>
  <c r="C848" i="34"/>
  <c r="C847" i="34"/>
  <c r="K846" i="34"/>
  <c r="C846" i="34"/>
  <c r="C822" i="34"/>
  <c r="K821" i="34"/>
  <c r="C821" i="34"/>
  <c r="K820" i="34"/>
  <c r="C820" i="34"/>
  <c r="C819" i="34"/>
  <c r="K818" i="34"/>
  <c r="C818" i="34"/>
  <c r="K817" i="34"/>
  <c r="C817" i="34"/>
  <c r="K816" i="34"/>
  <c r="C816" i="34"/>
  <c r="K815" i="34"/>
  <c r="C815" i="34"/>
  <c r="C813" i="34"/>
  <c r="K812" i="34"/>
  <c r="C812" i="34"/>
  <c r="C811" i="34"/>
  <c r="K810" i="34"/>
  <c r="C810" i="34"/>
  <c r="C809" i="34"/>
  <c r="K808" i="34"/>
  <c r="C808" i="34"/>
  <c r="C807" i="34"/>
  <c r="K806" i="34"/>
  <c r="C806" i="34"/>
  <c r="C804" i="34"/>
  <c r="K803" i="34"/>
  <c r="C803" i="34"/>
  <c r="C801" i="34"/>
  <c r="K800" i="34"/>
  <c r="C800" i="34"/>
  <c r="C799" i="34"/>
  <c r="K798" i="34"/>
  <c r="C798" i="34"/>
  <c r="C797" i="34"/>
  <c r="K796" i="34"/>
  <c r="C796" i="34"/>
  <c r="C795" i="34"/>
  <c r="K794" i="34"/>
  <c r="C794" i="34"/>
  <c r="K793" i="34"/>
  <c r="C793" i="34"/>
  <c r="K792" i="34"/>
  <c r="C792" i="34"/>
  <c r="C791" i="34"/>
  <c r="K790" i="34"/>
  <c r="C790" i="34"/>
  <c r="C788" i="34"/>
  <c r="K787" i="34"/>
  <c r="C787" i="34"/>
  <c r="K786" i="34"/>
  <c r="C786" i="34"/>
  <c r="C785" i="34"/>
  <c r="K784" i="34"/>
  <c r="C784" i="34"/>
  <c r="C783" i="34"/>
  <c r="K782" i="34"/>
  <c r="C782" i="34"/>
  <c r="C780" i="34"/>
  <c r="K779" i="34"/>
  <c r="C779" i="34"/>
  <c r="C778" i="34"/>
  <c r="K777" i="34"/>
  <c r="C777" i="34"/>
  <c r="K776" i="34"/>
  <c r="C776" i="34"/>
  <c r="C775" i="34"/>
  <c r="K774" i="34"/>
  <c r="C774" i="34"/>
  <c r="K773" i="34"/>
  <c r="C773" i="34"/>
  <c r="C772" i="34"/>
  <c r="K771" i="34"/>
  <c r="C771" i="34"/>
  <c r="C770" i="34"/>
  <c r="K769" i="34"/>
  <c r="C769" i="34"/>
  <c r="C768" i="34"/>
  <c r="K767" i="34"/>
  <c r="C767" i="34"/>
  <c r="C766" i="34"/>
  <c r="K765" i="34"/>
  <c r="C765" i="34"/>
  <c r="C763" i="34"/>
  <c r="K762" i="34"/>
  <c r="C762" i="34"/>
  <c r="C761" i="34"/>
  <c r="C758" i="34"/>
  <c r="K757" i="34"/>
  <c r="C757" i="34"/>
  <c r="C756" i="34"/>
  <c r="K755" i="34"/>
  <c r="C755" i="34"/>
  <c r="C754" i="34"/>
  <c r="K753" i="34"/>
  <c r="C753" i="34"/>
  <c r="K752" i="34"/>
  <c r="C752" i="34"/>
  <c r="K751" i="34"/>
  <c r="C751" i="34"/>
  <c r="K750" i="34"/>
  <c r="C750" i="34"/>
  <c r="C749" i="34"/>
  <c r="K748" i="34"/>
  <c r="C748" i="34"/>
  <c r="K747" i="34"/>
  <c r="C747" i="34"/>
  <c r="K746" i="34"/>
  <c r="C746" i="34"/>
  <c r="C744" i="34"/>
  <c r="K743" i="34"/>
  <c r="C743" i="34"/>
  <c r="K742" i="34"/>
  <c r="C742" i="34"/>
  <c r="K741" i="34"/>
  <c r="C741" i="34"/>
  <c r="K740" i="34"/>
  <c r="C740" i="34"/>
  <c r="K739" i="34"/>
  <c r="C739" i="34"/>
  <c r="K738" i="34"/>
  <c r="C738" i="34"/>
  <c r="C737" i="34"/>
  <c r="K736" i="34"/>
  <c r="C736" i="34"/>
  <c r="K735" i="34"/>
  <c r="C735" i="34"/>
  <c r="C733" i="34"/>
  <c r="K732" i="34"/>
  <c r="C732" i="34"/>
  <c r="C731" i="34"/>
  <c r="K730" i="34"/>
  <c r="C730" i="34"/>
  <c r="C729" i="34"/>
  <c r="K728" i="34"/>
  <c r="C728" i="34"/>
  <c r="K727" i="34"/>
  <c r="C727" i="34"/>
  <c r="K726" i="34"/>
  <c r="C726" i="34"/>
  <c r="K725" i="34"/>
  <c r="C725" i="34"/>
  <c r="C723" i="34"/>
  <c r="K722" i="34"/>
  <c r="C722" i="34"/>
  <c r="K721" i="34"/>
  <c r="C721" i="34"/>
  <c r="C720" i="34"/>
  <c r="K719" i="34"/>
  <c r="C719" i="34"/>
  <c r="K718" i="34"/>
  <c r="C718" i="34"/>
  <c r="C717" i="34"/>
  <c r="K716" i="34"/>
  <c r="C716" i="34"/>
  <c r="C715" i="34"/>
  <c r="K714" i="34"/>
  <c r="C714" i="34"/>
  <c r="C712" i="34"/>
  <c r="K711" i="34"/>
  <c r="C711" i="34"/>
  <c r="C710" i="34"/>
  <c r="K709" i="34"/>
  <c r="C709" i="34"/>
  <c r="C708" i="34"/>
  <c r="K707" i="34"/>
  <c r="C707" i="34"/>
  <c r="K706" i="34"/>
  <c r="C706" i="34"/>
  <c r="K705" i="34"/>
  <c r="C705" i="34"/>
  <c r="C704" i="34"/>
  <c r="K703" i="34"/>
  <c r="C703" i="34"/>
  <c r="K702" i="34"/>
  <c r="C702" i="34"/>
  <c r="C701" i="34"/>
  <c r="K700" i="34"/>
  <c r="C700" i="34"/>
  <c r="K699" i="34"/>
  <c r="C699" i="34"/>
  <c r="C697" i="34"/>
  <c r="K696" i="34"/>
  <c r="C696" i="34"/>
  <c r="C694" i="34"/>
  <c r="K693" i="34"/>
  <c r="C693" i="34"/>
  <c r="C692" i="34"/>
  <c r="K691" i="34"/>
  <c r="C691" i="34"/>
  <c r="C690" i="34"/>
  <c r="K689" i="34"/>
  <c r="C689" i="34"/>
  <c r="C688" i="34"/>
  <c r="K687" i="34"/>
  <c r="C687" i="34"/>
  <c r="C686" i="34"/>
  <c r="K685" i="34"/>
  <c r="C685" i="34"/>
  <c r="K684" i="34"/>
  <c r="C684" i="34"/>
  <c r="K683" i="34"/>
  <c r="C683" i="34"/>
  <c r="K682" i="34"/>
  <c r="C682" i="34"/>
  <c r="C681" i="34"/>
  <c r="K680" i="34"/>
  <c r="C680" i="34"/>
  <c r="K679" i="34"/>
  <c r="C679" i="34"/>
  <c r="K678" i="34"/>
  <c r="C678" i="34"/>
  <c r="K677" i="34"/>
  <c r="C677" i="34"/>
  <c r="C676" i="34"/>
  <c r="K675" i="34"/>
  <c r="C675" i="34"/>
  <c r="K674" i="34"/>
  <c r="C674" i="34"/>
  <c r="C672" i="34"/>
  <c r="K671" i="34"/>
  <c r="C671" i="34"/>
  <c r="C670" i="34"/>
  <c r="K669" i="34"/>
  <c r="C669" i="34"/>
  <c r="C668" i="34"/>
  <c r="K667" i="34"/>
  <c r="C667" i="34"/>
  <c r="C665" i="34"/>
  <c r="K664" i="34"/>
  <c r="C664" i="34"/>
  <c r="K663" i="34"/>
  <c r="C663" i="34"/>
  <c r="K662" i="34"/>
  <c r="C662" i="34"/>
  <c r="K661" i="34"/>
  <c r="C661" i="34"/>
  <c r="K660" i="34"/>
  <c r="C660" i="34"/>
  <c r="C659" i="34"/>
  <c r="K658" i="34"/>
  <c r="C658" i="34"/>
  <c r="C656" i="34"/>
  <c r="K655" i="34"/>
  <c r="C655" i="34"/>
  <c r="C654" i="34"/>
  <c r="K653" i="34"/>
  <c r="C653" i="34"/>
  <c r="C651" i="34"/>
  <c r="K650" i="34"/>
  <c r="C650" i="34"/>
  <c r="C648" i="34"/>
  <c r="K647" i="34"/>
  <c r="C647" i="34"/>
  <c r="C646" i="34"/>
  <c r="K645" i="34"/>
  <c r="C645" i="34"/>
  <c r="K644" i="34"/>
  <c r="C644" i="34"/>
  <c r="K643" i="34"/>
  <c r="C643" i="34"/>
  <c r="K642" i="34"/>
  <c r="C642" i="34"/>
  <c r="C640" i="34"/>
  <c r="K639" i="34"/>
  <c r="C639" i="34"/>
  <c r="C638" i="34"/>
  <c r="K637" i="34"/>
  <c r="C637" i="34"/>
  <c r="K636" i="34"/>
  <c r="C636" i="34"/>
  <c r="C635" i="34"/>
  <c r="K634" i="34"/>
  <c r="C634" i="34"/>
  <c r="K633" i="34"/>
  <c r="C633" i="34"/>
  <c r="C632" i="34"/>
  <c r="K631" i="34"/>
  <c r="C631" i="34"/>
  <c r="C629" i="34"/>
  <c r="K628" i="34"/>
  <c r="C628" i="34"/>
  <c r="K627" i="34"/>
  <c r="C627" i="34"/>
  <c r="C626" i="34"/>
  <c r="K625" i="34"/>
  <c r="C625" i="34"/>
  <c r="K624" i="34"/>
  <c r="C624" i="34"/>
  <c r="C622" i="34"/>
  <c r="K621" i="34"/>
  <c r="C621" i="34"/>
  <c r="K620" i="34"/>
  <c r="C620" i="34"/>
  <c r="C618" i="34"/>
  <c r="K617" i="34"/>
  <c r="C617" i="34"/>
  <c r="C615" i="34"/>
  <c r="K614" i="34"/>
  <c r="C614" i="34"/>
  <c r="C613" i="34"/>
  <c r="K612" i="34"/>
  <c r="C612" i="34"/>
  <c r="C611" i="34"/>
  <c r="K610" i="34"/>
  <c r="C610" i="34"/>
  <c r="K609" i="34"/>
  <c r="C609" i="34"/>
  <c r="C608" i="34"/>
  <c r="K607" i="34"/>
  <c r="C607" i="34"/>
  <c r="K606" i="34"/>
  <c r="C606" i="34"/>
  <c r="K605" i="34"/>
  <c r="C605" i="34"/>
  <c r="C604" i="34"/>
  <c r="K603" i="34"/>
  <c r="C603" i="34"/>
  <c r="K602" i="34"/>
  <c r="C602" i="34"/>
  <c r="C600" i="34"/>
  <c r="K599" i="34"/>
  <c r="C599" i="34"/>
  <c r="K598" i="34"/>
  <c r="C598" i="34"/>
  <c r="C597" i="34"/>
  <c r="K596" i="34"/>
  <c r="C596" i="34"/>
  <c r="C594" i="34"/>
  <c r="K593" i="34"/>
  <c r="C593" i="34"/>
  <c r="C591" i="34"/>
  <c r="K590" i="34"/>
  <c r="C590" i="34"/>
  <c r="C588" i="34"/>
  <c r="K587" i="34"/>
  <c r="C587" i="34"/>
  <c r="C586" i="34"/>
  <c r="K585" i="34"/>
  <c r="C585" i="34"/>
  <c r="C584" i="34"/>
  <c r="K583" i="34"/>
  <c r="C583" i="34"/>
  <c r="C582" i="34"/>
  <c r="K581" i="34"/>
  <c r="C581" i="34"/>
  <c r="C580" i="34"/>
  <c r="K579" i="34"/>
  <c r="C579" i="34"/>
  <c r="K578" i="34"/>
  <c r="C578" i="34"/>
  <c r="K577" i="34"/>
  <c r="C577" i="34"/>
  <c r="K576" i="34"/>
  <c r="C576" i="34"/>
  <c r="K575" i="34"/>
  <c r="C575" i="34"/>
  <c r="C573" i="34"/>
  <c r="K572" i="34"/>
  <c r="C572" i="34"/>
  <c r="C571" i="34"/>
  <c r="K570" i="34"/>
  <c r="C570" i="34"/>
  <c r="K569" i="34"/>
  <c r="C569" i="34"/>
  <c r="C567" i="34"/>
  <c r="K566" i="34"/>
  <c r="C566" i="34"/>
  <c r="C564" i="34"/>
  <c r="K563" i="34"/>
  <c r="C563" i="34"/>
  <c r="C561" i="34"/>
  <c r="K560" i="34"/>
  <c r="C560" i="34"/>
  <c r="C558" i="34"/>
  <c r="K557" i="34"/>
  <c r="C557" i="34"/>
  <c r="K556" i="34"/>
  <c r="C556" i="34"/>
  <c r="C554" i="34"/>
  <c r="K553" i="34"/>
  <c r="C553" i="34"/>
  <c r="C552" i="34"/>
  <c r="K551" i="34"/>
  <c r="C551" i="34"/>
  <c r="K550" i="34"/>
  <c r="C550" i="34"/>
  <c r="K549" i="34"/>
  <c r="C549" i="34"/>
  <c r="C547" i="34"/>
  <c r="K546" i="34"/>
  <c r="C546" i="34"/>
  <c r="C544" i="34"/>
  <c r="K543" i="34"/>
  <c r="C543" i="34"/>
  <c r="C541" i="34"/>
  <c r="K540" i="34"/>
  <c r="C540" i="34"/>
  <c r="C539" i="34"/>
  <c r="K538" i="34"/>
  <c r="C538" i="34"/>
  <c r="C536" i="34"/>
  <c r="K535" i="34"/>
  <c r="C535" i="34"/>
  <c r="C534" i="34"/>
  <c r="K533" i="34"/>
  <c r="C533" i="34"/>
  <c r="C531" i="34"/>
  <c r="K530" i="34"/>
  <c r="C530" i="34"/>
  <c r="K529" i="34"/>
  <c r="C529" i="34"/>
  <c r="C527" i="34"/>
  <c r="K526" i="34"/>
  <c r="C526" i="34"/>
  <c r="C525" i="34"/>
  <c r="K524" i="34"/>
  <c r="C524" i="34"/>
  <c r="K523" i="34"/>
  <c r="C523" i="34"/>
  <c r="K522" i="34"/>
  <c r="C522" i="34"/>
  <c r="K521" i="34"/>
  <c r="C521" i="34"/>
  <c r="C520" i="34"/>
  <c r="K519" i="34"/>
  <c r="C519" i="34"/>
  <c r="K518" i="34"/>
  <c r="C518" i="34"/>
  <c r="C516" i="34"/>
  <c r="K515" i="34"/>
  <c r="C515" i="34"/>
  <c r="C513" i="34"/>
  <c r="K512" i="34"/>
  <c r="C512" i="34"/>
  <c r="C510" i="34"/>
  <c r="K509" i="34"/>
  <c r="C509" i="34"/>
  <c r="C507" i="34"/>
  <c r="K506" i="34"/>
  <c r="C506" i="34"/>
  <c r="K505" i="34"/>
  <c r="C505" i="34"/>
  <c r="K504" i="34"/>
  <c r="C504" i="34"/>
  <c r="K503" i="34"/>
  <c r="C503" i="34"/>
  <c r="K502" i="34"/>
  <c r="C502" i="34"/>
  <c r="K501" i="34"/>
  <c r="C501" i="34"/>
  <c r="K500" i="34"/>
  <c r="C500" i="34"/>
  <c r="C499" i="34"/>
  <c r="K498" i="34"/>
  <c r="C498" i="34"/>
  <c r="C496" i="34"/>
  <c r="K495" i="34"/>
  <c r="C495" i="34"/>
  <c r="K494" i="34"/>
  <c r="C494" i="34"/>
  <c r="C493" i="34"/>
  <c r="K492" i="34"/>
  <c r="C492" i="34"/>
  <c r="K491" i="34"/>
  <c r="C491" i="34"/>
  <c r="C489" i="34"/>
  <c r="K488" i="34"/>
  <c r="C488" i="34"/>
  <c r="C486" i="34"/>
  <c r="K485" i="34"/>
  <c r="C485" i="34"/>
  <c r="C483" i="34"/>
  <c r="K482" i="34"/>
  <c r="C482" i="34"/>
  <c r="C480" i="34"/>
  <c r="K479" i="34"/>
  <c r="C479" i="34"/>
  <c r="C477" i="34"/>
  <c r="K476" i="34"/>
  <c r="C476" i="34"/>
  <c r="C474" i="34"/>
  <c r="K473" i="34"/>
  <c r="C473" i="34"/>
  <c r="C471" i="34"/>
  <c r="K470" i="34"/>
  <c r="C470" i="34"/>
  <c r="C468" i="34"/>
  <c r="K467" i="34"/>
  <c r="C467" i="34"/>
  <c r="K466" i="34"/>
  <c r="C466" i="34"/>
  <c r="C464" i="34"/>
  <c r="K463" i="34"/>
  <c r="C463" i="34"/>
  <c r="C461" i="34"/>
  <c r="K460" i="34"/>
  <c r="C460" i="34"/>
  <c r="K459" i="34"/>
  <c r="C459" i="34"/>
  <c r="C457" i="34"/>
  <c r="K456" i="34"/>
  <c r="C456" i="34"/>
  <c r="K455" i="34"/>
  <c r="C455" i="34"/>
  <c r="K454" i="34"/>
  <c r="C454" i="34"/>
  <c r="C452" i="34"/>
  <c r="K451" i="34"/>
  <c r="C451" i="34"/>
  <c r="K450" i="34"/>
  <c r="C450" i="34"/>
  <c r="C448" i="34"/>
  <c r="K447" i="34"/>
  <c r="C447" i="34"/>
  <c r="C445" i="34"/>
  <c r="K444" i="34"/>
  <c r="C444" i="34"/>
  <c r="C442" i="34"/>
  <c r="K441" i="34"/>
  <c r="C441" i="34"/>
  <c r="C439" i="34"/>
  <c r="K438" i="34"/>
  <c r="K440" i="34" s="1"/>
  <c r="C438" i="34"/>
  <c r="C436" i="34"/>
  <c r="B436" i="34" s="1"/>
  <c r="A436" i="34" s="1"/>
  <c r="K435" i="34"/>
  <c r="C435" i="34"/>
  <c r="B435" i="34" s="1"/>
  <c r="A435" i="34" s="1"/>
  <c r="C432" i="34"/>
  <c r="B432" i="34" s="1"/>
  <c r="A432" i="34" s="1"/>
  <c r="K431" i="34"/>
  <c r="C431" i="34"/>
  <c r="B431" i="34" s="1"/>
  <c r="A431" i="34" s="1"/>
  <c r="C429" i="34"/>
  <c r="B429" i="34" s="1"/>
  <c r="A429" i="34" s="1"/>
  <c r="K428" i="34"/>
  <c r="C428" i="34"/>
  <c r="B428" i="34" s="1"/>
  <c r="A428" i="34" s="1"/>
  <c r="C426" i="34"/>
  <c r="B426" i="34" s="1"/>
  <c r="A426" i="34" s="1"/>
  <c r="K425" i="34"/>
  <c r="C425" i="34"/>
  <c r="B425" i="34" s="1"/>
  <c r="A425" i="34" s="1"/>
  <c r="C423" i="34"/>
  <c r="B423" i="34" s="1"/>
  <c r="A423" i="34" s="1"/>
  <c r="K422" i="34"/>
  <c r="K424" i="34" s="1"/>
  <c r="C422" i="34"/>
  <c r="B422" i="34" s="1"/>
  <c r="A422" i="34" s="1"/>
  <c r="C420" i="34"/>
  <c r="B420" i="34" s="1"/>
  <c r="A420" i="34" s="1"/>
  <c r="K419" i="34"/>
  <c r="C419" i="34"/>
  <c r="B419" i="34" s="1"/>
  <c r="A419" i="34" s="1"/>
  <c r="C417" i="34"/>
  <c r="B417" i="34" s="1"/>
  <c r="A417" i="34" s="1"/>
  <c r="K416" i="34"/>
  <c r="C416" i="34"/>
  <c r="B416" i="34" s="1"/>
  <c r="A416" i="34" s="1"/>
  <c r="K415" i="34"/>
  <c r="C415" i="34"/>
  <c r="B415" i="34" s="1"/>
  <c r="A415" i="34" s="1"/>
  <c r="C413" i="34"/>
  <c r="B413" i="34" s="1"/>
  <c r="A413" i="34" s="1"/>
  <c r="K412" i="34"/>
  <c r="C412" i="34"/>
  <c r="B412" i="34" s="1"/>
  <c r="A412" i="34" s="1"/>
  <c r="K411" i="34"/>
  <c r="C411" i="34"/>
  <c r="B411" i="34" s="1"/>
  <c r="A411" i="34" s="1"/>
  <c r="C409" i="34"/>
  <c r="B409" i="34" s="1"/>
  <c r="A409" i="34" s="1"/>
  <c r="K408" i="34"/>
  <c r="C408" i="34"/>
  <c r="B408" i="34" s="1"/>
  <c r="A408" i="34" s="1"/>
  <c r="K407" i="34"/>
  <c r="C407" i="34"/>
  <c r="B407" i="34" s="1"/>
  <c r="A407" i="34" s="1"/>
  <c r="C405" i="34"/>
  <c r="B405" i="34" s="1"/>
  <c r="A405" i="34" s="1"/>
  <c r="K404" i="34"/>
  <c r="C404" i="34"/>
  <c r="B404" i="34" s="1"/>
  <c r="A404" i="34" s="1"/>
  <c r="K403" i="34"/>
  <c r="C403" i="34"/>
  <c r="B403" i="34" s="1"/>
  <c r="A403" i="34" s="1"/>
  <c r="K402" i="34"/>
  <c r="C402" i="34"/>
  <c r="B402" i="34" s="1"/>
  <c r="A402" i="34" s="1"/>
  <c r="K401" i="34"/>
  <c r="C401" i="34"/>
  <c r="B401" i="34" s="1"/>
  <c r="A401" i="34" s="1"/>
  <c r="K400" i="34"/>
  <c r="C400" i="34"/>
  <c r="B400" i="34" s="1"/>
  <c r="A400" i="34" s="1"/>
  <c r="C398" i="34"/>
  <c r="B398" i="34" s="1"/>
  <c r="A398" i="34" s="1"/>
  <c r="K397" i="34"/>
  <c r="C397" i="34"/>
  <c r="B397" i="34" s="1"/>
  <c r="A397" i="34" s="1"/>
  <c r="C395" i="34"/>
  <c r="B395" i="34" s="1"/>
  <c r="A395" i="34" s="1"/>
  <c r="K394" i="34"/>
  <c r="C394" i="34"/>
  <c r="B394" i="34" s="1"/>
  <c r="A394" i="34" s="1"/>
  <c r="K393" i="34"/>
  <c r="C393" i="34"/>
  <c r="B393" i="34" s="1"/>
  <c r="A393" i="34" s="1"/>
  <c r="K392" i="34"/>
  <c r="C392" i="34"/>
  <c r="B392" i="34" s="1"/>
  <c r="A392" i="34" s="1"/>
  <c r="K391" i="34"/>
  <c r="C391" i="34"/>
  <c r="B391" i="34" s="1"/>
  <c r="A391" i="34" s="1"/>
  <c r="K390" i="34"/>
  <c r="C390" i="34"/>
  <c r="B390" i="34" s="1"/>
  <c r="A390" i="34" s="1"/>
  <c r="K389" i="34"/>
  <c r="C389" i="34"/>
  <c r="B389" i="34" s="1"/>
  <c r="A389" i="34" s="1"/>
  <c r="K388" i="34"/>
  <c r="C388" i="34"/>
  <c r="B388" i="34" s="1"/>
  <c r="A388" i="34" s="1"/>
  <c r="C386" i="34"/>
  <c r="B386" i="34" s="1"/>
  <c r="A386" i="34" s="1"/>
  <c r="K385" i="34"/>
  <c r="C385" i="34"/>
  <c r="B385" i="34" s="1"/>
  <c r="A385" i="34" s="1"/>
  <c r="K384" i="34"/>
  <c r="C384" i="34"/>
  <c r="B384" i="34" s="1"/>
  <c r="A384" i="34" s="1"/>
  <c r="K383" i="34"/>
  <c r="C383" i="34"/>
  <c r="B383" i="34" s="1"/>
  <c r="A383" i="34" s="1"/>
  <c r="K382" i="34"/>
  <c r="C382" i="34"/>
  <c r="B382" i="34" s="1"/>
  <c r="A382" i="34" s="1"/>
  <c r="C380" i="34"/>
  <c r="B380" i="34" s="1"/>
  <c r="A380" i="34" s="1"/>
  <c r="K379" i="34"/>
  <c r="C379" i="34"/>
  <c r="B379" i="34" s="1"/>
  <c r="A379" i="34" s="1"/>
  <c r="K378" i="34"/>
  <c r="C378" i="34"/>
  <c r="B378" i="34" s="1"/>
  <c r="A378" i="34" s="1"/>
  <c r="K377" i="34"/>
  <c r="C377" i="34"/>
  <c r="B377" i="34" s="1"/>
  <c r="A377" i="34" s="1"/>
  <c r="C374" i="34"/>
  <c r="B374" i="34" s="1"/>
  <c r="A374" i="34" s="1"/>
  <c r="K373" i="34"/>
  <c r="C373" i="34"/>
  <c r="B373" i="34" s="1"/>
  <c r="A373" i="34" s="1"/>
  <c r="C371" i="34"/>
  <c r="B371" i="34" s="1"/>
  <c r="A371" i="34" s="1"/>
  <c r="K370" i="34"/>
  <c r="C370" i="34"/>
  <c r="B370" i="34" s="1"/>
  <c r="A370" i="34" s="1"/>
  <c r="K369" i="34"/>
  <c r="C369" i="34"/>
  <c r="B369" i="34" s="1"/>
  <c r="A369" i="34" s="1"/>
  <c r="C367" i="34"/>
  <c r="B367" i="34" s="1"/>
  <c r="A367" i="34" s="1"/>
  <c r="K366" i="34"/>
  <c r="C366" i="34"/>
  <c r="B366" i="34" s="1"/>
  <c r="A366" i="34" s="1"/>
  <c r="C364" i="34"/>
  <c r="B364" i="34" s="1"/>
  <c r="A364" i="34" s="1"/>
  <c r="K363" i="34"/>
  <c r="C363" i="34"/>
  <c r="B363" i="34" s="1"/>
  <c r="A363" i="34" s="1"/>
  <c r="K362" i="34"/>
  <c r="C362" i="34"/>
  <c r="B362" i="34" s="1"/>
  <c r="A362" i="34" s="1"/>
  <c r="K361" i="34"/>
  <c r="C361" i="34"/>
  <c r="B361" i="34" s="1"/>
  <c r="A361" i="34" s="1"/>
  <c r="K360" i="34"/>
  <c r="C360" i="34"/>
  <c r="B360" i="34" s="1"/>
  <c r="A360" i="34" s="1"/>
  <c r="C358" i="34"/>
  <c r="B358" i="34" s="1"/>
  <c r="A358" i="34" s="1"/>
  <c r="K357" i="34"/>
  <c r="C357" i="34"/>
  <c r="B357" i="34" s="1"/>
  <c r="A357" i="34" s="1"/>
  <c r="K356" i="34"/>
  <c r="C356" i="34"/>
  <c r="B356" i="34" s="1"/>
  <c r="A356" i="34" s="1"/>
  <c r="C354" i="34"/>
  <c r="B354" i="34" s="1"/>
  <c r="A354" i="34" s="1"/>
  <c r="K353" i="34"/>
  <c r="C353" i="34"/>
  <c r="B353" i="34" s="1"/>
  <c r="A353" i="34" s="1"/>
  <c r="K352" i="34"/>
  <c r="C352" i="34"/>
  <c r="B352" i="34" s="1"/>
  <c r="A352" i="34" s="1"/>
  <c r="C350" i="34"/>
  <c r="B350" i="34" s="1"/>
  <c r="A350" i="34" s="1"/>
  <c r="K349" i="34"/>
  <c r="C349" i="34"/>
  <c r="B349" i="34" s="1"/>
  <c r="A349" i="34" s="1"/>
  <c r="K348" i="34"/>
  <c r="C348" i="34"/>
  <c r="B348" i="34" s="1"/>
  <c r="A348" i="34" s="1"/>
  <c r="C346" i="34"/>
  <c r="B346" i="34" s="1"/>
  <c r="A346" i="34" s="1"/>
  <c r="K345" i="34"/>
  <c r="C345" i="34"/>
  <c r="B345" i="34" s="1"/>
  <c r="A345" i="34" s="1"/>
  <c r="K344" i="34"/>
  <c r="C344" i="34"/>
  <c r="B344" i="34" s="1"/>
  <c r="A344" i="34" s="1"/>
  <c r="K343" i="34"/>
  <c r="C343" i="34"/>
  <c r="B343" i="34" s="1"/>
  <c r="A343" i="34" s="1"/>
  <c r="K342" i="34"/>
  <c r="C342" i="34"/>
  <c r="B342" i="34" s="1"/>
  <c r="A342" i="34" s="1"/>
  <c r="C340" i="34"/>
  <c r="B340" i="34" s="1"/>
  <c r="A340" i="34" s="1"/>
  <c r="K339" i="34"/>
  <c r="C339" i="34"/>
  <c r="B339" i="34" s="1"/>
  <c r="A339" i="34" s="1"/>
  <c r="K338" i="34"/>
  <c r="C338" i="34"/>
  <c r="B338" i="34" s="1"/>
  <c r="A338" i="34" s="1"/>
  <c r="K337" i="34"/>
  <c r="C337" i="34"/>
  <c r="B337" i="34" s="1"/>
  <c r="A337" i="34" s="1"/>
  <c r="K336" i="34"/>
  <c r="C336" i="34"/>
  <c r="B336" i="34" s="1"/>
  <c r="A336" i="34" s="1"/>
  <c r="K335" i="34"/>
  <c r="C335" i="34"/>
  <c r="B335" i="34" s="1"/>
  <c r="A335" i="34" s="1"/>
  <c r="K334" i="34"/>
  <c r="C334" i="34"/>
  <c r="B334" i="34" s="1"/>
  <c r="A334" i="34" s="1"/>
  <c r="K333" i="34"/>
  <c r="C333" i="34"/>
  <c r="B333" i="34" s="1"/>
  <c r="A333" i="34" s="1"/>
  <c r="C331" i="34"/>
  <c r="B331" i="34" s="1"/>
  <c r="A331" i="34" s="1"/>
  <c r="K330" i="34"/>
  <c r="C330" i="34"/>
  <c r="B330" i="34" s="1"/>
  <c r="A330" i="34" s="1"/>
  <c r="K329" i="34"/>
  <c r="C329" i="34"/>
  <c r="B329" i="34" s="1"/>
  <c r="A329" i="34" s="1"/>
  <c r="K328" i="34"/>
  <c r="C328" i="34"/>
  <c r="B328" i="34" s="1"/>
  <c r="A328" i="34" s="1"/>
  <c r="C326" i="34"/>
  <c r="B326" i="34" s="1"/>
  <c r="A326" i="34" s="1"/>
  <c r="K325" i="34"/>
  <c r="C325" i="34"/>
  <c r="B325" i="34" s="1"/>
  <c r="A325" i="34" s="1"/>
  <c r="K324" i="34"/>
  <c r="C324" i="34"/>
  <c r="B324" i="34" s="1"/>
  <c r="A324" i="34" s="1"/>
  <c r="C322" i="34"/>
  <c r="B322" i="34" s="1"/>
  <c r="A322" i="34" s="1"/>
  <c r="K321" i="34"/>
  <c r="C321" i="34"/>
  <c r="B321" i="34" s="1"/>
  <c r="A321" i="34" s="1"/>
  <c r="K320" i="34"/>
  <c r="C320" i="34"/>
  <c r="B320" i="34" s="1"/>
  <c r="A320" i="34" s="1"/>
  <c r="K319" i="34"/>
  <c r="C319" i="34"/>
  <c r="B319" i="34" s="1"/>
  <c r="A319" i="34" s="1"/>
  <c r="C317" i="34"/>
  <c r="B317" i="34" s="1"/>
  <c r="A317" i="34" s="1"/>
  <c r="K316" i="34"/>
  <c r="C316" i="34"/>
  <c r="B316" i="34" s="1"/>
  <c r="A316" i="34" s="1"/>
  <c r="K315" i="34"/>
  <c r="C315" i="34"/>
  <c r="B315" i="34" s="1"/>
  <c r="A315" i="34" s="1"/>
  <c r="K314" i="34"/>
  <c r="C314" i="34"/>
  <c r="B314" i="34" s="1"/>
  <c r="A314" i="34" s="1"/>
  <c r="C312" i="34"/>
  <c r="B312" i="34" s="1"/>
  <c r="A312" i="34" s="1"/>
  <c r="K311" i="34"/>
  <c r="C311" i="34"/>
  <c r="B311" i="34" s="1"/>
  <c r="A311" i="34" s="1"/>
  <c r="K310" i="34"/>
  <c r="C310" i="34"/>
  <c r="B310" i="34" s="1"/>
  <c r="A310" i="34" s="1"/>
  <c r="K309" i="34"/>
  <c r="C309" i="34"/>
  <c r="B309" i="34" s="1"/>
  <c r="A309" i="34" s="1"/>
  <c r="K308" i="34"/>
  <c r="C308" i="34"/>
  <c r="B308" i="34" s="1"/>
  <c r="A308" i="34" s="1"/>
  <c r="K307" i="34"/>
  <c r="C307" i="34"/>
  <c r="B307" i="34" s="1"/>
  <c r="A307" i="34" s="1"/>
  <c r="C305" i="34"/>
  <c r="B305" i="34" s="1"/>
  <c r="A305" i="34" s="1"/>
  <c r="K304" i="34"/>
  <c r="C304" i="34"/>
  <c r="B304" i="34" s="1"/>
  <c r="A304" i="34" s="1"/>
  <c r="C303" i="34"/>
  <c r="B303" i="34" s="1"/>
  <c r="A303" i="34" s="1"/>
  <c r="K302" i="34"/>
  <c r="C302" i="34"/>
  <c r="B302" i="34" s="1"/>
  <c r="A302" i="34" s="1"/>
  <c r="K301" i="34"/>
  <c r="C301" i="34"/>
  <c r="B301" i="34" s="1"/>
  <c r="A301" i="34" s="1"/>
  <c r="C299" i="34"/>
  <c r="B299" i="34" s="1"/>
  <c r="A299" i="34" s="1"/>
  <c r="K298" i="34"/>
  <c r="C298" i="34"/>
  <c r="B298" i="34" s="1"/>
  <c r="A298" i="34" s="1"/>
  <c r="K297" i="34"/>
  <c r="C297" i="34"/>
  <c r="B297" i="34" s="1"/>
  <c r="A297" i="34" s="1"/>
  <c r="K296" i="34"/>
  <c r="C296" i="34"/>
  <c r="B296" i="34" s="1"/>
  <c r="A296" i="34" s="1"/>
  <c r="C295" i="34"/>
  <c r="B295" i="34" s="1"/>
  <c r="A295" i="34" s="1"/>
  <c r="C294" i="34"/>
  <c r="B294" i="34" s="1"/>
  <c r="A294" i="34" s="1"/>
  <c r="C293" i="34"/>
  <c r="B293" i="34" s="1"/>
  <c r="A293" i="34" s="1"/>
  <c r="C292" i="34"/>
  <c r="B292" i="34" s="1"/>
  <c r="A292" i="34" s="1"/>
  <c r="C291" i="34"/>
  <c r="B291" i="34" s="1"/>
  <c r="A291" i="34" s="1"/>
  <c r="C290" i="34"/>
  <c r="B290" i="34" s="1"/>
  <c r="A290" i="34" s="1"/>
  <c r="C289" i="34"/>
  <c r="B289" i="34" s="1"/>
  <c r="A289" i="34" s="1"/>
  <c r="C288" i="34"/>
  <c r="B288" i="34" s="1"/>
  <c r="A288" i="34" s="1"/>
  <c r="C286" i="34"/>
  <c r="B286" i="34" s="1"/>
  <c r="A286" i="34" s="1"/>
  <c r="K285" i="34"/>
  <c r="C285" i="34"/>
  <c r="B285" i="34" s="1"/>
  <c r="A285" i="34" s="1"/>
  <c r="C284" i="34"/>
  <c r="B284" i="34" s="1"/>
  <c r="A284" i="34" s="1"/>
  <c r="C283" i="34"/>
  <c r="B283" i="34" s="1"/>
  <c r="A283" i="34" s="1"/>
  <c r="C282" i="34"/>
  <c r="B282" i="34" s="1"/>
  <c r="A282" i="34" s="1"/>
  <c r="C281" i="34"/>
  <c r="B281" i="34" s="1"/>
  <c r="A281" i="34" s="1"/>
  <c r="C280" i="34"/>
  <c r="B280" i="34" s="1"/>
  <c r="A280" i="34" s="1"/>
  <c r="C279" i="34"/>
  <c r="B279" i="34" s="1"/>
  <c r="A279" i="34" s="1"/>
  <c r="C278" i="34"/>
  <c r="B278" i="34" s="1"/>
  <c r="A278" i="34" s="1"/>
  <c r="C277" i="34"/>
  <c r="B277" i="34" s="1"/>
  <c r="A277" i="34" s="1"/>
  <c r="C276" i="34"/>
  <c r="B276" i="34" s="1"/>
  <c r="A276" i="34" s="1"/>
  <c r="C275" i="34"/>
  <c r="B275" i="34" s="1"/>
  <c r="A275" i="34" s="1"/>
  <c r="C274" i="34"/>
  <c r="B274" i="34" s="1"/>
  <c r="A274" i="34" s="1"/>
  <c r="C273" i="34"/>
  <c r="B273" i="34" s="1"/>
  <c r="A273" i="34" s="1"/>
  <c r="C272" i="34"/>
  <c r="B272" i="34" s="1"/>
  <c r="A272" i="34" s="1"/>
  <c r="C271" i="34"/>
  <c r="B271" i="34" s="1"/>
  <c r="A271" i="34" s="1"/>
  <c r="K270" i="34"/>
  <c r="C270" i="34"/>
  <c r="B270" i="34" s="1"/>
  <c r="A270" i="34" s="1"/>
  <c r="C269" i="34"/>
  <c r="B269" i="34" s="1"/>
  <c r="A269" i="34" s="1"/>
  <c r="C268" i="34"/>
  <c r="B268" i="34" s="1"/>
  <c r="A268" i="34" s="1"/>
  <c r="C267" i="34"/>
  <c r="B267" i="34" s="1"/>
  <c r="A267" i="34" s="1"/>
  <c r="K266" i="34"/>
  <c r="C266" i="34"/>
  <c r="B266" i="34" s="1"/>
  <c r="A266" i="34" s="1"/>
  <c r="C265" i="34"/>
  <c r="B265" i="34" s="1"/>
  <c r="A265" i="34" s="1"/>
  <c r="C264" i="34"/>
  <c r="B264" i="34" s="1"/>
  <c r="A264" i="34" s="1"/>
  <c r="C263" i="34"/>
  <c r="B263" i="34" s="1"/>
  <c r="A263" i="34" s="1"/>
  <c r="C262" i="34"/>
  <c r="B262" i="34" s="1"/>
  <c r="A262" i="34" s="1"/>
  <c r="C261" i="34"/>
  <c r="B261" i="34" s="1"/>
  <c r="A261" i="34" s="1"/>
  <c r="C260" i="34"/>
  <c r="B260" i="34" s="1"/>
  <c r="A260" i="34" s="1"/>
  <c r="C259" i="34"/>
  <c r="B259" i="34" s="1"/>
  <c r="A259" i="34" s="1"/>
  <c r="C258" i="34"/>
  <c r="B258" i="34" s="1"/>
  <c r="A258" i="34" s="1"/>
  <c r="C257" i="34"/>
  <c r="B257" i="34" s="1"/>
  <c r="A257" i="34" s="1"/>
  <c r="C256" i="34"/>
  <c r="B256" i="34" s="1"/>
  <c r="A256" i="34" s="1"/>
  <c r="C255" i="34"/>
  <c r="B255" i="34" s="1"/>
  <c r="A255" i="34" s="1"/>
  <c r="C254" i="34"/>
  <c r="B254" i="34" s="1"/>
  <c r="A254" i="34" s="1"/>
  <c r="C253" i="34"/>
  <c r="B253" i="34" s="1"/>
  <c r="A253" i="34" s="1"/>
  <c r="C252" i="34"/>
  <c r="B252" i="34" s="1"/>
  <c r="A252" i="34" s="1"/>
  <c r="K251" i="34"/>
  <c r="C251" i="34"/>
  <c r="B251" i="34" s="1"/>
  <c r="A251" i="34" s="1"/>
  <c r="K250" i="34"/>
  <c r="C250" i="34"/>
  <c r="B250" i="34" s="1"/>
  <c r="A250" i="34" s="1"/>
  <c r="C249" i="34"/>
  <c r="B249" i="34" s="1"/>
  <c r="A249" i="34" s="1"/>
  <c r="C248" i="34"/>
  <c r="B248" i="34" s="1"/>
  <c r="A248" i="34" s="1"/>
  <c r="C247" i="34"/>
  <c r="B247" i="34" s="1"/>
  <c r="A247" i="34" s="1"/>
  <c r="C246" i="34"/>
  <c r="B246" i="34" s="1"/>
  <c r="A246" i="34" s="1"/>
  <c r="C245" i="34"/>
  <c r="B245" i="34" s="1"/>
  <c r="A245" i="34" s="1"/>
  <c r="C244" i="34"/>
  <c r="B244" i="34" s="1"/>
  <c r="A244" i="34" s="1"/>
  <c r="C243" i="34"/>
  <c r="B243" i="34" s="1"/>
  <c r="A243" i="34" s="1"/>
  <c r="C242" i="34"/>
  <c r="B242" i="34" s="1"/>
  <c r="A242" i="34" s="1"/>
  <c r="C241" i="34"/>
  <c r="B241" i="34" s="1"/>
  <c r="A241" i="34" s="1"/>
  <c r="C240" i="34"/>
  <c r="B240" i="34" s="1"/>
  <c r="A240" i="34" s="1"/>
  <c r="C239" i="34"/>
  <c r="B239" i="34" s="1"/>
  <c r="A239" i="34" s="1"/>
  <c r="C238" i="34"/>
  <c r="B238" i="34" s="1"/>
  <c r="A238" i="34" s="1"/>
  <c r="C237" i="34"/>
  <c r="B237" i="34" s="1"/>
  <c r="A237" i="34" s="1"/>
  <c r="C236" i="34"/>
  <c r="B236" i="34" s="1"/>
  <c r="A236" i="34" s="1"/>
  <c r="C235" i="34"/>
  <c r="B235" i="34" s="1"/>
  <c r="A235" i="34" s="1"/>
  <c r="C234" i="34"/>
  <c r="B234" i="34" s="1"/>
  <c r="A234" i="34" s="1"/>
  <c r="C233" i="34"/>
  <c r="B233" i="34" s="1"/>
  <c r="A233" i="34" s="1"/>
  <c r="C232" i="34"/>
  <c r="B232" i="34" s="1"/>
  <c r="A232" i="34" s="1"/>
  <c r="C231" i="34"/>
  <c r="B231" i="34" s="1"/>
  <c r="A231" i="34" s="1"/>
  <c r="C230" i="34"/>
  <c r="B230" i="34" s="1"/>
  <c r="A230" i="34" s="1"/>
  <c r="C229" i="34"/>
  <c r="B229" i="34" s="1"/>
  <c r="A229" i="34" s="1"/>
  <c r="C228" i="34"/>
  <c r="B228" i="34" s="1"/>
  <c r="A228" i="34" s="1"/>
  <c r="C227" i="34"/>
  <c r="B227" i="34" s="1"/>
  <c r="A227" i="34" s="1"/>
  <c r="C226" i="34"/>
  <c r="B226" i="34" s="1"/>
  <c r="A226" i="34" s="1"/>
  <c r="C225" i="34"/>
  <c r="B225" i="34" s="1"/>
  <c r="A225" i="34" s="1"/>
  <c r="C224" i="34"/>
  <c r="B224" i="34" s="1"/>
  <c r="A224" i="34" s="1"/>
  <c r="C223" i="34"/>
  <c r="B223" i="34" s="1"/>
  <c r="A223" i="34" s="1"/>
  <c r="C222" i="34"/>
  <c r="B222" i="34" s="1"/>
  <c r="A222" i="34" s="1"/>
  <c r="C221" i="34"/>
  <c r="B221" i="34" s="1"/>
  <c r="A221" i="34" s="1"/>
  <c r="C220" i="34"/>
  <c r="B220" i="34" s="1"/>
  <c r="A220" i="34" s="1"/>
  <c r="C219" i="34"/>
  <c r="B219" i="34" s="1"/>
  <c r="A219" i="34" s="1"/>
  <c r="C218" i="34"/>
  <c r="B218" i="34" s="1"/>
  <c r="A218" i="34" s="1"/>
  <c r="C217" i="34"/>
  <c r="B217" i="34" s="1"/>
  <c r="A217" i="34" s="1"/>
  <c r="C216" i="34"/>
  <c r="B216" i="34" s="1"/>
  <c r="A216" i="34" s="1"/>
  <c r="C215" i="34"/>
  <c r="B215" i="34" s="1"/>
  <c r="A215" i="34" s="1"/>
  <c r="K214" i="34"/>
  <c r="C214" i="34"/>
  <c r="B214" i="34" s="1"/>
  <c r="A214" i="34" s="1"/>
  <c r="K213" i="34"/>
  <c r="C213" i="34"/>
  <c r="B213" i="34" s="1"/>
  <c r="A213" i="34" s="1"/>
  <c r="C212" i="34"/>
  <c r="B212" i="34" s="1"/>
  <c r="A212" i="34" s="1"/>
  <c r="C211" i="34"/>
  <c r="B211" i="34" s="1"/>
  <c r="A211" i="34" s="1"/>
  <c r="C210" i="34"/>
  <c r="B210" i="34" s="1"/>
  <c r="A210" i="34" s="1"/>
  <c r="C209" i="34"/>
  <c r="B209" i="34" s="1"/>
  <c r="A209" i="34" s="1"/>
  <c r="C208" i="34"/>
  <c r="B208" i="34" s="1"/>
  <c r="A208" i="34" s="1"/>
  <c r="C207" i="34"/>
  <c r="B207" i="34" s="1"/>
  <c r="A207" i="34" s="1"/>
  <c r="C206" i="34"/>
  <c r="B206" i="34" s="1"/>
  <c r="A206" i="34" s="1"/>
  <c r="C205" i="34"/>
  <c r="B205" i="34" s="1"/>
  <c r="A205" i="34" s="1"/>
  <c r="C204" i="34"/>
  <c r="B204" i="34" s="1"/>
  <c r="A204" i="34" s="1"/>
  <c r="C203" i="34"/>
  <c r="B203" i="34" s="1"/>
  <c r="A203" i="34" s="1"/>
  <c r="C202" i="34"/>
  <c r="B202" i="34" s="1"/>
  <c r="A202" i="34" s="1"/>
  <c r="C201" i="34"/>
  <c r="B201" i="34" s="1"/>
  <c r="A201" i="34" s="1"/>
  <c r="C200" i="34"/>
  <c r="B200" i="34" s="1"/>
  <c r="A200" i="34" s="1"/>
  <c r="C199" i="34"/>
  <c r="B199" i="34" s="1"/>
  <c r="A199" i="34" s="1"/>
  <c r="C198" i="34"/>
  <c r="B198" i="34" s="1"/>
  <c r="A198" i="34" s="1"/>
  <c r="C197" i="34"/>
  <c r="B197" i="34" s="1"/>
  <c r="A197" i="34" s="1"/>
  <c r="C196" i="34"/>
  <c r="B196" i="34" s="1"/>
  <c r="A196" i="34" s="1"/>
  <c r="C195" i="34"/>
  <c r="B195" i="34" s="1"/>
  <c r="A195" i="34" s="1"/>
  <c r="C194" i="34"/>
  <c r="B194" i="34" s="1"/>
  <c r="A194" i="34" s="1"/>
  <c r="C193" i="34"/>
  <c r="B193" i="34" s="1"/>
  <c r="A193" i="34" s="1"/>
  <c r="C192" i="34"/>
  <c r="B192" i="34" s="1"/>
  <c r="A192" i="34" s="1"/>
  <c r="K191" i="34"/>
  <c r="C191" i="34"/>
  <c r="B191" i="34" s="1"/>
  <c r="A191" i="34" s="1"/>
  <c r="K190" i="34"/>
  <c r="C190" i="34"/>
  <c r="B190" i="34" s="1"/>
  <c r="A190" i="34" s="1"/>
  <c r="C189" i="34"/>
  <c r="B189" i="34" s="1"/>
  <c r="A189" i="34" s="1"/>
  <c r="C188" i="34"/>
  <c r="B188" i="34" s="1"/>
  <c r="A188" i="34" s="1"/>
  <c r="C187" i="34"/>
  <c r="B187" i="34" s="1"/>
  <c r="A187" i="34" s="1"/>
  <c r="C186" i="34"/>
  <c r="B186" i="34" s="1"/>
  <c r="A186" i="34" s="1"/>
  <c r="C185" i="34"/>
  <c r="B185" i="34" s="1"/>
  <c r="A185" i="34" s="1"/>
  <c r="C184" i="34"/>
  <c r="B184" i="34" s="1"/>
  <c r="A184" i="34" s="1"/>
  <c r="C183" i="34"/>
  <c r="B183" i="34" s="1"/>
  <c r="A183" i="34" s="1"/>
  <c r="C182" i="34"/>
  <c r="B182" i="34" s="1"/>
  <c r="A182" i="34" s="1"/>
  <c r="C181" i="34"/>
  <c r="B181" i="34" s="1"/>
  <c r="A181" i="34" s="1"/>
  <c r="C180" i="34"/>
  <c r="B180" i="34" s="1"/>
  <c r="A180" i="34" s="1"/>
  <c r="C179" i="34"/>
  <c r="B179" i="34" s="1"/>
  <c r="A179" i="34" s="1"/>
  <c r="C178" i="34"/>
  <c r="B178" i="34" s="1"/>
  <c r="A178" i="34" s="1"/>
  <c r="C177" i="34"/>
  <c r="B177" i="34" s="1"/>
  <c r="A177" i="34" s="1"/>
  <c r="C176" i="34"/>
  <c r="B176" i="34" s="1"/>
  <c r="A176" i="34" s="1"/>
  <c r="C175" i="34"/>
  <c r="B175" i="34" s="1"/>
  <c r="A175" i="34" s="1"/>
  <c r="C174" i="34"/>
  <c r="B174" i="34" s="1"/>
  <c r="A174" i="34" s="1"/>
  <c r="C173" i="34"/>
  <c r="B173" i="34" s="1"/>
  <c r="A173" i="34" s="1"/>
  <c r="C172" i="34"/>
  <c r="B172" i="34" s="1"/>
  <c r="A172" i="34" s="1"/>
  <c r="C171" i="34"/>
  <c r="B171" i="34" s="1"/>
  <c r="A171" i="34" s="1"/>
  <c r="C170" i="34"/>
  <c r="B170" i="34" s="1"/>
  <c r="A170" i="34" s="1"/>
  <c r="C169" i="34"/>
  <c r="B169" i="34" s="1"/>
  <c r="A169" i="34" s="1"/>
  <c r="C168" i="34"/>
  <c r="B168" i="34" s="1"/>
  <c r="A168" i="34" s="1"/>
  <c r="C167" i="34"/>
  <c r="B167" i="34" s="1"/>
  <c r="A167" i="34" s="1"/>
  <c r="C166" i="34"/>
  <c r="B166" i="34" s="1"/>
  <c r="A166" i="34" s="1"/>
  <c r="C165" i="34"/>
  <c r="B165" i="34" s="1"/>
  <c r="A165" i="34" s="1"/>
  <c r="C164" i="34"/>
  <c r="B164" i="34" s="1"/>
  <c r="A164" i="34" s="1"/>
  <c r="C163" i="34"/>
  <c r="B163" i="34" s="1"/>
  <c r="A163" i="34" s="1"/>
  <c r="C162" i="34"/>
  <c r="B162" i="34" s="1"/>
  <c r="A162" i="34" s="1"/>
  <c r="C161" i="34"/>
  <c r="B161" i="34" s="1"/>
  <c r="A161" i="34" s="1"/>
  <c r="C160" i="34"/>
  <c r="B160" i="34" s="1"/>
  <c r="A160" i="34" s="1"/>
  <c r="C159" i="34"/>
  <c r="B159" i="34" s="1"/>
  <c r="A159" i="34" s="1"/>
  <c r="C158" i="34"/>
  <c r="B158" i="34" s="1"/>
  <c r="A158" i="34" s="1"/>
  <c r="C157" i="34"/>
  <c r="B157" i="34" s="1"/>
  <c r="A157" i="34" s="1"/>
  <c r="C156" i="34"/>
  <c r="B156" i="34" s="1"/>
  <c r="A156" i="34" s="1"/>
  <c r="C155" i="34"/>
  <c r="B155" i="34" s="1"/>
  <c r="A155" i="34" s="1"/>
  <c r="C154" i="34"/>
  <c r="B154" i="34" s="1"/>
  <c r="A154" i="34" s="1"/>
  <c r="C153" i="34"/>
  <c r="B153" i="34" s="1"/>
  <c r="A153" i="34" s="1"/>
  <c r="K152" i="34"/>
  <c r="C152" i="34"/>
  <c r="B152" i="34" s="1"/>
  <c r="A152" i="34" s="1"/>
  <c r="K151" i="34"/>
  <c r="C151" i="34"/>
  <c r="B151" i="34" s="1"/>
  <c r="A151" i="34" s="1"/>
  <c r="C150" i="34"/>
  <c r="B150" i="34" s="1"/>
  <c r="A150" i="34" s="1"/>
  <c r="C149" i="34"/>
  <c r="B149" i="34" s="1"/>
  <c r="A149" i="34" s="1"/>
  <c r="C148" i="34"/>
  <c r="B148" i="34" s="1"/>
  <c r="A148" i="34" s="1"/>
  <c r="C147" i="34"/>
  <c r="B147" i="34" s="1"/>
  <c r="A147" i="34" s="1"/>
  <c r="C146" i="34"/>
  <c r="B146" i="34" s="1"/>
  <c r="A146" i="34" s="1"/>
  <c r="C145" i="34"/>
  <c r="B145" i="34" s="1"/>
  <c r="A145" i="34" s="1"/>
  <c r="C144" i="34"/>
  <c r="B144" i="34" s="1"/>
  <c r="A144" i="34" s="1"/>
  <c r="C143" i="34"/>
  <c r="B143" i="34" s="1"/>
  <c r="A143" i="34" s="1"/>
  <c r="C142" i="34"/>
  <c r="B142" i="34" s="1"/>
  <c r="A142" i="34" s="1"/>
  <c r="C141" i="34"/>
  <c r="B141" i="34" s="1"/>
  <c r="A141" i="34" s="1"/>
  <c r="C140" i="34"/>
  <c r="B140" i="34" s="1"/>
  <c r="A140" i="34" s="1"/>
  <c r="C139" i="34"/>
  <c r="B139" i="34" s="1"/>
  <c r="A139" i="34" s="1"/>
  <c r="C138" i="34"/>
  <c r="B138" i="34" s="1"/>
  <c r="A138" i="34" s="1"/>
  <c r="C137" i="34"/>
  <c r="B137" i="34" s="1"/>
  <c r="A137" i="34" s="1"/>
  <c r="C136" i="34"/>
  <c r="B136" i="34" s="1"/>
  <c r="A136" i="34" s="1"/>
  <c r="C135" i="34"/>
  <c r="B135" i="34" s="1"/>
  <c r="A135" i="34" s="1"/>
  <c r="C134" i="34"/>
  <c r="B134" i="34" s="1"/>
  <c r="A134" i="34" s="1"/>
  <c r="C133" i="34"/>
  <c r="B133" i="34" s="1"/>
  <c r="A133" i="34" s="1"/>
  <c r="C132" i="34"/>
  <c r="B132" i="34" s="1"/>
  <c r="A132" i="34" s="1"/>
  <c r="C131" i="34"/>
  <c r="B131" i="34" s="1"/>
  <c r="A131" i="34" s="1"/>
  <c r="C130" i="34"/>
  <c r="B130" i="34" s="1"/>
  <c r="A130" i="34" s="1"/>
  <c r="C129" i="34"/>
  <c r="B129" i="34" s="1"/>
  <c r="A129" i="34" s="1"/>
  <c r="C128" i="34"/>
  <c r="B128" i="34" s="1"/>
  <c r="A128" i="34" s="1"/>
  <c r="C127" i="34"/>
  <c r="B127" i="34" s="1"/>
  <c r="A127" i="34" s="1"/>
  <c r="C126" i="34"/>
  <c r="B126" i="34" s="1"/>
  <c r="A126" i="34" s="1"/>
  <c r="C125" i="34"/>
  <c r="B125" i="34" s="1"/>
  <c r="A125" i="34" s="1"/>
  <c r="C124" i="34"/>
  <c r="B124" i="34" s="1"/>
  <c r="A124" i="34" s="1"/>
  <c r="C123" i="34"/>
  <c r="B123" i="34" s="1"/>
  <c r="A123" i="34" s="1"/>
  <c r="C122" i="34"/>
  <c r="B122" i="34" s="1"/>
  <c r="A122" i="34" s="1"/>
  <c r="C121" i="34"/>
  <c r="B121" i="34" s="1"/>
  <c r="A121" i="34" s="1"/>
  <c r="C120" i="34"/>
  <c r="B120" i="34" s="1"/>
  <c r="A120" i="34" s="1"/>
  <c r="C119" i="34"/>
  <c r="B119" i="34" s="1"/>
  <c r="A119" i="34" s="1"/>
  <c r="C118" i="34"/>
  <c r="B118" i="34" s="1"/>
  <c r="A118" i="34" s="1"/>
  <c r="C117" i="34"/>
  <c r="B117" i="34" s="1"/>
  <c r="A117" i="34" s="1"/>
  <c r="C116" i="34"/>
  <c r="B116" i="34" s="1"/>
  <c r="A116" i="34" s="1"/>
  <c r="C115" i="34"/>
  <c r="B115" i="34" s="1"/>
  <c r="A115" i="34" s="1"/>
  <c r="C114" i="34"/>
  <c r="B114" i="34" s="1"/>
  <c r="A114" i="34" s="1"/>
  <c r="C113" i="34"/>
  <c r="B113" i="34" s="1"/>
  <c r="A113" i="34" s="1"/>
  <c r="C112" i="34"/>
  <c r="B112" i="34" s="1"/>
  <c r="A112" i="34" s="1"/>
  <c r="C111" i="34"/>
  <c r="B111" i="34" s="1"/>
  <c r="A111" i="34" s="1"/>
  <c r="C110" i="34"/>
  <c r="B110" i="34" s="1"/>
  <c r="A110" i="34" s="1"/>
  <c r="C109" i="34"/>
  <c r="B109" i="34" s="1"/>
  <c r="A109" i="34" s="1"/>
  <c r="C108" i="34"/>
  <c r="B108" i="34" s="1"/>
  <c r="A108" i="34" s="1"/>
  <c r="C107" i="34"/>
  <c r="B107" i="34" s="1"/>
  <c r="A107" i="34" s="1"/>
  <c r="C106" i="34"/>
  <c r="B106" i="34" s="1"/>
  <c r="A106" i="34" s="1"/>
  <c r="C105" i="34"/>
  <c r="B105" i="34" s="1"/>
  <c r="A105" i="34" s="1"/>
  <c r="C104" i="34"/>
  <c r="B104" i="34" s="1"/>
  <c r="A104" i="34" s="1"/>
  <c r="C103" i="34"/>
  <c r="B103" i="34" s="1"/>
  <c r="A103" i="34" s="1"/>
  <c r="C102" i="34"/>
  <c r="B102" i="34" s="1"/>
  <c r="A102" i="34" s="1"/>
  <c r="C101" i="34"/>
  <c r="B101" i="34" s="1"/>
  <c r="A101" i="34" s="1"/>
  <c r="C100" i="34"/>
  <c r="B100" i="34" s="1"/>
  <c r="A100" i="34" s="1"/>
  <c r="C99" i="34"/>
  <c r="B99" i="34" s="1"/>
  <c r="A99" i="34" s="1"/>
  <c r="C98" i="34"/>
  <c r="B98" i="34" s="1"/>
  <c r="A98" i="34" s="1"/>
  <c r="C97" i="34"/>
  <c r="B97" i="34" s="1"/>
  <c r="A97" i="34" s="1"/>
  <c r="C96" i="34"/>
  <c r="B96" i="34" s="1"/>
  <c r="A96" i="34" s="1"/>
  <c r="C95" i="34"/>
  <c r="B95" i="34" s="1"/>
  <c r="A95" i="34" s="1"/>
  <c r="C94" i="34"/>
  <c r="B94" i="34" s="1"/>
  <c r="A94" i="34" s="1"/>
  <c r="C93" i="34"/>
  <c r="B93" i="34" s="1"/>
  <c r="A93" i="34" s="1"/>
  <c r="C92" i="34"/>
  <c r="B92" i="34" s="1"/>
  <c r="A92" i="34" s="1"/>
  <c r="C91" i="34"/>
  <c r="B91" i="34" s="1"/>
  <c r="A91" i="34" s="1"/>
  <c r="C90" i="34"/>
  <c r="B90" i="34" s="1"/>
  <c r="A90" i="34" s="1"/>
  <c r="C89" i="34"/>
  <c r="B89" i="34" s="1"/>
  <c r="A89" i="34" s="1"/>
  <c r="C88" i="34"/>
  <c r="B88" i="34" s="1"/>
  <c r="A88" i="34" s="1"/>
  <c r="C87" i="34"/>
  <c r="B87" i="34" s="1"/>
  <c r="A87" i="34" s="1"/>
  <c r="C86" i="34"/>
  <c r="B86" i="34" s="1"/>
  <c r="A86" i="34" s="1"/>
  <c r="C85" i="34"/>
  <c r="B85" i="34" s="1"/>
  <c r="A85" i="34" s="1"/>
  <c r="C84" i="34"/>
  <c r="B84" i="34" s="1"/>
  <c r="A84" i="34" s="1"/>
  <c r="C83" i="34"/>
  <c r="B83" i="34" s="1"/>
  <c r="A83" i="34" s="1"/>
  <c r="C82" i="34"/>
  <c r="B82" i="34" s="1"/>
  <c r="A82" i="34" s="1"/>
  <c r="C81" i="34"/>
  <c r="B81" i="34" s="1"/>
  <c r="A81" i="34" s="1"/>
  <c r="C80" i="34"/>
  <c r="B80" i="34" s="1"/>
  <c r="A80" i="34" s="1"/>
  <c r="C79" i="34"/>
  <c r="B79" i="34" s="1"/>
  <c r="A79" i="34" s="1"/>
  <c r="C78" i="34"/>
  <c r="B78" i="34" s="1"/>
  <c r="A78" i="34" s="1"/>
  <c r="C77" i="34"/>
  <c r="B77" i="34" s="1"/>
  <c r="A77" i="34" s="1"/>
  <c r="C76" i="34"/>
  <c r="B76" i="34" s="1"/>
  <c r="A76" i="34" s="1"/>
  <c r="C75" i="34"/>
  <c r="B75" i="34" s="1"/>
  <c r="A75" i="34" s="1"/>
  <c r="C74" i="34"/>
  <c r="B74" i="34" s="1"/>
  <c r="A74" i="34" s="1"/>
  <c r="C73" i="34"/>
  <c r="B73" i="34" s="1"/>
  <c r="A73" i="34" s="1"/>
  <c r="C72" i="34"/>
  <c r="B72" i="34" s="1"/>
  <c r="A72" i="34" s="1"/>
  <c r="C71" i="34"/>
  <c r="B71" i="34" s="1"/>
  <c r="A71" i="34" s="1"/>
  <c r="K70" i="34"/>
  <c r="C70" i="34"/>
  <c r="B70" i="34" s="1"/>
  <c r="A70" i="34" s="1"/>
  <c r="C69" i="34"/>
  <c r="B69" i="34" s="1"/>
  <c r="A69" i="34" s="1"/>
  <c r="C68" i="34"/>
  <c r="B68" i="34" s="1"/>
  <c r="A68" i="34" s="1"/>
  <c r="C67" i="34"/>
  <c r="B67" i="34" s="1"/>
  <c r="A67" i="34" s="1"/>
  <c r="C66" i="34"/>
  <c r="B66" i="34" s="1"/>
  <c r="A66" i="34" s="1"/>
  <c r="K62" i="34"/>
  <c r="A3" i="54" l="1"/>
  <c r="A2" i="54"/>
  <c r="C22" i="54"/>
  <c r="B2" i="55" l="1"/>
  <c r="B1" i="55"/>
  <c r="A8" i="12"/>
  <c r="A13" i="12"/>
  <c r="A14" i="12"/>
  <c r="A15" i="12"/>
  <c r="A6" i="12"/>
  <c r="A14" i="70"/>
  <c r="A18" i="70"/>
  <c r="A25" i="70"/>
  <c r="A31" i="70"/>
  <c r="A27" i="70"/>
  <c r="A35" i="70"/>
  <c r="A21" i="70"/>
  <c r="A12" i="70"/>
  <c r="A15" i="70"/>
  <c r="A17" i="70"/>
  <c r="A7" i="70"/>
  <c r="A19" i="70"/>
  <c r="A38" i="70"/>
  <c r="A13" i="70"/>
  <c r="A11" i="70"/>
  <c r="A2" i="12"/>
  <c r="A1" i="12"/>
  <c r="A2" i="70"/>
  <c r="A1" i="70"/>
  <c r="A246" i="60" l="1"/>
  <c r="A140" i="60"/>
  <c r="A59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62" i="34" l="1"/>
  <c r="R62" i="34"/>
  <c r="S62" i="34"/>
  <c r="T62" i="34"/>
  <c r="X62" i="34"/>
  <c r="Y62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X66" i="34"/>
  <c r="Y66" i="34"/>
  <c r="N67" i="34"/>
  <c r="X67" i="34"/>
  <c r="Y67" i="34"/>
  <c r="N68" i="34"/>
  <c r="X68" i="34"/>
  <c r="Y68" i="34"/>
  <c r="N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X86" i="34"/>
  <c r="Y86" i="34"/>
  <c r="N87" i="34"/>
  <c r="X87" i="34"/>
  <c r="Y87" i="34"/>
  <c r="N88" i="34"/>
  <c r="X88" i="34"/>
  <c r="Y88" i="34"/>
  <c r="N89" i="34"/>
  <c r="X89" i="34"/>
  <c r="Y89" i="34"/>
  <c r="N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X102" i="34"/>
  <c r="Y102" i="34"/>
  <c r="N103" i="34"/>
  <c r="X103" i="34"/>
  <c r="Y103" i="34"/>
  <c r="N104" i="34"/>
  <c r="R104" i="34"/>
  <c r="S104" i="34"/>
  <c r="T104" i="34"/>
  <c r="X104" i="34"/>
  <c r="Y104" i="34"/>
  <c r="N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X113" i="34"/>
  <c r="Y113" i="34"/>
  <c r="N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X118" i="34"/>
  <c r="Y118" i="34"/>
  <c r="N119" i="34"/>
  <c r="X119" i="34"/>
  <c r="Y119" i="34"/>
  <c r="N120" i="34"/>
  <c r="X120" i="34"/>
  <c r="Y120" i="34"/>
  <c r="N121" i="34"/>
  <c r="X121" i="34"/>
  <c r="Y121" i="34"/>
  <c r="N122" i="34"/>
  <c r="X122" i="34"/>
  <c r="Y122" i="34"/>
  <c r="N123" i="34"/>
  <c r="X123" i="34"/>
  <c r="Y123" i="34"/>
  <c r="N124" i="34"/>
  <c r="R124" i="34"/>
  <c r="S124" i="34"/>
  <c r="T124" i="34"/>
  <c r="X124" i="34"/>
  <c r="Y124" i="34"/>
  <c r="N125" i="34"/>
  <c r="R125" i="34"/>
  <c r="S125" i="34"/>
  <c r="T125" i="34"/>
  <c r="X125" i="34"/>
  <c r="Y125" i="34"/>
  <c r="N126" i="34"/>
  <c r="R126" i="34"/>
  <c r="S126" i="34"/>
  <c r="T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X129" i="34"/>
  <c r="Y129" i="34"/>
  <c r="N130" i="34"/>
  <c r="X130" i="34"/>
  <c r="Y130" i="34"/>
  <c r="N131" i="34"/>
  <c r="X131" i="34"/>
  <c r="Y131" i="34"/>
  <c r="N132" i="34"/>
  <c r="X132" i="34"/>
  <c r="Y132" i="34"/>
  <c r="N133" i="34"/>
  <c r="X133" i="34"/>
  <c r="Y133" i="34"/>
  <c r="N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X142" i="34"/>
  <c r="Y142" i="34"/>
  <c r="N143" i="34"/>
  <c r="R143" i="34"/>
  <c r="S143" i="34"/>
  <c r="T143" i="34"/>
  <c r="X143" i="34"/>
  <c r="Y143" i="34"/>
  <c r="N144" i="34"/>
  <c r="X144" i="34"/>
  <c r="Y144" i="34"/>
  <c r="N145" i="34"/>
  <c r="X145" i="34"/>
  <c r="Y145" i="34"/>
  <c r="N146" i="34"/>
  <c r="X146" i="34"/>
  <c r="Y146" i="34"/>
  <c r="N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X153" i="34"/>
  <c r="Y153" i="34"/>
  <c r="N154" i="34"/>
  <c r="X154" i="34"/>
  <c r="Y154" i="34"/>
  <c r="N155" i="34"/>
  <c r="X155" i="34"/>
  <c r="Y155" i="34"/>
  <c r="N156" i="34"/>
  <c r="R156" i="34"/>
  <c r="S156" i="34"/>
  <c r="T156" i="34"/>
  <c r="X156" i="34"/>
  <c r="Y156" i="34"/>
  <c r="N157" i="34"/>
  <c r="R157" i="34"/>
  <c r="S157" i="34"/>
  <c r="T157" i="34"/>
  <c r="X157" i="34"/>
  <c r="Y157" i="34"/>
  <c r="N158" i="34"/>
  <c r="X158" i="34"/>
  <c r="Y158" i="34"/>
  <c r="N159" i="34"/>
  <c r="X159" i="34"/>
  <c r="Y159" i="34"/>
  <c r="N160" i="34"/>
  <c r="R160" i="34"/>
  <c r="S160" i="34"/>
  <c r="T160" i="34"/>
  <c r="X160" i="34"/>
  <c r="Y160" i="34"/>
  <c r="N161" i="34"/>
  <c r="R161" i="34"/>
  <c r="S161" i="34"/>
  <c r="T161" i="34"/>
  <c r="X161" i="34"/>
  <c r="Y161" i="34"/>
  <c r="N162" i="34"/>
  <c r="X162" i="34"/>
  <c r="Y162" i="34"/>
  <c r="N163" i="34"/>
  <c r="X163" i="34"/>
  <c r="Y163" i="34"/>
  <c r="N164" i="34"/>
  <c r="R164" i="34"/>
  <c r="S164" i="34"/>
  <c r="T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X173" i="34"/>
  <c r="Y173" i="34"/>
  <c r="N174" i="34"/>
  <c r="X174" i="34"/>
  <c r="Y174" i="34"/>
  <c r="N175" i="34"/>
  <c r="X175" i="34"/>
  <c r="Y175" i="34"/>
  <c r="N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R184" i="34"/>
  <c r="S184" i="34"/>
  <c r="T184" i="34"/>
  <c r="X184" i="34"/>
  <c r="Y184" i="34"/>
  <c r="N185" i="34"/>
  <c r="R185" i="34"/>
  <c r="S185" i="34"/>
  <c r="T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R190" i="34"/>
  <c r="S190" i="34"/>
  <c r="T190" i="34"/>
  <c r="X190" i="34"/>
  <c r="Y190" i="34"/>
  <c r="N191" i="34"/>
  <c r="R191" i="34"/>
  <c r="S191" i="34"/>
  <c r="T191" i="34"/>
  <c r="X191" i="34"/>
  <c r="Y191" i="34"/>
  <c r="N192" i="34"/>
  <c r="X192" i="34"/>
  <c r="Y192" i="34"/>
  <c r="N193" i="34"/>
  <c r="X193" i="34"/>
  <c r="Y193" i="34"/>
  <c r="N194" i="34"/>
  <c r="X194" i="34"/>
  <c r="Y194" i="34"/>
  <c r="N195" i="34"/>
  <c r="X195" i="34"/>
  <c r="Y195" i="34"/>
  <c r="N196" i="34"/>
  <c r="X196" i="34"/>
  <c r="Y196" i="34"/>
  <c r="N197" i="34"/>
  <c r="X197" i="34"/>
  <c r="Y197" i="34"/>
  <c r="N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R209" i="34"/>
  <c r="S209" i="34"/>
  <c r="T209" i="34"/>
  <c r="X209" i="34"/>
  <c r="Y209" i="34"/>
  <c r="N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X215" i="34"/>
  <c r="Y215" i="34"/>
  <c r="N216" i="34"/>
  <c r="X216" i="34"/>
  <c r="Y216" i="34"/>
  <c r="N217" i="34"/>
  <c r="X217" i="34"/>
  <c r="Y217" i="34"/>
  <c r="N218" i="34"/>
  <c r="X218" i="34"/>
  <c r="Y218" i="34"/>
  <c r="N219" i="34"/>
  <c r="X219" i="34"/>
  <c r="Y219" i="34"/>
  <c r="N220" i="34"/>
  <c r="X220" i="34"/>
  <c r="Y220" i="34"/>
  <c r="N221" i="34"/>
  <c r="X221" i="34"/>
  <c r="Y221" i="34"/>
  <c r="N222" i="34"/>
  <c r="X222" i="34"/>
  <c r="Y222" i="34"/>
  <c r="N223" i="34"/>
  <c r="X223" i="34"/>
  <c r="Y223" i="34"/>
  <c r="N224" i="34"/>
  <c r="X224" i="34"/>
  <c r="Y224" i="34"/>
  <c r="N225" i="34"/>
  <c r="X225" i="34"/>
  <c r="Y225" i="34"/>
  <c r="N226" i="34"/>
  <c r="X226" i="34"/>
  <c r="Y226" i="34"/>
  <c r="N227" i="34"/>
  <c r="X227" i="34"/>
  <c r="Y227" i="34"/>
  <c r="N228" i="34"/>
  <c r="X228" i="34"/>
  <c r="Y228" i="34"/>
  <c r="N229" i="34"/>
  <c r="X229" i="34"/>
  <c r="Y229" i="34"/>
  <c r="N230" i="34"/>
  <c r="X230" i="34"/>
  <c r="Y230" i="34"/>
  <c r="N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X236" i="34"/>
  <c r="Y236" i="34"/>
  <c r="N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X254" i="34"/>
  <c r="Y254" i="34"/>
  <c r="N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X258" i="34"/>
  <c r="Y258" i="34"/>
  <c r="N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X262" i="34"/>
  <c r="Y262" i="34"/>
  <c r="N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X266" i="34"/>
  <c r="Y266" i="34"/>
  <c r="N267" i="34"/>
  <c r="R267" i="34"/>
  <c r="S267" i="34"/>
  <c r="T267" i="34"/>
  <c r="X267" i="34"/>
  <c r="Y267" i="34"/>
  <c r="N268" i="34"/>
  <c r="X268" i="34"/>
  <c r="Y268" i="34"/>
  <c r="N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X273" i="34"/>
  <c r="Y273" i="34"/>
  <c r="N274" i="34"/>
  <c r="X274" i="34"/>
  <c r="Y274" i="34"/>
  <c r="N275" i="34"/>
  <c r="X275" i="34"/>
  <c r="Y275" i="34"/>
  <c r="N276" i="34"/>
  <c r="X276" i="34"/>
  <c r="Y276" i="34"/>
  <c r="N277" i="34"/>
  <c r="R277" i="34"/>
  <c r="S277" i="34"/>
  <c r="T277" i="34"/>
  <c r="X277" i="34"/>
  <c r="Y277" i="34"/>
  <c r="N278" i="34"/>
  <c r="X278" i="34"/>
  <c r="Y278" i="34"/>
  <c r="N279" i="34"/>
  <c r="X279" i="34"/>
  <c r="Y279" i="34"/>
  <c r="N280" i="34"/>
  <c r="X280" i="34"/>
  <c r="Y280" i="34"/>
  <c r="N281" i="34"/>
  <c r="X281" i="34"/>
  <c r="Y281" i="34"/>
  <c r="N282" i="34"/>
  <c r="X282" i="34"/>
  <c r="Y282" i="34"/>
  <c r="N283" i="34"/>
  <c r="X283" i="34"/>
  <c r="Y283" i="34"/>
  <c r="N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X290" i="34"/>
  <c r="Y290" i="34"/>
  <c r="N291" i="34"/>
  <c r="X291" i="34"/>
  <c r="Y291" i="34"/>
  <c r="N292" i="34"/>
  <c r="X292" i="34"/>
  <c r="Y292" i="34"/>
  <c r="N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5" i="34"/>
  <c r="R415" i="34"/>
  <c r="S415" i="34"/>
  <c r="T415" i="34"/>
  <c r="X415" i="34"/>
  <c r="Y415" i="34"/>
  <c r="N417" i="34"/>
  <c r="R417" i="34"/>
  <c r="S417" i="34"/>
  <c r="T417" i="34"/>
  <c r="X417" i="34"/>
  <c r="Y417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2" i="34"/>
  <c r="R642" i="34"/>
  <c r="S642" i="34"/>
  <c r="T642" i="34"/>
  <c r="X642" i="34"/>
  <c r="Y642" i="34"/>
  <c r="N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X655" i="34"/>
  <c r="Y655" i="34"/>
  <c r="N656" i="34"/>
  <c r="R656" i="34"/>
  <c r="S656" i="34"/>
  <c r="T656" i="34"/>
  <c r="X656" i="34"/>
  <c r="Y656" i="34"/>
  <c r="N658" i="34"/>
  <c r="R658" i="34"/>
  <c r="S658" i="34"/>
  <c r="T658" i="34"/>
  <c r="X658" i="34"/>
  <c r="Y658" i="34"/>
  <c r="N659" i="34"/>
  <c r="X659" i="34"/>
  <c r="Y659" i="34"/>
  <c r="N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X731" i="34"/>
  <c r="Y731" i="34"/>
  <c r="N732" i="34"/>
  <c r="R732" i="34"/>
  <c r="S732" i="34"/>
  <c r="T732" i="34"/>
  <c r="X732" i="34"/>
  <c r="Y732" i="34"/>
  <c r="N733" i="34"/>
  <c r="X733" i="34"/>
  <c r="Y733" i="34"/>
  <c r="N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X757" i="34"/>
  <c r="Y757" i="34"/>
  <c r="N758" i="34"/>
  <c r="X758" i="34"/>
  <c r="Y758" i="34"/>
  <c r="N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X779" i="34"/>
  <c r="Y779" i="34"/>
  <c r="N780" i="34"/>
  <c r="X780" i="34"/>
  <c r="Y780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4" i="34"/>
  <c r="R1024" i="34"/>
  <c r="S1024" i="34"/>
  <c r="T1024" i="34"/>
  <c r="X1024" i="34"/>
  <c r="Y1024" i="34"/>
  <c r="N1025" i="34"/>
  <c r="R1025" i="34"/>
  <c r="S1025" i="34"/>
  <c r="T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R44" i="34"/>
  <c r="S44" i="34"/>
  <c r="T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R48" i="34"/>
  <c r="S48" i="34"/>
  <c r="T48" i="34"/>
  <c r="X48" i="34"/>
  <c r="Y48" i="34"/>
  <c r="N49" i="34"/>
  <c r="R49" i="34"/>
  <c r="S49" i="34"/>
  <c r="T49" i="34"/>
  <c r="X49" i="34"/>
  <c r="Y49" i="34"/>
  <c r="N50" i="34"/>
  <c r="R50" i="34"/>
  <c r="S50" i="34"/>
  <c r="T50" i="34"/>
  <c r="X50" i="34"/>
  <c r="Y50" i="34"/>
  <c r="N51" i="34"/>
  <c r="R51" i="34"/>
  <c r="S51" i="34"/>
  <c r="T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X1168" i="34"/>
  <c r="Y1168" i="34"/>
  <c r="N1169" i="34"/>
  <c r="X1169" i="34"/>
  <c r="Y1169" i="34"/>
  <c r="N1170" i="34"/>
  <c r="X1170" i="34"/>
  <c r="Y1170" i="34"/>
  <c r="N1171" i="34"/>
  <c r="X1171" i="34"/>
  <c r="Y1171" i="34"/>
  <c r="N1172" i="34"/>
  <c r="X1172" i="34"/>
  <c r="Y1172" i="34"/>
  <c r="N1173" i="34"/>
  <c r="X1173" i="34"/>
  <c r="Y1173" i="34"/>
  <c r="N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X1185" i="34"/>
  <c r="Y1185" i="34"/>
  <c r="N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R1423" i="34"/>
  <c r="S1423" i="34"/>
  <c r="T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X1476" i="34"/>
  <c r="Y1476" i="34"/>
  <c r="N1477" i="34"/>
  <c r="X1477" i="34"/>
  <c r="Y1477" i="34"/>
  <c r="N1478" i="34"/>
  <c r="X1478" i="34"/>
  <c r="Y1478" i="34"/>
  <c r="N1479" i="34"/>
  <c r="X1479" i="34"/>
  <c r="Y1479" i="34"/>
  <c r="N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R1522" i="34"/>
  <c r="S1522" i="34"/>
  <c r="T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R1600" i="34"/>
  <c r="S1600" i="34"/>
  <c r="T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X1673" i="34"/>
  <c r="Y1673" i="34"/>
  <c r="N1674" i="34"/>
  <c r="X1674" i="34"/>
  <c r="Y1674" i="34"/>
  <c r="N1675" i="34"/>
  <c r="X1675" i="34"/>
  <c r="Y1675" i="34"/>
  <c r="N1676" i="34"/>
  <c r="X1676" i="34"/>
  <c r="Y1676" i="34"/>
  <c r="N1677" i="34"/>
  <c r="X1677" i="34"/>
  <c r="Y1677" i="34"/>
  <c r="N1678" i="34"/>
  <c r="X1678" i="34"/>
  <c r="Y1678" i="34"/>
  <c r="N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R1723" i="34"/>
  <c r="S1723" i="34"/>
  <c r="T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X1871" i="34"/>
  <c r="Y1871" i="34"/>
  <c r="N1872" i="34"/>
  <c r="X1872" i="34"/>
  <c r="Y1872" i="34"/>
  <c r="N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X1979" i="34"/>
  <c r="Y1979" i="34"/>
  <c r="N1980" i="34"/>
  <c r="X1980" i="34"/>
  <c r="Y1980" i="34"/>
  <c r="N1981" i="34"/>
  <c r="X1981" i="34"/>
  <c r="Y1981" i="34"/>
  <c r="N1982" i="34"/>
  <c r="X1982" i="34"/>
  <c r="Y1982" i="34"/>
  <c r="N1983" i="34"/>
  <c r="X1983" i="34"/>
  <c r="Y1983" i="34"/>
  <c r="N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X2098" i="34"/>
  <c r="Y2098" i="34"/>
  <c r="N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84" i="34" l="1"/>
  <c r="B1982" i="34"/>
  <c r="B1873" i="34"/>
  <c r="B1679" i="34"/>
  <c r="B1677" i="34"/>
  <c r="B1479" i="34"/>
  <c r="B1137" i="34"/>
  <c r="A1137" i="34" s="1"/>
  <c r="S1982" i="34" l="1"/>
  <c r="W1982" i="34"/>
  <c r="T1982" i="34"/>
  <c r="U1982" i="34"/>
  <c r="R1982" i="34"/>
  <c r="A1982" i="34"/>
  <c r="T1679" i="34"/>
  <c r="U1679" i="34"/>
  <c r="R1679" i="34"/>
  <c r="S1679" i="34"/>
  <c r="W1679" i="34"/>
  <c r="A1679" i="34"/>
  <c r="W1137" i="34"/>
  <c r="U1137" i="34"/>
  <c r="T1873" i="34"/>
  <c r="U1873" i="34"/>
  <c r="R1873" i="34"/>
  <c r="S1873" i="34"/>
  <c r="W1873" i="34"/>
  <c r="A1873" i="34"/>
  <c r="S1479" i="34"/>
  <c r="W1479" i="34"/>
  <c r="T1479" i="34"/>
  <c r="U1479" i="34"/>
  <c r="R1479" i="34"/>
  <c r="A1479" i="34"/>
  <c r="R1677" i="34"/>
  <c r="S1677" i="34"/>
  <c r="W1677" i="34"/>
  <c r="T1677" i="34"/>
  <c r="U1677" i="34"/>
  <c r="A1677" i="34"/>
  <c r="U1984" i="34"/>
  <c r="R1984" i="34"/>
  <c r="S1984" i="34"/>
  <c r="W1984" i="34"/>
  <c r="T1984" i="34"/>
  <c r="A1984" i="34"/>
  <c r="N2111" i="34"/>
  <c r="R2111" i="34"/>
  <c r="S2111" i="34"/>
  <c r="T2111" i="34"/>
  <c r="X2111" i="34"/>
  <c r="Y2111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72" i="34"/>
  <c r="B1271" i="34"/>
  <c r="B1270" i="34"/>
  <c r="B1269" i="34"/>
  <c r="B1268" i="34"/>
  <c r="B1267" i="34"/>
  <c r="B1266" i="34"/>
  <c r="B1265" i="34"/>
  <c r="B1264" i="34"/>
  <c r="B1231" i="34"/>
  <c r="A1231" i="34" s="1"/>
  <c r="B1230" i="34"/>
  <c r="A1230" i="34" s="1"/>
  <c r="B1229" i="34"/>
  <c r="A1229" i="34" s="1"/>
  <c r="B1228" i="34"/>
  <c r="A1228" i="34" s="1"/>
  <c r="B1227" i="34"/>
  <c r="A1227" i="34" s="1"/>
  <c r="B1226" i="34"/>
  <c r="A1226" i="34" s="1"/>
  <c r="B1225" i="34"/>
  <c r="A1225" i="34" s="1"/>
  <c r="B1224" i="34"/>
  <c r="A1224" i="34" s="1"/>
  <c r="B1223" i="34"/>
  <c r="A1223" i="34" s="1"/>
  <c r="B1195" i="34"/>
  <c r="A1195" i="34" s="1"/>
  <c r="B1194" i="34"/>
  <c r="A1194" i="34" s="1"/>
  <c r="B1193" i="34"/>
  <c r="A1193" i="34" s="1"/>
  <c r="B1192" i="34"/>
  <c r="A1192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690" i="34"/>
  <c r="B1670" i="34"/>
  <c r="B1669" i="34"/>
  <c r="B1569" i="34"/>
  <c r="B1568" i="34"/>
  <c r="B1502" i="34"/>
  <c r="B1501" i="34"/>
  <c r="B1473" i="34"/>
  <c r="B1472" i="34"/>
  <c r="B1438" i="34"/>
  <c r="B1437" i="34"/>
  <c r="B1430" i="34"/>
  <c r="B1429" i="34"/>
  <c r="B1428" i="34"/>
  <c r="B1427" i="34"/>
  <c r="B1414" i="34"/>
  <c r="B1413" i="34"/>
  <c r="B1412" i="34"/>
  <c r="B1411" i="34"/>
  <c r="B1410" i="34"/>
  <c r="B1409" i="34"/>
  <c r="B1389" i="34"/>
  <c r="B1388" i="34"/>
  <c r="B1387" i="34"/>
  <c r="B1386" i="34"/>
  <c r="B1385" i="34"/>
  <c r="B1384" i="34"/>
  <c r="B1383" i="34"/>
  <c r="B1382" i="34"/>
  <c r="B1381" i="34"/>
  <c r="B1359" i="34"/>
  <c r="B1358" i="34"/>
  <c r="B1357" i="34"/>
  <c r="B1356" i="34"/>
  <c r="B1355" i="34"/>
  <c r="B1354" i="34"/>
  <c r="B1353" i="34"/>
  <c r="B1352" i="34"/>
  <c r="B1351" i="34"/>
  <c r="B1317" i="34"/>
  <c r="B1316" i="34"/>
  <c r="B1315" i="34"/>
  <c r="B1831" i="34"/>
  <c r="B1830" i="34"/>
  <c r="B1829" i="34"/>
  <c r="B1811" i="34"/>
  <c r="B1810" i="34"/>
  <c r="B1809" i="34"/>
  <c r="B1808" i="34"/>
  <c r="B1807" i="34"/>
  <c r="B1806" i="34"/>
  <c r="B1805" i="34"/>
  <c r="B1804" i="34"/>
  <c r="B1803" i="34"/>
  <c r="B1782" i="34"/>
  <c r="B1781" i="34"/>
  <c r="B1780" i="34"/>
  <c r="B1779" i="34"/>
  <c r="B1778" i="34"/>
  <c r="B1777" i="34"/>
  <c r="B1776" i="34"/>
  <c r="B1775" i="34"/>
  <c r="B1774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33" i="34"/>
  <c r="B1732" i="34"/>
  <c r="B1698" i="34"/>
  <c r="B1697" i="34"/>
  <c r="B1696" i="34"/>
  <c r="B1695" i="34"/>
  <c r="B1694" i="34"/>
  <c r="B1693" i="34"/>
  <c r="B1692" i="34"/>
  <c r="B1691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38" i="34"/>
  <c r="B1537" i="34"/>
  <c r="B1536" i="34"/>
  <c r="B1535" i="34"/>
  <c r="B1534" i="34"/>
  <c r="B1533" i="34"/>
  <c r="B1532" i="34"/>
  <c r="B1531" i="34"/>
  <c r="B1530" i="34"/>
  <c r="B1511" i="34"/>
  <c r="B1510" i="34"/>
  <c r="B1509" i="34"/>
  <c r="B1508" i="34"/>
  <c r="B1507" i="34"/>
  <c r="B1506" i="34"/>
  <c r="B1505" i="34"/>
  <c r="B1504" i="34"/>
  <c r="B150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626" i="34"/>
  <c r="B1625" i="34"/>
  <c r="B1624" i="34"/>
  <c r="B1623" i="34"/>
  <c r="B1622" i="34"/>
  <c r="B1621" i="34"/>
  <c r="B1620" i="34"/>
  <c r="B1619" i="34"/>
  <c r="B1588" i="34"/>
  <c r="B1587" i="34"/>
  <c r="B1586" i="34"/>
  <c r="B1585" i="34"/>
  <c r="A42" i="70"/>
  <c r="B618" i="34"/>
  <c r="A618" i="34" s="1"/>
  <c r="W1588" i="34" l="1"/>
  <c r="U1588" i="34"/>
  <c r="A1588" i="34"/>
  <c r="U1626" i="34"/>
  <c r="W1626" i="34"/>
  <c r="A1626" i="34"/>
  <c r="W1835" i="34"/>
  <c r="U1835" i="34"/>
  <c r="A1835" i="34"/>
  <c r="W1839" i="34"/>
  <c r="U1839" i="34"/>
  <c r="A1839" i="34"/>
  <c r="U1503" i="34"/>
  <c r="W1503" i="34"/>
  <c r="A1503" i="34"/>
  <c r="U1507" i="34"/>
  <c r="W1507" i="34"/>
  <c r="A1507" i="34"/>
  <c r="U1511" i="34"/>
  <c r="W1511" i="34"/>
  <c r="A1511" i="34"/>
  <c r="W1533" i="34"/>
  <c r="U1533" i="34"/>
  <c r="A1533" i="34"/>
  <c r="W1537" i="34"/>
  <c r="U1537" i="34"/>
  <c r="A1537" i="34"/>
  <c r="U1574" i="34"/>
  <c r="W1574" i="34"/>
  <c r="A1574" i="34"/>
  <c r="U1578" i="34"/>
  <c r="W1578" i="34"/>
  <c r="A1578" i="34"/>
  <c r="U1582" i="34"/>
  <c r="W1582" i="34"/>
  <c r="A1582" i="34"/>
  <c r="W1692" i="34"/>
  <c r="U1692" i="34"/>
  <c r="A1692" i="34"/>
  <c r="W1696" i="34"/>
  <c r="U1696" i="34"/>
  <c r="A1696" i="34"/>
  <c r="U1733" i="34"/>
  <c r="W1733" i="34"/>
  <c r="A1733" i="34"/>
  <c r="U1748" i="34"/>
  <c r="W1748" i="34"/>
  <c r="A1748" i="34"/>
  <c r="U1752" i="34"/>
  <c r="W1752" i="34"/>
  <c r="A1752" i="34"/>
  <c r="W1774" i="34"/>
  <c r="U1774" i="34"/>
  <c r="A1774" i="34"/>
  <c r="W1778" i="34"/>
  <c r="U1778" i="34"/>
  <c r="A1778" i="34"/>
  <c r="W1782" i="34"/>
  <c r="U1782" i="34"/>
  <c r="A1782" i="34"/>
  <c r="W1806" i="34"/>
  <c r="U1806" i="34"/>
  <c r="A1806" i="34"/>
  <c r="W1810" i="34"/>
  <c r="U1810" i="34"/>
  <c r="A1810" i="34"/>
  <c r="W1831" i="34"/>
  <c r="U1831" i="34"/>
  <c r="A1831" i="34"/>
  <c r="W1351" i="34"/>
  <c r="U1351" i="34"/>
  <c r="A1351" i="34"/>
  <c r="W1355" i="34"/>
  <c r="U1355" i="34"/>
  <c r="A1355" i="34"/>
  <c r="W1359" i="34"/>
  <c r="U1359" i="34"/>
  <c r="A1359" i="34"/>
  <c r="W1384" i="34"/>
  <c r="U1384" i="34"/>
  <c r="A1384" i="34"/>
  <c r="W1388" i="34"/>
  <c r="U1388" i="34"/>
  <c r="A1388" i="34"/>
  <c r="W1411" i="34"/>
  <c r="U1411" i="34"/>
  <c r="A1411" i="34"/>
  <c r="W1427" i="34"/>
  <c r="U1427" i="34"/>
  <c r="A1427" i="34"/>
  <c r="U1437" i="34"/>
  <c r="W1437" i="34"/>
  <c r="A1437" i="34"/>
  <c r="W1501" i="34"/>
  <c r="U1501" i="34"/>
  <c r="A1501" i="34"/>
  <c r="W1669" i="34"/>
  <c r="U1669" i="34"/>
  <c r="A1669" i="34"/>
  <c r="U1188" i="34"/>
  <c r="W1188" i="34"/>
  <c r="U1192" i="34"/>
  <c r="W1192" i="34"/>
  <c r="U1223" i="34"/>
  <c r="W1223" i="34"/>
  <c r="U1227" i="34"/>
  <c r="W1227" i="34"/>
  <c r="U1231" i="34"/>
  <c r="W1231" i="34"/>
  <c r="W1267" i="34"/>
  <c r="U1267" i="34"/>
  <c r="A1267" i="34"/>
  <c r="W1271" i="34"/>
  <c r="U1271" i="34"/>
  <c r="A1271" i="34"/>
  <c r="U1302" i="34"/>
  <c r="W1302" i="34"/>
  <c r="A1302" i="34"/>
  <c r="U1306" i="34"/>
  <c r="W1306" i="34"/>
  <c r="A1306" i="34"/>
  <c r="U1310" i="34"/>
  <c r="W1310" i="34"/>
  <c r="A1310" i="34"/>
  <c r="U1314" i="34"/>
  <c r="W1314" i="34"/>
  <c r="A1314" i="34"/>
  <c r="U1587" i="34"/>
  <c r="W1587" i="34"/>
  <c r="A1587" i="34"/>
  <c r="U1622" i="34"/>
  <c r="W1622" i="34"/>
  <c r="A1622" i="34"/>
  <c r="W1585" i="34"/>
  <c r="U1585" i="34"/>
  <c r="A1585" i="34"/>
  <c r="U1619" i="34"/>
  <c r="W1619" i="34"/>
  <c r="A1619" i="34"/>
  <c r="U1623" i="34"/>
  <c r="W1623" i="34"/>
  <c r="A1623" i="34"/>
  <c r="U1832" i="34"/>
  <c r="W1832" i="34"/>
  <c r="A1832" i="34"/>
  <c r="U1836" i="34"/>
  <c r="W1836" i="34"/>
  <c r="A1836" i="34"/>
  <c r="U1840" i="34"/>
  <c r="W1840" i="34"/>
  <c r="A1840" i="34"/>
  <c r="W1504" i="34"/>
  <c r="U1504" i="34"/>
  <c r="A1504" i="34"/>
  <c r="W1508" i="34"/>
  <c r="U1508" i="34"/>
  <c r="A1508" i="34"/>
  <c r="U1530" i="34"/>
  <c r="W1530" i="34"/>
  <c r="A1530" i="34"/>
  <c r="U1534" i="34"/>
  <c r="W1534" i="34"/>
  <c r="A1534" i="34"/>
  <c r="U1538" i="34"/>
  <c r="W1538" i="34"/>
  <c r="A1538" i="34"/>
  <c r="U1575" i="34"/>
  <c r="W1575" i="34"/>
  <c r="A1575" i="34"/>
  <c r="U1579" i="34"/>
  <c r="W1579" i="34"/>
  <c r="A1579" i="34"/>
  <c r="U1583" i="34"/>
  <c r="W1583" i="34"/>
  <c r="A1583" i="34"/>
  <c r="W1693" i="34"/>
  <c r="U1693" i="34"/>
  <c r="A1693" i="34"/>
  <c r="W1697" i="34"/>
  <c r="U1697" i="34"/>
  <c r="A1697" i="34"/>
  <c r="U1745" i="34"/>
  <c r="W1745" i="34"/>
  <c r="A1745" i="34"/>
  <c r="U1749" i="34"/>
  <c r="W1749" i="34"/>
  <c r="A1749" i="34"/>
  <c r="U1753" i="34"/>
  <c r="W1753" i="34"/>
  <c r="A1753" i="34"/>
  <c r="W1775" i="34"/>
  <c r="U1775" i="34"/>
  <c r="A1775" i="34"/>
  <c r="W1779" i="34"/>
  <c r="U1779" i="34"/>
  <c r="A1779" i="34"/>
  <c r="W1803" i="34"/>
  <c r="U1803" i="34"/>
  <c r="A1803" i="34"/>
  <c r="W1807" i="34"/>
  <c r="U1807" i="34"/>
  <c r="A1807" i="34"/>
  <c r="W1811" i="34"/>
  <c r="U1811" i="34"/>
  <c r="A1811" i="34"/>
  <c r="W1315" i="34"/>
  <c r="U1315" i="34"/>
  <c r="A1315" i="34"/>
  <c r="W1352" i="34"/>
  <c r="U1352" i="34"/>
  <c r="A1352" i="34"/>
  <c r="W1356" i="34"/>
  <c r="U1356" i="34"/>
  <c r="A1356" i="34"/>
  <c r="U1381" i="34"/>
  <c r="W1381" i="34"/>
  <c r="A1381" i="34"/>
  <c r="U1385" i="34"/>
  <c r="W1385" i="34"/>
  <c r="A1385" i="34"/>
  <c r="U1389" i="34"/>
  <c r="W1389" i="34"/>
  <c r="A1389" i="34"/>
  <c r="W1412" i="34"/>
  <c r="U1412" i="34"/>
  <c r="A1412" i="34"/>
  <c r="W1428" i="34"/>
  <c r="U1428" i="34"/>
  <c r="A1428" i="34"/>
  <c r="U1438" i="34"/>
  <c r="W1438" i="34"/>
  <c r="A1438" i="34"/>
  <c r="U1502" i="34"/>
  <c r="W1502" i="34"/>
  <c r="A1502" i="34"/>
  <c r="U1670" i="34"/>
  <c r="W1670" i="34"/>
  <c r="A1670" i="34"/>
  <c r="W1189" i="34"/>
  <c r="U1189" i="34"/>
  <c r="W1193" i="34"/>
  <c r="U1193" i="34"/>
  <c r="U1224" i="34"/>
  <c r="W1224" i="34"/>
  <c r="U1228" i="34"/>
  <c r="W1228" i="34"/>
  <c r="W1264" i="34"/>
  <c r="U1264" i="34"/>
  <c r="A1264" i="34"/>
  <c r="W1268" i="34"/>
  <c r="U1268" i="34"/>
  <c r="A1268" i="34"/>
  <c r="W1272" i="34"/>
  <c r="U1272" i="34"/>
  <c r="A1272" i="34"/>
  <c r="W1303" i="34"/>
  <c r="U1303" i="34"/>
  <c r="A1303" i="34"/>
  <c r="W1307" i="34"/>
  <c r="U1307" i="34"/>
  <c r="A1307" i="34"/>
  <c r="W1311" i="34"/>
  <c r="U1311" i="34"/>
  <c r="A1311" i="34"/>
  <c r="U1586" i="34"/>
  <c r="W1586" i="34"/>
  <c r="A1586" i="34"/>
  <c r="W1620" i="34"/>
  <c r="U1620" i="34"/>
  <c r="A1620" i="34"/>
  <c r="W1624" i="34"/>
  <c r="U1624" i="34"/>
  <c r="A1624" i="34"/>
  <c r="U1833" i="34"/>
  <c r="W1833" i="34"/>
  <c r="A1833" i="34"/>
  <c r="U1837" i="34"/>
  <c r="W1837" i="34"/>
  <c r="A1837" i="34"/>
  <c r="U1841" i="34"/>
  <c r="W1841" i="34"/>
  <c r="A1841" i="34"/>
  <c r="W1505" i="34"/>
  <c r="U1505" i="34"/>
  <c r="A1505" i="34"/>
  <c r="W1509" i="34"/>
  <c r="U1509" i="34"/>
  <c r="A1509" i="34"/>
  <c r="U1531" i="34"/>
  <c r="W1531" i="34"/>
  <c r="A1531" i="34"/>
  <c r="U1535" i="34"/>
  <c r="W1535" i="34"/>
  <c r="A1535" i="34"/>
  <c r="W1572" i="34"/>
  <c r="U1572" i="34"/>
  <c r="A1572" i="34"/>
  <c r="W1576" i="34"/>
  <c r="U1576" i="34"/>
  <c r="A1576" i="34"/>
  <c r="W1580" i="34"/>
  <c r="U1580" i="34"/>
  <c r="A1580" i="34"/>
  <c r="W1584" i="34"/>
  <c r="U1584" i="34"/>
  <c r="A1584" i="34"/>
  <c r="U1694" i="34"/>
  <c r="W1694" i="34"/>
  <c r="A1694" i="34"/>
  <c r="U1698" i="34"/>
  <c r="W1698" i="34"/>
  <c r="A1698" i="34"/>
  <c r="W1746" i="34"/>
  <c r="U1746" i="34"/>
  <c r="A1746" i="34"/>
  <c r="W1750" i="34"/>
  <c r="U1750" i="34"/>
  <c r="A1750" i="34"/>
  <c r="W1754" i="34"/>
  <c r="U1754" i="34"/>
  <c r="A1754" i="34"/>
  <c r="U1776" i="34"/>
  <c r="W1776" i="34"/>
  <c r="A1776" i="34"/>
  <c r="U1780" i="34"/>
  <c r="W1780" i="34"/>
  <c r="A1780" i="34"/>
  <c r="U1804" i="34"/>
  <c r="W1804" i="34"/>
  <c r="A1804" i="34"/>
  <c r="U1808" i="34"/>
  <c r="W1808" i="34"/>
  <c r="A1808" i="34"/>
  <c r="U1829" i="34"/>
  <c r="W1829" i="34"/>
  <c r="A1829" i="34"/>
  <c r="W1316" i="34"/>
  <c r="U1316" i="34"/>
  <c r="A1316" i="34"/>
  <c r="U1353" i="34"/>
  <c r="W1353" i="34"/>
  <c r="A1353" i="34"/>
  <c r="U1357" i="34"/>
  <c r="W1357" i="34"/>
  <c r="A1357" i="34"/>
  <c r="U1382" i="34"/>
  <c r="W1382" i="34"/>
  <c r="A1382" i="34"/>
  <c r="U1386" i="34"/>
  <c r="W1386" i="34"/>
  <c r="A1386" i="34"/>
  <c r="U1409" i="34"/>
  <c r="W1409" i="34"/>
  <c r="A1409" i="34"/>
  <c r="U1413" i="34"/>
  <c r="W1413" i="34"/>
  <c r="A1413" i="34"/>
  <c r="U1429" i="34"/>
  <c r="W1429" i="34"/>
  <c r="A1429" i="34"/>
  <c r="W1472" i="34"/>
  <c r="U1472" i="34"/>
  <c r="A1472" i="34"/>
  <c r="W1568" i="34"/>
  <c r="U1568" i="34"/>
  <c r="A1568" i="34"/>
  <c r="U1690" i="34"/>
  <c r="W1690" i="34"/>
  <c r="A1690" i="34"/>
  <c r="W1190" i="34"/>
  <c r="U1190" i="34"/>
  <c r="W1194" i="34"/>
  <c r="U1194" i="34"/>
  <c r="W1225" i="34"/>
  <c r="U1225" i="34"/>
  <c r="W1229" i="34"/>
  <c r="U1229" i="34"/>
  <c r="U1265" i="34"/>
  <c r="W1265" i="34"/>
  <c r="A1265" i="34"/>
  <c r="U1269" i="34"/>
  <c r="W1269" i="34"/>
  <c r="A1269" i="34"/>
  <c r="W1300" i="34"/>
  <c r="U1300" i="34"/>
  <c r="A1300" i="34"/>
  <c r="W1304" i="34"/>
  <c r="U1304" i="34"/>
  <c r="A1304" i="34"/>
  <c r="W1308" i="34"/>
  <c r="U1308" i="34"/>
  <c r="A1308" i="34"/>
  <c r="W1312" i="34"/>
  <c r="U1312" i="34"/>
  <c r="A1312" i="34"/>
  <c r="U618" i="34"/>
  <c r="W618" i="34"/>
  <c r="W1621" i="34"/>
  <c r="U1621" i="34"/>
  <c r="A1621" i="34"/>
  <c r="W1625" i="34"/>
  <c r="U1625" i="34"/>
  <c r="A1625" i="34"/>
  <c r="W1834" i="34"/>
  <c r="U1834" i="34"/>
  <c r="A1834" i="34"/>
  <c r="W1838" i="34"/>
  <c r="U1838" i="34"/>
  <c r="A1838" i="34"/>
  <c r="W1842" i="34"/>
  <c r="U1842" i="34"/>
  <c r="A1842" i="34"/>
  <c r="U1506" i="34"/>
  <c r="W1506" i="34"/>
  <c r="A1506" i="34"/>
  <c r="U1510" i="34"/>
  <c r="W1510" i="34"/>
  <c r="A1510" i="34"/>
  <c r="W1532" i="34"/>
  <c r="U1532" i="34"/>
  <c r="A1532" i="34"/>
  <c r="W1536" i="34"/>
  <c r="U1536" i="34"/>
  <c r="A1536" i="34"/>
  <c r="W1573" i="34"/>
  <c r="U1573" i="34"/>
  <c r="A1573" i="34"/>
  <c r="W1577" i="34"/>
  <c r="U1577" i="34"/>
  <c r="A1577" i="34"/>
  <c r="W1581" i="34"/>
  <c r="U1581" i="34"/>
  <c r="A1581" i="34"/>
  <c r="U1691" i="34"/>
  <c r="W1691" i="34"/>
  <c r="A1691" i="34"/>
  <c r="U1695" i="34"/>
  <c r="W1695" i="34"/>
  <c r="A1695" i="34"/>
  <c r="U1732" i="34"/>
  <c r="W1732" i="34"/>
  <c r="A1732" i="34"/>
  <c r="W1747" i="34"/>
  <c r="U1747" i="34"/>
  <c r="A1747" i="34"/>
  <c r="W1751" i="34"/>
  <c r="U1751" i="34"/>
  <c r="A1751" i="34"/>
  <c r="W1755" i="34"/>
  <c r="U1755" i="34"/>
  <c r="A1755" i="34"/>
  <c r="U1777" i="34"/>
  <c r="W1777" i="34"/>
  <c r="A1777" i="34"/>
  <c r="U1781" i="34"/>
  <c r="W1781" i="34"/>
  <c r="A1781" i="34"/>
  <c r="U1805" i="34"/>
  <c r="W1805" i="34"/>
  <c r="A1805" i="34"/>
  <c r="U1809" i="34"/>
  <c r="W1809" i="34"/>
  <c r="A1809" i="34"/>
  <c r="W1830" i="34"/>
  <c r="U1830" i="34"/>
  <c r="A1830" i="34"/>
  <c r="U1317" i="34"/>
  <c r="W1317" i="34"/>
  <c r="A1317" i="34"/>
  <c r="U1354" i="34"/>
  <c r="W1354" i="34"/>
  <c r="A1354" i="34"/>
  <c r="U1358" i="34"/>
  <c r="W1358" i="34"/>
  <c r="A1358" i="34"/>
  <c r="W1383" i="34"/>
  <c r="U1383" i="34"/>
  <c r="A1383" i="34"/>
  <c r="W1387" i="34"/>
  <c r="U1387" i="34"/>
  <c r="A1387" i="34"/>
  <c r="U1410" i="34"/>
  <c r="W1410" i="34"/>
  <c r="A1410" i="34"/>
  <c r="U1414" i="34"/>
  <c r="W1414" i="34"/>
  <c r="A1414" i="34"/>
  <c r="U1430" i="34"/>
  <c r="W1430" i="34"/>
  <c r="A1430" i="34"/>
  <c r="U1473" i="34"/>
  <c r="W1473" i="34"/>
  <c r="A1473" i="34"/>
  <c r="W1569" i="34"/>
  <c r="U1569" i="34"/>
  <c r="A1569" i="34"/>
  <c r="U1187" i="34"/>
  <c r="W1187" i="34"/>
  <c r="U1191" i="34"/>
  <c r="W1191" i="34"/>
  <c r="U1195" i="34"/>
  <c r="W1195" i="34"/>
  <c r="W1226" i="34"/>
  <c r="U1226" i="34"/>
  <c r="W1230" i="34"/>
  <c r="U1230" i="34"/>
  <c r="U1266" i="34"/>
  <c r="W1266" i="34"/>
  <c r="A1266" i="34"/>
  <c r="U1270" i="34"/>
  <c r="W1270" i="34"/>
  <c r="A1270" i="34"/>
  <c r="U1301" i="34"/>
  <c r="W1301" i="34"/>
  <c r="A1301" i="34"/>
  <c r="U1305" i="34"/>
  <c r="W1305" i="34"/>
  <c r="A1305" i="34"/>
  <c r="U1309" i="34"/>
  <c r="W1309" i="34"/>
  <c r="A1309" i="34"/>
  <c r="U1313" i="34"/>
  <c r="W1313" i="34"/>
  <c r="A1313" i="34"/>
  <c r="B636" i="34"/>
  <c r="A636" i="34" s="1"/>
  <c r="B635" i="34"/>
  <c r="A635" i="34" s="1"/>
  <c r="B634" i="34"/>
  <c r="A634" i="34" s="1"/>
  <c r="B486" i="34"/>
  <c r="A486" i="34" s="1"/>
  <c r="B485" i="34"/>
  <c r="A485" i="34" s="1"/>
  <c r="B483" i="34"/>
  <c r="A483" i="34" s="1"/>
  <c r="B482" i="34"/>
  <c r="A482" i="34" s="1"/>
  <c r="B480" i="34"/>
  <c r="A480" i="34" s="1"/>
  <c r="B479" i="34"/>
  <c r="A479" i="34" s="1"/>
  <c r="B477" i="34"/>
  <c r="A477" i="34" s="1"/>
  <c r="B476" i="34"/>
  <c r="A476" i="34" s="1"/>
  <c r="B474" i="34"/>
  <c r="A474" i="34" s="1"/>
  <c r="B473" i="34"/>
  <c r="A473" i="34" s="1"/>
  <c r="B471" i="34"/>
  <c r="A471" i="34" s="1"/>
  <c r="B470" i="34"/>
  <c r="A470" i="34" s="1"/>
  <c r="B468" i="34"/>
  <c r="A468" i="34" s="1"/>
  <c r="B467" i="34"/>
  <c r="A467" i="34" s="1"/>
  <c r="B466" i="34"/>
  <c r="A466" i="34" s="1"/>
  <c r="B464" i="34"/>
  <c r="A464" i="34" s="1"/>
  <c r="B463" i="34"/>
  <c r="A463" i="34" s="1"/>
  <c r="B461" i="34"/>
  <c r="A461" i="34" s="1"/>
  <c r="B460" i="34"/>
  <c r="A460" i="34" s="1"/>
  <c r="B459" i="34"/>
  <c r="A459" i="34" s="1"/>
  <c r="B457" i="34"/>
  <c r="A457" i="34" s="1"/>
  <c r="B456" i="34"/>
  <c r="A456" i="34" s="1"/>
  <c r="B455" i="34"/>
  <c r="A455" i="34" s="1"/>
  <c r="B454" i="34"/>
  <c r="A454" i="34" s="1"/>
  <c r="B452" i="34"/>
  <c r="A452" i="34" s="1"/>
  <c r="B451" i="34"/>
  <c r="A451" i="34" s="1"/>
  <c r="B450" i="34"/>
  <c r="A450" i="34" s="1"/>
  <c r="B448" i="34"/>
  <c r="A448" i="34" s="1"/>
  <c r="B447" i="34"/>
  <c r="A447" i="34" s="1"/>
  <c r="B445" i="34"/>
  <c r="A445" i="34" s="1"/>
  <c r="B444" i="34"/>
  <c r="A444" i="34" s="1"/>
  <c r="B442" i="34"/>
  <c r="A442" i="34" s="1"/>
  <c r="B441" i="34"/>
  <c r="A441" i="34" s="1"/>
  <c r="B439" i="34"/>
  <c r="A439" i="34" s="1"/>
  <c r="B438" i="34"/>
  <c r="A438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23" i="34"/>
  <c r="A923" i="34" s="1"/>
  <c r="B922" i="34"/>
  <c r="A922" i="34" s="1"/>
  <c r="B921" i="34"/>
  <c r="A921" i="34" s="1"/>
  <c r="B920" i="34"/>
  <c r="A920" i="34" s="1"/>
  <c r="B919" i="34"/>
  <c r="A919" i="34" s="1"/>
  <c r="B918" i="34"/>
  <c r="A918" i="34" s="1"/>
  <c r="B916" i="34"/>
  <c r="A916" i="34" s="1"/>
  <c r="B915" i="34"/>
  <c r="A915" i="34" s="1"/>
  <c r="B914" i="34"/>
  <c r="A914" i="34" s="1"/>
  <c r="B913" i="34"/>
  <c r="A913" i="34" s="1"/>
  <c r="B911" i="34"/>
  <c r="A911" i="34" s="1"/>
  <c r="B910" i="34"/>
  <c r="A910" i="34" s="1"/>
  <c r="B909" i="34"/>
  <c r="A909" i="34" s="1"/>
  <c r="B908" i="34"/>
  <c r="A908" i="34" s="1"/>
  <c r="B625" i="34"/>
  <c r="A625" i="34" s="1"/>
  <c r="B624" i="34"/>
  <c r="A624" i="34" s="1"/>
  <c r="B622" i="34"/>
  <c r="A622" i="34" s="1"/>
  <c r="B621" i="34"/>
  <c r="A621" i="34" s="1"/>
  <c r="B620" i="34"/>
  <c r="A620" i="34" s="1"/>
  <c r="B494" i="34"/>
  <c r="A494" i="34" s="1"/>
  <c r="B493" i="34"/>
  <c r="A493" i="34" s="1"/>
  <c r="B492" i="34"/>
  <c r="A492" i="34" s="1"/>
  <c r="B491" i="34"/>
  <c r="A491" i="34" s="1"/>
  <c r="B489" i="34"/>
  <c r="A489" i="34" s="1"/>
  <c r="B488" i="34"/>
  <c r="A488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5" i="34"/>
  <c r="A985" i="34" s="1"/>
  <c r="B984" i="34"/>
  <c r="A984" i="34" s="1"/>
  <c r="B983" i="34"/>
  <c r="A983" i="34" s="1"/>
  <c r="B982" i="34"/>
  <c r="A982" i="34" s="1"/>
  <c r="B980" i="34"/>
  <c r="A980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969" i="34"/>
  <c r="A969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2" i="34"/>
  <c r="A962" i="34" s="1"/>
  <c r="B961" i="34"/>
  <c r="A961" i="34" s="1"/>
  <c r="B960" i="34"/>
  <c r="A960" i="34" s="1"/>
  <c r="B958" i="34"/>
  <c r="A958" i="34" s="1"/>
  <c r="B957" i="34"/>
  <c r="A957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8" i="34"/>
  <c r="A948" i="34" s="1"/>
  <c r="B947" i="34"/>
  <c r="A947" i="34" s="1"/>
  <c r="B945" i="34"/>
  <c r="A945" i="34" s="1"/>
  <c r="B944" i="34"/>
  <c r="A944" i="34" s="1"/>
  <c r="B1142" i="34"/>
  <c r="A1142" i="34" s="1"/>
  <c r="B1141" i="34"/>
  <c r="A1141" i="34" s="1"/>
  <c r="B1006" i="34"/>
  <c r="A1006" i="34" s="1"/>
  <c r="B1005" i="34"/>
  <c r="A1005" i="34" s="1"/>
  <c r="B1004" i="34"/>
  <c r="A1004" i="34" s="1"/>
  <c r="B1002" i="34"/>
  <c r="A1002" i="34" s="1"/>
  <c r="B1001" i="34"/>
  <c r="A1001" i="34" s="1"/>
  <c r="B1000" i="34"/>
  <c r="A1000" i="34" s="1"/>
  <c r="B999" i="34"/>
  <c r="A999" i="34" s="1"/>
  <c r="B998" i="34"/>
  <c r="A998" i="34" s="1"/>
  <c r="B997" i="34"/>
  <c r="A997" i="34" s="1"/>
  <c r="B996" i="34"/>
  <c r="A996" i="34" s="1"/>
  <c r="B995" i="34"/>
  <c r="A995" i="34" s="1"/>
  <c r="B994" i="34"/>
  <c r="A994" i="34" s="1"/>
  <c r="W1142" i="34" l="1"/>
  <c r="U1142" i="34"/>
  <c r="W967" i="34"/>
  <c r="U967" i="34"/>
  <c r="W989" i="34"/>
  <c r="U989" i="34"/>
  <c r="W621" i="34"/>
  <c r="U621" i="34"/>
  <c r="U996" i="34"/>
  <c r="W996" i="34"/>
  <c r="W944" i="34"/>
  <c r="U944" i="34"/>
  <c r="W958" i="34"/>
  <c r="U958" i="34"/>
  <c r="W1001" i="34"/>
  <c r="U1001" i="34"/>
  <c r="U945" i="34"/>
  <c r="W945" i="34"/>
  <c r="U950" i="34"/>
  <c r="W950" i="34"/>
  <c r="U954" i="34"/>
  <c r="W954" i="34"/>
  <c r="U960" i="34"/>
  <c r="W960" i="34"/>
  <c r="U965" i="34"/>
  <c r="W965" i="34"/>
  <c r="U969" i="34"/>
  <c r="W969" i="34"/>
  <c r="U973" i="34"/>
  <c r="W973" i="34"/>
  <c r="U977" i="34"/>
  <c r="W977" i="34"/>
  <c r="U982" i="34"/>
  <c r="W982" i="34"/>
  <c r="U987" i="34"/>
  <c r="W987" i="34"/>
  <c r="U991" i="34"/>
  <c r="W991" i="34"/>
  <c r="U489" i="34"/>
  <c r="W489" i="34"/>
  <c r="U494" i="34"/>
  <c r="W494" i="34"/>
  <c r="U624" i="34"/>
  <c r="W624" i="34"/>
  <c r="U910" i="34"/>
  <c r="W910" i="34"/>
  <c r="U915" i="34"/>
  <c r="W915" i="34"/>
  <c r="U920" i="34"/>
  <c r="W920" i="34"/>
  <c r="U924" i="34"/>
  <c r="W924" i="34"/>
  <c r="U928" i="34"/>
  <c r="W928" i="34"/>
  <c r="U932" i="34"/>
  <c r="W932" i="34"/>
  <c r="U937" i="34"/>
  <c r="W937" i="34"/>
  <c r="U941" i="34"/>
  <c r="W941" i="34"/>
  <c r="U425" i="34"/>
  <c r="W425" i="34"/>
  <c r="U431" i="34"/>
  <c r="W431" i="34"/>
  <c r="U438" i="34"/>
  <c r="W438" i="34"/>
  <c r="U444" i="34"/>
  <c r="W444" i="34"/>
  <c r="U450" i="34"/>
  <c r="W450" i="34"/>
  <c r="U455" i="34"/>
  <c r="W455" i="34"/>
  <c r="U460" i="34"/>
  <c r="W460" i="34"/>
  <c r="U466" i="34"/>
  <c r="W466" i="34"/>
  <c r="U471" i="34"/>
  <c r="W471" i="34"/>
  <c r="U477" i="34"/>
  <c r="W477" i="34"/>
  <c r="U483" i="34"/>
  <c r="W483" i="34"/>
  <c r="W635" i="34"/>
  <c r="U635" i="34"/>
  <c r="U279" i="34"/>
  <c r="W279" i="34"/>
  <c r="U283" i="34"/>
  <c r="W283" i="34"/>
  <c r="U288" i="34"/>
  <c r="W288" i="34"/>
  <c r="U292" i="34"/>
  <c r="W292" i="34"/>
  <c r="U296" i="34"/>
  <c r="W296" i="34"/>
  <c r="U301" i="34"/>
  <c r="W301" i="34"/>
  <c r="U305" i="34"/>
  <c r="W305" i="34"/>
  <c r="U310" i="34"/>
  <c r="W310" i="34"/>
  <c r="U315" i="34"/>
  <c r="W315" i="34"/>
  <c r="U320" i="34"/>
  <c r="W320" i="34"/>
  <c r="U1004" i="34"/>
  <c r="W1004" i="34"/>
  <c r="W952" i="34"/>
  <c r="U952" i="34"/>
  <c r="W971" i="34"/>
  <c r="U971" i="34"/>
  <c r="W984" i="34"/>
  <c r="U984" i="34"/>
  <c r="W913" i="34"/>
  <c r="U913" i="34"/>
  <c r="U1000" i="34"/>
  <c r="W1000" i="34"/>
  <c r="W949" i="34"/>
  <c r="U949" i="34"/>
  <c r="W997" i="34"/>
  <c r="U997" i="34"/>
  <c r="W1006" i="34"/>
  <c r="U1006" i="34"/>
  <c r="W994" i="34"/>
  <c r="U994" i="34"/>
  <c r="W998" i="34"/>
  <c r="U998" i="34"/>
  <c r="W1002" i="34"/>
  <c r="U1002" i="34"/>
  <c r="W1141" i="34"/>
  <c r="U1141" i="34"/>
  <c r="U947" i="34"/>
  <c r="W947" i="34"/>
  <c r="U951" i="34"/>
  <c r="W951" i="34"/>
  <c r="U955" i="34"/>
  <c r="W955" i="34"/>
  <c r="U961" i="34"/>
  <c r="W961" i="34"/>
  <c r="U966" i="34"/>
  <c r="W966" i="34"/>
  <c r="U970" i="34"/>
  <c r="W970" i="34"/>
  <c r="U974" i="34"/>
  <c r="W974" i="34"/>
  <c r="U978" i="34"/>
  <c r="W978" i="34"/>
  <c r="U983" i="34"/>
  <c r="W983" i="34"/>
  <c r="U988" i="34"/>
  <c r="W988" i="34"/>
  <c r="U992" i="34"/>
  <c r="W992" i="34"/>
  <c r="W491" i="34"/>
  <c r="U491" i="34"/>
  <c r="W620" i="34"/>
  <c r="U620" i="34"/>
  <c r="W625" i="34"/>
  <c r="U625" i="34"/>
  <c r="U911" i="34"/>
  <c r="W911" i="34"/>
  <c r="U916" i="34"/>
  <c r="W916" i="34"/>
  <c r="U921" i="34"/>
  <c r="W921" i="34"/>
  <c r="U925" i="34"/>
  <c r="W925" i="34"/>
  <c r="U929" i="34"/>
  <c r="W929" i="34"/>
  <c r="U933" i="34"/>
  <c r="W933" i="34"/>
  <c r="U938" i="34"/>
  <c r="W938" i="34"/>
  <c r="U942" i="34"/>
  <c r="W942" i="34"/>
  <c r="W426" i="34"/>
  <c r="U426" i="34"/>
  <c r="W432" i="34"/>
  <c r="U432" i="34"/>
  <c r="W439" i="34"/>
  <c r="U439" i="34"/>
  <c r="W445" i="34"/>
  <c r="U445" i="34"/>
  <c r="W451" i="34"/>
  <c r="U451" i="34"/>
  <c r="W456" i="34"/>
  <c r="U456" i="34"/>
  <c r="W461" i="34"/>
  <c r="U461" i="34"/>
  <c r="W467" i="34"/>
  <c r="U467" i="34"/>
  <c r="W473" i="34"/>
  <c r="U473" i="34"/>
  <c r="W479" i="34"/>
  <c r="U479" i="34"/>
  <c r="W485" i="34"/>
  <c r="U485" i="34"/>
  <c r="U636" i="34"/>
  <c r="W636" i="34"/>
  <c r="W280" i="34"/>
  <c r="U280" i="34"/>
  <c r="W284" i="34"/>
  <c r="U284" i="34"/>
  <c r="W289" i="34"/>
  <c r="U289" i="34"/>
  <c r="U293" i="34"/>
  <c r="W293" i="34"/>
  <c r="U297" i="34"/>
  <c r="W297" i="34"/>
  <c r="U302" i="34"/>
  <c r="W302" i="34"/>
  <c r="U307" i="34"/>
  <c r="W307" i="34"/>
  <c r="U311" i="34"/>
  <c r="W311" i="34"/>
  <c r="U316" i="34"/>
  <c r="W316" i="34"/>
  <c r="U321" i="34"/>
  <c r="W321" i="34"/>
  <c r="U999" i="34"/>
  <c r="W999" i="34"/>
  <c r="W957" i="34"/>
  <c r="U957" i="34"/>
  <c r="W979" i="34"/>
  <c r="U979" i="34"/>
  <c r="W492" i="34"/>
  <c r="U492" i="34"/>
  <c r="W918" i="34"/>
  <c r="U918" i="34"/>
  <c r="W922" i="34"/>
  <c r="U922" i="34"/>
  <c r="W926" i="34"/>
  <c r="U926" i="34"/>
  <c r="W930" i="34"/>
  <c r="U930" i="34"/>
  <c r="W934" i="34"/>
  <c r="U934" i="34"/>
  <c r="W939" i="34"/>
  <c r="U939" i="34"/>
  <c r="W943" i="34"/>
  <c r="U943" i="34"/>
  <c r="W428" i="34"/>
  <c r="U428" i="34"/>
  <c r="W435" i="34"/>
  <c r="U435" i="34"/>
  <c r="W441" i="34"/>
  <c r="U441" i="34"/>
  <c r="W447" i="34"/>
  <c r="U447" i="34"/>
  <c r="W452" i="34"/>
  <c r="U452" i="34"/>
  <c r="W457" i="34"/>
  <c r="U457" i="34"/>
  <c r="W463" i="34"/>
  <c r="U463" i="34"/>
  <c r="W468" i="34"/>
  <c r="U468" i="34"/>
  <c r="W474" i="34"/>
  <c r="U474" i="34"/>
  <c r="W480" i="34"/>
  <c r="U480" i="34"/>
  <c r="W486" i="34"/>
  <c r="U486" i="34"/>
  <c r="W277" i="34"/>
  <c r="U277" i="34"/>
  <c r="W281" i="34"/>
  <c r="U281" i="34"/>
  <c r="W285" i="34"/>
  <c r="U285" i="34"/>
  <c r="W290" i="34"/>
  <c r="U290" i="34"/>
  <c r="W294" i="34"/>
  <c r="U294" i="34"/>
  <c r="W298" i="34"/>
  <c r="U298" i="34"/>
  <c r="W303" i="34"/>
  <c r="U303" i="34"/>
  <c r="W308" i="34"/>
  <c r="U308" i="34"/>
  <c r="W312" i="34"/>
  <c r="U312" i="34"/>
  <c r="W317" i="34"/>
  <c r="U317" i="34"/>
  <c r="W322" i="34"/>
  <c r="U322" i="34"/>
  <c r="U995" i="34"/>
  <c r="W995" i="34"/>
  <c r="W948" i="34"/>
  <c r="U948" i="34"/>
  <c r="W962" i="34"/>
  <c r="U962" i="34"/>
  <c r="W975" i="34"/>
  <c r="U975" i="34"/>
  <c r="W993" i="34"/>
  <c r="U993" i="34"/>
  <c r="W908" i="34"/>
  <c r="U908" i="34"/>
  <c r="U1005" i="34"/>
  <c r="W1005" i="34"/>
  <c r="W953" i="34"/>
  <c r="U953" i="34"/>
  <c r="W964" i="34"/>
  <c r="U964" i="34"/>
  <c r="W968" i="34"/>
  <c r="U968" i="34"/>
  <c r="W972" i="34"/>
  <c r="U972" i="34"/>
  <c r="W976" i="34"/>
  <c r="U976" i="34"/>
  <c r="W980" i="34"/>
  <c r="U980" i="34"/>
  <c r="W985" i="34"/>
  <c r="U985" i="34"/>
  <c r="W990" i="34"/>
  <c r="U990" i="34"/>
  <c r="U488" i="34"/>
  <c r="W488" i="34"/>
  <c r="U493" i="34"/>
  <c r="W493" i="34"/>
  <c r="U622" i="34"/>
  <c r="W622" i="34"/>
  <c r="W909" i="34"/>
  <c r="U909" i="34"/>
  <c r="W914" i="34"/>
  <c r="U914" i="34"/>
  <c r="W919" i="34"/>
  <c r="U919" i="34"/>
  <c r="W923" i="34"/>
  <c r="U923" i="34"/>
  <c r="W927" i="34"/>
  <c r="U927" i="34"/>
  <c r="W931" i="34"/>
  <c r="U931" i="34"/>
  <c r="W935" i="34"/>
  <c r="U935" i="34"/>
  <c r="W940" i="34"/>
  <c r="U940" i="34"/>
  <c r="U423" i="34"/>
  <c r="W423" i="34"/>
  <c r="U429" i="34"/>
  <c r="W429" i="34"/>
  <c r="U436" i="34"/>
  <c r="W436" i="34"/>
  <c r="U442" i="34"/>
  <c r="W442" i="34"/>
  <c r="U448" i="34"/>
  <c r="W448" i="34"/>
  <c r="U454" i="34"/>
  <c r="W454" i="34"/>
  <c r="U459" i="34"/>
  <c r="W459" i="34"/>
  <c r="U464" i="34"/>
  <c r="W464" i="34"/>
  <c r="U470" i="34"/>
  <c r="W470" i="34"/>
  <c r="U476" i="34"/>
  <c r="W476" i="34"/>
  <c r="U482" i="34"/>
  <c r="W482" i="34"/>
  <c r="W634" i="34"/>
  <c r="U634" i="34"/>
  <c r="U278" i="34"/>
  <c r="W278" i="34"/>
  <c r="U282" i="34"/>
  <c r="W282" i="34"/>
  <c r="U286" i="34"/>
  <c r="W286" i="34"/>
  <c r="W291" i="34"/>
  <c r="U291" i="34"/>
  <c r="W295" i="34"/>
  <c r="U295" i="34"/>
  <c r="W299" i="34"/>
  <c r="U299" i="34"/>
  <c r="W304" i="34"/>
  <c r="U304" i="34"/>
  <c r="W309" i="34"/>
  <c r="U309" i="34"/>
  <c r="W314" i="34"/>
  <c r="U314" i="34"/>
  <c r="W319" i="34"/>
  <c r="U319" i="34"/>
  <c r="W142" i="34" l="1"/>
  <c r="U142" i="34"/>
  <c r="U143" i="34"/>
  <c r="W143" i="34"/>
  <c r="B1681" i="34" l="1"/>
  <c r="W1681" i="34" l="1"/>
  <c r="U1681" i="34"/>
  <c r="A1681" i="34"/>
  <c r="U84" i="34" l="1"/>
  <c r="W84" i="34"/>
  <c r="R345" i="60"/>
  <c r="C345" i="60" s="1"/>
  <c r="R344" i="60"/>
  <c r="C344" i="60" s="1"/>
  <c r="R342" i="60"/>
  <c r="C342" i="60" s="1"/>
  <c r="R357" i="60"/>
  <c r="C357" i="60" s="1"/>
  <c r="R330" i="60"/>
  <c r="C330" i="60" s="1"/>
  <c r="R355" i="60"/>
  <c r="C355" i="60" s="1"/>
  <c r="R349" i="60"/>
  <c r="C349" i="60" s="1"/>
  <c r="R332" i="60"/>
  <c r="C332" i="60" s="1"/>
  <c r="R341" i="60"/>
  <c r="C341" i="60" s="1"/>
  <c r="R340" i="60"/>
  <c r="C340" i="60" s="1"/>
  <c r="R306" i="60"/>
  <c r="C306" i="60" s="1"/>
  <c r="R365" i="60"/>
  <c r="C365" i="60" s="1"/>
  <c r="R361" i="60"/>
  <c r="C361" i="60" s="1"/>
  <c r="R335" i="60"/>
  <c r="C335" i="60" s="1"/>
  <c r="R318" i="60"/>
  <c r="C318" i="60" s="1"/>
  <c r="R317" i="60"/>
  <c r="C317" i="60" s="1"/>
  <c r="R338" i="60"/>
  <c r="C338" i="60" s="1"/>
  <c r="R324" i="60"/>
  <c r="C324" i="60" s="1"/>
  <c r="R308" i="60"/>
  <c r="C308" i="60" s="1"/>
  <c r="R354" i="60"/>
  <c r="C354" i="60" s="1"/>
  <c r="R337" i="60"/>
  <c r="C337" i="60" s="1"/>
  <c r="R320" i="60"/>
  <c r="C320" i="60" s="1"/>
  <c r="R364" i="60"/>
  <c r="C364" i="60" s="1"/>
  <c r="R311" i="60"/>
  <c r="C311" i="60" s="1"/>
  <c r="R319" i="60"/>
  <c r="C319" i="60" s="1"/>
  <c r="R334" i="60"/>
  <c r="C334" i="60" s="1"/>
  <c r="R350" i="60"/>
  <c r="C350" i="60" s="1"/>
  <c r="R352" i="60"/>
  <c r="C352" i="60" s="1"/>
  <c r="R310" i="60"/>
  <c r="C310" i="60" s="1"/>
  <c r="R351" i="60"/>
  <c r="C351" i="60" s="1"/>
  <c r="R347" i="60"/>
  <c r="C347" i="60" s="1"/>
  <c r="R326" i="60"/>
  <c r="C326" i="60" s="1"/>
  <c r="R313" i="60"/>
  <c r="C313" i="60" s="1"/>
  <c r="R309" i="60"/>
  <c r="C309" i="60" s="1"/>
  <c r="R327" i="60"/>
  <c r="C327" i="60" s="1"/>
  <c r="R325" i="60"/>
  <c r="C325" i="60" s="1"/>
  <c r="R303" i="60"/>
  <c r="C303" i="60" s="1"/>
  <c r="R362" i="60"/>
  <c r="C362" i="60" s="1"/>
  <c r="R316" i="60"/>
  <c r="C316" i="60" s="1"/>
  <c r="R360" i="60"/>
  <c r="C360" i="60" s="1"/>
  <c r="R333" i="60"/>
  <c r="C333" i="60" s="1"/>
  <c r="R329" i="60"/>
  <c r="C329" i="60" s="1"/>
  <c r="R323" i="60"/>
  <c r="C323" i="60" s="1"/>
  <c r="R321" i="60"/>
  <c r="C321" i="60" s="1"/>
  <c r="R315" i="60"/>
  <c r="C315" i="60" s="1"/>
  <c r="R356" i="60"/>
  <c r="C356" i="60" s="1"/>
  <c r="R359" i="60"/>
  <c r="C359" i="60" s="1"/>
  <c r="W338" i="60"/>
  <c r="W337" i="60"/>
  <c r="W336" i="60"/>
  <c r="R336" i="60"/>
  <c r="C336" i="60" s="1"/>
  <c r="W335" i="60"/>
  <c r="W334" i="60"/>
  <c r="W333" i="60"/>
  <c r="W332" i="60"/>
  <c r="W331" i="60"/>
  <c r="R331" i="60"/>
  <c r="C331" i="60" s="1"/>
  <c r="W330" i="60"/>
  <c r="W329" i="60"/>
  <c r="W328" i="60"/>
  <c r="R328" i="60"/>
  <c r="C328" i="60" s="1"/>
  <c r="W327" i="60"/>
  <c r="W326" i="60"/>
  <c r="W325" i="60"/>
  <c r="W324" i="60"/>
  <c r="W323" i="60"/>
  <c r="W322" i="60"/>
  <c r="R322" i="60"/>
  <c r="C322" i="60" s="1"/>
  <c r="W321" i="60"/>
  <c r="W320" i="60"/>
  <c r="W319" i="60"/>
  <c r="W318" i="60"/>
  <c r="W317" i="60"/>
  <c r="W316" i="60"/>
  <c r="W315" i="60"/>
  <c r="W314" i="60"/>
  <c r="R314" i="60"/>
  <c r="C314" i="60" s="1"/>
  <c r="W313" i="60"/>
  <c r="W312" i="60"/>
  <c r="R312" i="60"/>
  <c r="C312" i="60" s="1"/>
  <c r="W311" i="60"/>
  <c r="W310" i="60"/>
  <c r="W309" i="60"/>
  <c r="W308" i="60"/>
  <c r="W307" i="60"/>
  <c r="R307" i="60"/>
  <c r="C307" i="60" s="1"/>
  <c r="W306" i="60"/>
  <c r="W305" i="60"/>
  <c r="R305" i="60"/>
  <c r="C305" i="60" s="1"/>
  <c r="W365" i="60"/>
  <c r="W364" i="60"/>
  <c r="W363" i="60"/>
  <c r="R363" i="60"/>
  <c r="C363" i="60" s="1"/>
  <c r="W362" i="60"/>
  <c r="W361" i="60"/>
  <c r="W360" i="60"/>
  <c r="W359" i="60"/>
  <c r="W358" i="60"/>
  <c r="R358" i="60"/>
  <c r="C358" i="60" s="1"/>
  <c r="W357" i="60"/>
  <c r="W356" i="60"/>
  <c r="W355" i="60"/>
  <c r="W354" i="60"/>
  <c r="W353" i="60"/>
  <c r="R353" i="60"/>
  <c r="C353" i="60" s="1"/>
  <c r="W352" i="60"/>
  <c r="W351" i="60"/>
  <c r="W350" i="60"/>
  <c r="W349" i="60"/>
  <c r="W348" i="60"/>
  <c r="R348" i="60"/>
  <c r="C348" i="60" s="1"/>
  <c r="W347" i="60"/>
  <c r="W346" i="60"/>
  <c r="R346" i="60"/>
  <c r="C346" i="60" s="1"/>
  <c r="W345" i="60"/>
  <c r="W344" i="60"/>
  <c r="W343" i="60"/>
  <c r="R343" i="60"/>
  <c r="C343" i="60" s="1"/>
  <c r="W342" i="60"/>
  <c r="W341" i="60"/>
  <c r="W340" i="60"/>
  <c r="W339" i="60"/>
  <c r="R339" i="60"/>
  <c r="C339" i="60" s="1"/>
  <c r="A251" i="60"/>
  <c r="W284" i="60" l="1"/>
  <c r="R284" i="60"/>
  <c r="C284" i="60" s="1"/>
  <c r="W283" i="60"/>
  <c r="R283" i="60"/>
  <c r="C283" i="60" s="1"/>
  <c r="W282" i="60"/>
  <c r="R282" i="60"/>
  <c r="C282" i="60" s="1"/>
  <c r="W281" i="60"/>
  <c r="R281" i="60"/>
  <c r="C281" i="60" s="1"/>
  <c r="W280" i="60"/>
  <c r="R280" i="60"/>
  <c r="C280" i="60" s="1"/>
  <c r="W279" i="60"/>
  <c r="R279" i="60"/>
  <c r="C279" i="60" s="1"/>
  <c r="W278" i="60"/>
  <c r="R278" i="60"/>
  <c r="C278" i="60" s="1"/>
  <c r="W277" i="60"/>
  <c r="R277" i="60"/>
  <c r="C277" i="60" s="1"/>
  <c r="W276" i="60"/>
  <c r="R276" i="60"/>
  <c r="C276" i="60" s="1"/>
  <c r="W275" i="60"/>
  <c r="R275" i="60"/>
  <c r="C275" i="60" s="1"/>
  <c r="W274" i="60"/>
  <c r="R274" i="60"/>
  <c r="C274" i="60" s="1"/>
  <c r="W273" i="60"/>
  <c r="R273" i="60"/>
  <c r="C273" i="60" s="1"/>
  <c r="W272" i="60"/>
  <c r="R272" i="60"/>
  <c r="C272" i="60" s="1"/>
  <c r="W271" i="60"/>
  <c r="R271" i="60"/>
  <c r="C271" i="60" s="1"/>
  <c r="W270" i="60"/>
  <c r="R270" i="60"/>
  <c r="C270" i="60" s="1"/>
  <c r="W269" i="60"/>
  <c r="R269" i="60"/>
  <c r="C269" i="60" s="1"/>
  <c r="W268" i="60"/>
  <c r="R268" i="60"/>
  <c r="C268" i="60" s="1"/>
  <c r="W267" i="60"/>
  <c r="R267" i="60"/>
  <c r="C267" i="60" s="1"/>
  <c r="W266" i="60"/>
  <c r="R266" i="60"/>
  <c r="C266" i="60" s="1"/>
  <c r="W265" i="60"/>
  <c r="R265" i="60"/>
  <c r="C265" i="60" s="1"/>
  <c r="W264" i="60"/>
  <c r="R264" i="60"/>
  <c r="C264" i="60" s="1"/>
  <c r="W263" i="60"/>
  <c r="R263" i="60"/>
  <c r="C263" i="60" s="1"/>
  <c r="W262" i="60"/>
  <c r="R262" i="60"/>
  <c r="C262" i="60" s="1"/>
  <c r="W261" i="60"/>
  <c r="R261" i="60"/>
  <c r="C261" i="60" s="1"/>
  <c r="W260" i="60"/>
  <c r="W259" i="60"/>
  <c r="R259" i="60"/>
  <c r="C259" i="60" s="1"/>
  <c r="W258" i="60"/>
  <c r="R258" i="60"/>
  <c r="C258" i="60" s="1"/>
  <c r="W257" i="60"/>
  <c r="R257" i="60"/>
  <c r="C257" i="60" s="1"/>
  <c r="W256" i="60"/>
  <c r="R256" i="60"/>
  <c r="C256" i="60" s="1"/>
  <c r="W304" i="60"/>
  <c r="R304" i="60"/>
  <c r="C304" i="60" s="1"/>
  <c r="W303" i="60"/>
  <c r="W302" i="60"/>
  <c r="R302" i="60"/>
  <c r="C302" i="60" s="1"/>
  <c r="W301" i="60"/>
  <c r="R301" i="60"/>
  <c r="C301" i="60" s="1"/>
  <c r="W300" i="60"/>
  <c r="R300" i="60"/>
  <c r="C300" i="60" s="1"/>
  <c r="W299" i="60"/>
  <c r="R299" i="60"/>
  <c r="C299" i="60" s="1"/>
  <c r="W298" i="60"/>
  <c r="R298" i="60"/>
  <c r="C298" i="60" s="1"/>
  <c r="W297" i="60"/>
  <c r="R297" i="60"/>
  <c r="C297" i="60" s="1"/>
  <c r="W296" i="60"/>
  <c r="R296" i="60"/>
  <c r="C296" i="60" s="1"/>
  <c r="W295" i="60"/>
  <c r="R295" i="60"/>
  <c r="C295" i="60" s="1"/>
  <c r="W294" i="60"/>
  <c r="R294" i="60"/>
  <c r="C294" i="60" s="1"/>
  <c r="W293" i="60"/>
  <c r="R293" i="60"/>
  <c r="C293" i="60" s="1"/>
  <c r="W292" i="60"/>
  <c r="R292" i="60"/>
  <c r="C292" i="60" s="1"/>
  <c r="W291" i="60"/>
  <c r="R291" i="60"/>
  <c r="C291" i="60" s="1"/>
  <c r="W290" i="60"/>
  <c r="R290" i="60"/>
  <c r="C290" i="60" s="1"/>
  <c r="W289" i="60"/>
  <c r="R289" i="60"/>
  <c r="C289" i="60" s="1"/>
  <c r="W288" i="60"/>
  <c r="R288" i="60"/>
  <c r="C288" i="60" s="1"/>
  <c r="W287" i="60"/>
  <c r="R287" i="60"/>
  <c r="C287" i="60" s="1"/>
  <c r="W286" i="60"/>
  <c r="R286" i="60"/>
  <c r="C286" i="60" s="1"/>
  <c r="W285" i="60"/>
  <c r="R285" i="60"/>
  <c r="C285" i="60" s="1"/>
  <c r="B2068" i="34" l="1"/>
  <c r="B2067" i="34"/>
  <c r="B2066" i="34"/>
  <c r="B2045" i="34"/>
  <c r="B2070" i="34"/>
  <c r="B2069" i="34"/>
  <c r="B2071" i="34"/>
  <c r="B2040" i="34"/>
  <c r="B2039" i="34"/>
  <c r="B2038" i="34"/>
  <c r="B2037" i="34"/>
  <c r="B2042" i="34"/>
  <c r="B2041" i="34"/>
  <c r="B2043" i="34"/>
  <c r="B2003" i="34"/>
  <c r="B2002" i="34"/>
  <c r="B2001" i="34"/>
  <c r="B2035" i="34"/>
  <c r="B2004" i="34"/>
  <c r="B2103" i="34"/>
  <c r="W2003" i="34" l="1"/>
  <c r="U2003" i="34"/>
  <c r="A2003" i="34"/>
  <c r="W2035" i="34"/>
  <c r="U2035" i="34"/>
  <c r="A2035" i="34"/>
  <c r="W2043" i="34"/>
  <c r="U2043" i="34"/>
  <c r="A2043" i="34"/>
  <c r="W2067" i="34"/>
  <c r="U2067" i="34"/>
  <c r="A2067" i="34"/>
  <c r="U2001" i="34"/>
  <c r="W2001" i="34"/>
  <c r="A2001" i="34"/>
  <c r="U2041" i="34"/>
  <c r="W2041" i="34"/>
  <c r="A2041" i="34"/>
  <c r="W2039" i="34"/>
  <c r="U2039" i="34"/>
  <c r="A2039" i="34"/>
  <c r="U2068" i="34"/>
  <c r="W2068" i="34"/>
  <c r="A2068" i="34"/>
  <c r="W2002" i="34"/>
  <c r="U2002" i="34"/>
  <c r="A2002" i="34"/>
  <c r="W2042" i="34"/>
  <c r="U2042" i="34"/>
  <c r="A2042" i="34"/>
  <c r="U2040" i="34"/>
  <c r="W2040" i="34"/>
  <c r="A2040" i="34"/>
  <c r="U2045" i="34"/>
  <c r="W2045" i="34"/>
  <c r="A2045" i="34"/>
  <c r="U2004" i="34"/>
  <c r="W2004" i="34"/>
  <c r="A2004" i="34"/>
  <c r="U2037" i="34"/>
  <c r="W2037" i="34"/>
  <c r="A2037" i="34"/>
  <c r="W2071" i="34"/>
  <c r="U2071" i="34"/>
  <c r="A2071" i="34"/>
  <c r="W2066" i="34"/>
  <c r="U2066" i="34"/>
  <c r="A2066" i="34"/>
  <c r="U2069" i="34"/>
  <c r="W2069" i="34"/>
  <c r="A2069" i="34"/>
  <c r="W2103" i="34"/>
  <c r="U2103" i="34"/>
  <c r="A2103" i="34"/>
  <c r="W2038" i="34"/>
  <c r="U2038" i="34"/>
  <c r="A2038" i="34"/>
  <c r="W2070" i="34"/>
  <c r="U2070" i="34"/>
  <c r="A2070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27" i="34"/>
  <c r="B1826" i="34"/>
  <c r="B1825" i="34"/>
  <c r="B1824" i="34"/>
  <c r="B1823" i="34"/>
  <c r="B1822" i="34"/>
  <c r="B1821" i="34"/>
  <c r="B1820" i="34"/>
  <c r="B1802" i="34"/>
  <c r="B1801" i="34"/>
  <c r="B1800" i="34"/>
  <c r="B1799" i="34"/>
  <c r="B1798" i="34"/>
  <c r="B1797" i="34"/>
  <c r="B1796" i="34"/>
  <c r="B1795" i="34"/>
  <c r="B1773" i="34"/>
  <c r="B1772" i="34"/>
  <c r="B1771" i="34"/>
  <c r="B1770" i="34"/>
  <c r="B1769" i="34"/>
  <c r="B1768" i="34"/>
  <c r="B1767" i="34"/>
  <c r="B1766" i="34"/>
  <c r="B1765" i="34"/>
  <c r="B1742" i="34"/>
  <c r="B1714" i="34"/>
  <c r="B1713" i="34"/>
  <c r="B1712" i="34"/>
  <c r="B1711" i="34"/>
  <c r="B1710" i="34"/>
  <c r="B1709" i="34"/>
  <c r="B1708" i="34"/>
  <c r="B1707" i="34"/>
  <c r="B1672" i="34"/>
  <c r="B1640" i="34"/>
  <c r="B1639" i="34"/>
  <c r="B1638" i="34"/>
  <c r="B1637" i="34"/>
  <c r="B1636" i="34"/>
  <c r="B1635" i="34"/>
  <c r="B1634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571" i="34"/>
  <c r="B1554" i="34"/>
  <c r="B1553" i="34"/>
  <c r="B1552" i="34"/>
  <c r="B1551" i="34"/>
  <c r="B1550" i="34"/>
  <c r="B1549" i="34"/>
  <c r="B1548" i="34"/>
  <c r="B1547" i="34"/>
  <c r="B1529" i="34"/>
  <c r="B1528" i="34"/>
  <c r="B1527" i="34"/>
  <c r="B1526" i="34"/>
  <c r="B1525" i="34"/>
  <c r="B1524" i="34"/>
  <c r="B1523" i="34"/>
  <c r="B1522" i="34"/>
  <c r="B1521" i="34"/>
  <c r="B1475" i="34"/>
  <c r="B1440" i="34"/>
  <c r="B1436" i="34"/>
  <c r="B1435" i="34"/>
  <c r="B1434" i="34"/>
  <c r="B1425" i="34"/>
  <c r="B1424" i="34"/>
  <c r="B1423" i="34"/>
  <c r="B1422" i="34"/>
  <c r="B1421" i="34"/>
  <c r="B1408" i="34"/>
  <c r="B1407" i="34"/>
  <c r="B1406" i="34"/>
  <c r="B1405" i="34"/>
  <c r="B1404" i="34"/>
  <c r="B1403" i="34"/>
  <c r="B1402" i="34"/>
  <c r="B1401" i="34"/>
  <c r="B1380" i="34"/>
  <c r="B1379" i="34"/>
  <c r="B1378" i="34"/>
  <c r="B1377" i="34"/>
  <c r="B1376" i="34"/>
  <c r="B1375" i="34"/>
  <c r="B1374" i="34"/>
  <c r="B1373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296" i="34"/>
  <c r="B1295" i="34"/>
  <c r="B1294" i="34"/>
  <c r="B1293" i="34"/>
  <c r="B1292" i="34"/>
  <c r="B1291" i="34"/>
  <c r="B1290" i="34"/>
  <c r="B1289" i="34"/>
  <c r="B1253" i="34"/>
  <c r="B1252" i="34"/>
  <c r="B1251" i="34"/>
  <c r="B1250" i="34"/>
  <c r="B1249" i="34"/>
  <c r="B1248" i="34"/>
  <c r="B1247" i="34"/>
  <c r="B1246" i="34"/>
  <c r="B1221" i="34"/>
  <c r="A1221" i="34" s="1"/>
  <c r="B1220" i="34"/>
  <c r="A1220" i="34" s="1"/>
  <c r="B2017" i="34"/>
  <c r="B2016" i="34"/>
  <c r="B2015" i="34"/>
  <c r="B2014" i="34"/>
  <c r="B2013" i="34"/>
  <c r="B2012" i="34"/>
  <c r="B2011" i="34"/>
  <c r="B2010" i="34"/>
  <c r="B2009" i="34"/>
  <c r="B2008" i="34"/>
  <c r="B200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22" i="34"/>
  <c r="B1885" i="34"/>
  <c r="B2006" i="34"/>
  <c r="B2005" i="34"/>
  <c r="B1931" i="34"/>
  <c r="B1930" i="34"/>
  <c r="B1929" i="34"/>
  <c r="B1928" i="34"/>
  <c r="B1927" i="34"/>
  <c r="B1926" i="34"/>
  <c r="B1925" i="34"/>
  <c r="B1924" i="34"/>
  <c r="B1954" i="34"/>
  <c r="B1953" i="34"/>
  <c r="B1952" i="34"/>
  <c r="B1951" i="34"/>
  <c r="B1950" i="34"/>
  <c r="B1949" i="34"/>
  <c r="B1948" i="34"/>
  <c r="B1947" i="34"/>
  <c r="B1946" i="34"/>
  <c r="B1945" i="34"/>
  <c r="B1921" i="34"/>
  <c r="B1920" i="34"/>
  <c r="B1919" i="34"/>
  <c r="B1918" i="34"/>
  <c r="B1917" i="34"/>
  <c r="B1916" i="34"/>
  <c r="B1915" i="34"/>
  <c r="B1914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913" i="34"/>
  <c r="B1912" i="34"/>
  <c r="B1884" i="34"/>
  <c r="B1883" i="34"/>
  <c r="B1895" i="34"/>
  <c r="B1894" i="34"/>
  <c r="B1893" i="34"/>
  <c r="B1879" i="34"/>
  <c r="B1878" i="34"/>
  <c r="B2093" i="34"/>
  <c r="B2092" i="34"/>
  <c r="B2091" i="34"/>
  <c r="B2074" i="34"/>
  <c r="B2073" i="34"/>
  <c r="B2072" i="34"/>
  <c r="B2044" i="34"/>
  <c r="B2036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2105" i="34"/>
  <c r="B2101" i="34"/>
  <c r="B2100" i="34"/>
  <c r="B2099" i="34"/>
  <c r="B2098" i="34"/>
  <c r="B1989" i="34"/>
  <c r="B1988" i="34"/>
  <c r="B1987" i="34"/>
  <c r="B1986" i="34"/>
  <c r="B1985" i="34"/>
  <c r="B1983" i="34"/>
  <c r="B1981" i="34"/>
  <c r="B1980" i="34"/>
  <c r="B1979" i="34"/>
  <c r="B1911" i="34"/>
  <c r="B1891" i="34"/>
  <c r="B1890" i="34"/>
  <c r="B1889" i="34"/>
  <c r="B1888" i="34"/>
  <c r="B1887" i="34"/>
  <c r="B1882" i="34"/>
  <c r="B1881" i="34"/>
  <c r="B1880" i="34"/>
  <c r="B2104" i="34"/>
  <c r="B2102" i="34"/>
  <c r="B1875" i="34"/>
  <c r="B1874" i="34"/>
  <c r="B2097" i="34"/>
  <c r="B2096" i="34"/>
  <c r="B2090" i="34"/>
  <c r="B2089" i="34"/>
  <c r="B2088" i="34"/>
  <c r="B2087" i="34"/>
  <c r="B2086" i="34"/>
  <c r="B2085" i="34"/>
  <c r="B2084" i="34"/>
  <c r="B2083" i="34"/>
  <c r="B2065" i="34"/>
  <c r="B2064" i="34"/>
  <c r="B2063" i="34"/>
  <c r="B2062" i="34"/>
  <c r="B2061" i="34"/>
  <c r="B2060" i="34"/>
  <c r="B2059" i="34"/>
  <c r="B2058" i="34"/>
  <c r="B2057" i="34"/>
  <c r="B2056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23" i="34"/>
  <c r="B1886" i="34"/>
  <c r="B2095" i="34"/>
  <c r="B2094" i="34"/>
  <c r="B2082" i="34"/>
  <c r="B2081" i="34"/>
  <c r="B2080" i="34"/>
  <c r="B2079" i="34"/>
  <c r="B2078" i="34"/>
  <c r="B2077" i="34"/>
  <c r="B2076" i="34"/>
  <c r="B2075" i="34"/>
  <c r="B2055" i="34"/>
  <c r="B2054" i="34"/>
  <c r="B2053" i="34"/>
  <c r="B2052" i="34"/>
  <c r="B2051" i="34"/>
  <c r="B2050" i="34"/>
  <c r="B2049" i="34"/>
  <c r="B2048" i="34"/>
  <c r="B2047" i="34"/>
  <c r="B2046" i="34"/>
  <c r="B2020" i="34"/>
  <c r="B2019" i="34"/>
  <c r="B2018" i="34"/>
  <c r="W2018" i="34" l="1"/>
  <c r="U2018" i="34"/>
  <c r="A2018" i="34"/>
  <c r="W2047" i="34"/>
  <c r="U2047" i="34"/>
  <c r="A2047" i="34"/>
  <c r="W2051" i="34"/>
  <c r="U2051" i="34"/>
  <c r="A2051" i="34"/>
  <c r="W2055" i="34"/>
  <c r="U2055" i="34"/>
  <c r="A2055" i="34"/>
  <c r="W2078" i="34"/>
  <c r="U2078" i="34"/>
  <c r="A2078" i="34"/>
  <c r="W2082" i="34"/>
  <c r="U2082" i="34"/>
  <c r="A2082" i="34"/>
  <c r="W1923" i="34"/>
  <c r="U1923" i="34"/>
  <c r="A1923" i="34"/>
  <c r="W1970" i="34"/>
  <c r="U1970" i="34"/>
  <c r="A1970" i="34"/>
  <c r="W1974" i="34"/>
  <c r="U1974" i="34"/>
  <c r="A1974" i="34"/>
  <c r="W1978" i="34"/>
  <c r="U1978" i="34"/>
  <c r="A1978" i="34"/>
  <c r="U2024" i="34"/>
  <c r="W2024" i="34"/>
  <c r="A2024" i="34"/>
  <c r="U2028" i="34"/>
  <c r="W2028" i="34"/>
  <c r="A2028" i="34"/>
  <c r="U2032" i="34"/>
  <c r="W2032" i="34"/>
  <c r="A2032" i="34"/>
  <c r="U2057" i="34"/>
  <c r="W2057" i="34"/>
  <c r="A2057" i="34"/>
  <c r="U2061" i="34"/>
  <c r="W2061" i="34"/>
  <c r="A2061" i="34"/>
  <c r="U2065" i="34"/>
  <c r="W2065" i="34"/>
  <c r="A2065" i="34"/>
  <c r="W2086" i="34"/>
  <c r="U2086" i="34"/>
  <c r="A2086" i="34"/>
  <c r="W2090" i="34"/>
  <c r="U2090" i="34"/>
  <c r="A2090" i="34"/>
  <c r="W1874" i="34"/>
  <c r="U1874" i="34"/>
  <c r="A1874" i="34"/>
  <c r="U1880" i="34"/>
  <c r="W1880" i="34"/>
  <c r="A1880" i="34"/>
  <c r="U1888" i="34"/>
  <c r="W1888" i="34"/>
  <c r="A1888" i="34"/>
  <c r="R1911" i="34"/>
  <c r="S1911" i="34"/>
  <c r="W1911" i="34"/>
  <c r="T1911" i="34"/>
  <c r="U1911" i="34"/>
  <c r="A1911" i="34"/>
  <c r="R1983" i="34"/>
  <c r="S1983" i="34"/>
  <c r="W1983" i="34"/>
  <c r="T1983" i="34"/>
  <c r="U1983" i="34"/>
  <c r="A1983" i="34"/>
  <c r="U1988" i="34"/>
  <c r="W1988" i="34"/>
  <c r="A1988" i="34"/>
  <c r="W2100" i="34"/>
  <c r="U2100" i="34"/>
  <c r="A2100" i="34"/>
  <c r="W1935" i="34"/>
  <c r="U1935" i="34"/>
  <c r="A1935" i="34"/>
  <c r="W1939" i="34"/>
  <c r="U1939" i="34"/>
  <c r="A1939" i="34"/>
  <c r="W1943" i="34"/>
  <c r="U1943" i="34"/>
  <c r="A1943" i="34"/>
  <c r="U1992" i="34"/>
  <c r="W1992" i="34"/>
  <c r="A1992" i="34"/>
  <c r="U1996" i="34"/>
  <c r="W1996" i="34"/>
  <c r="A1996" i="34"/>
  <c r="U2000" i="34"/>
  <c r="W2000" i="34"/>
  <c r="A2000" i="34"/>
  <c r="U2073" i="34"/>
  <c r="W2073" i="34"/>
  <c r="A2073" i="34"/>
  <c r="U2093" i="34"/>
  <c r="W2093" i="34"/>
  <c r="A2093" i="34"/>
  <c r="W1894" i="34"/>
  <c r="U1894" i="34"/>
  <c r="A1894" i="34"/>
  <c r="U1912" i="34"/>
  <c r="W1912" i="34"/>
  <c r="A1912" i="34"/>
  <c r="W1898" i="34"/>
  <c r="U1898" i="34"/>
  <c r="A1898" i="34"/>
  <c r="W1902" i="34"/>
  <c r="U1902" i="34"/>
  <c r="A1902" i="34"/>
  <c r="W1906" i="34"/>
  <c r="U1906" i="34"/>
  <c r="A1906" i="34"/>
  <c r="W1910" i="34"/>
  <c r="U1910" i="34"/>
  <c r="A1910" i="34"/>
  <c r="U1917" i="34"/>
  <c r="W1917" i="34"/>
  <c r="A1917" i="34"/>
  <c r="U1921" i="34"/>
  <c r="W1921" i="34"/>
  <c r="A1921" i="34"/>
  <c r="U1948" i="34"/>
  <c r="W1948" i="34"/>
  <c r="A1948" i="34"/>
  <c r="U1952" i="34"/>
  <c r="W1952" i="34"/>
  <c r="A1952" i="34"/>
  <c r="U1925" i="34"/>
  <c r="W1925" i="34"/>
  <c r="A1925" i="34"/>
  <c r="U1929" i="34"/>
  <c r="W1929" i="34"/>
  <c r="A1929" i="34"/>
  <c r="W2006" i="34"/>
  <c r="U2006" i="34"/>
  <c r="A2006" i="34"/>
  <c r="U1956" i="34"/>
  <c r="W1956" i="34"/>
  <c r="A1956" i="34"/>
  <c r="U1960" i="34"/>
  <c r="W1960" i="34"/>
  <c r="A1960" i="34"/>
  <c r="U1964" i="34"/>
  <c r="W1964" i="34"/>
  <c r="A1964" i="34"/>
  <c r="U2008" i="34"/>
  <c r="W2008" i="34"/>
  <c r="A2008" i="34"/>
  <c r="U2012" i="34"/>
  <c r="W2012" i="34"/>
  <c r="A2012" i="34"/>
  <c r="U2016" i="34"/>
  <c r="W2016" i="34"/>
  <c r="A2016" i="34"/>
  <c r="W1221" i="34"/>
  <c r="U1221" i="34"/>
  <c r="U1247" i="34"/>
  <c r="W1247" i="34"/>
  <c r="A1247" i="34"/>
  <c r="W1249" i="34"/>
  <c r="U1249" i="34"/>
  <c r="A1249" i="34"/>
  <c r="U1251" i="34"/>
  <c r="W1251" i="34"/>
  <c r="A1251" i="34"/>
  <c r="W1253" i="34"/>
  <c r="U1253" i="34"/>
  <c r="A1253" i="34"/>
  <c r="U1290" i="34"/>
  <c r="W1290" i="34"/>
  <c r="A1290" i="34"/>
  <c r="W1292" i="34"/>
  <c r="U1292" i="34"/>
  <c r="A1292" i="34"/>
  <c r="U1294" i="34"/>
  <c r="W1294" i="34"/>
  <c r="A1294" i="34"/>
  <c r="W1296" i="34"/>
  <c r="U1296" i="34"/>
  <c r="A1296" i="34"/>
  <c r="W1336" i="34"/>
  <c r="U1336" i="34"/>
  <c r="A1336" i="34"/>
  <c r="U1338" i="34"/>
  <c r="W1338" i="34"/>
  <c r="A1338" i="34"/>
  <c r="W1340" i="34"/>
  <c r="U1340" i="34"/>
  <c r="A1340" i="34"/>
  <c r="U1342" i="34"/>
  <c r="W1342" i="34"/>
  <c r="A1342" i="34"/>
  <c r="W1344" i="34"/>
  <c r="U1344" i="34"/>
  <c r="A1344" i="34"/>
  <c r="U1346" i="34"/>
  <c r="W1346" i="34"/>
  <c r="A1346" i="34"/>
  <c r="W1348" i="34"/>
  <c r="U1348" i="34"/>
  <c r="A1348" i="34"/>
  <c r="U1350" i="34"/>
  <c r="W1350" i="34"/>
  <c r="A1350" i="34"/>
  <c r="U1374" i="34"/>
  <c r="W1374" i="34"/>
  <c r="A1374" i="34"/>
  <c r="W1376" i="34"/>
  <c r="U1376" i="34"/>
  <c r="A1376" i="34"/>
  <c r="U1378" i="34"/>
  <c r="W1378" i="34"/>
  <c r="A1378" i="34"/>
  <c r="W1380" i="34"/>
  <c r="U1380" i="34"/>
  <c r="A1380" i="34"/>
  <c r="U1402" i="34"/>
  <c r="W1402" i="34"/>
  <c r="A1402" i="34"/>
  <c r="W1404" i="34"/>
  <c r="U1404" i="34"/>
  <c r="A1404" i="34"/>
  <c r="U1406" i="34"/>
  <c r="W1406" i="34"/>
  <c r="A1406" i="34"/>
  <c r="W1408" i="34"/>
  <c r="U1408" i="34"/>
  <c r="A1408" i="34"/>
  <c r="U1422" i="34"/>
  <c r="W1422" i="34"/>
  <c r="A1422" i="34"/>
  <c r="W1424" i="34"/>
  <c r="U1424" i="34"/>
  <c r="A1424" i="34"/>
  <c r="U1434" i="34"/>
  <c r="W1434" i="34"/>
  <c r="A1434" i="34"/>
  <c r="W1436" i="34"/>
  <c r="U1436" i="34"/>
  <c r="A1436" i="34"/>
  <c r="W1475" i="34"/>
  <c r="U1475" i="34"/>
  <c r="A1475" i="34"/>
  <c r="U1522" i="34"/>
  <c r="W1522" i="34"/>
  <c r="A1522" i="34"/>
  <c r="W1524" i="34"/>
  <c r="U1524" i="34"/>
  <c r="A1524" i="34"/>
  <c r="U1526" i="34"/>
  <c r="W1526" i="34"/>
  <c r="A1526" i="34"/>
  <c r="W1528" i="34"/>
  <c r="U1528" i="34"/>
  <c r="A1528" i="34"/>
  <c r="U1547" i="34"/>
  <c r="W1547" i="34"/>
  <c r="A1547" i="34"/>
  <c r="W1549" i="34"/>
  <c r="U1549" i="34"/>
  <c r="A1549" i="34"/>
  <c r="U1551" i="34"/>
  <c r="W1551" i="34"/>
  <c r="A1551" i="34"/>
  <c r="W1553" i="34"/>
  <c r="U1553" i="34"/>
  <c r="A1553" i="34"/>
  <c r="U1571" i="34"/>
  <c r="W1571" i="34"/>
  <c r="A1571" i="34"/>
  <c r="W1605" i="34"/>
  <c r="U1605" i="34"/>
  <c r="A1605" i="34"/>
  <c r="U1607" i="34"/>
  <c r="W1607" i="34"/>
  <c r="A1607" i="34"/>
  <c r="W1609" i="34"/>
  <c r="U1609" i="34"/>
  <c r="A1609" i="34"/>
  <c r="U1611" i="34"/>
  <c r="W1611" i="34"/>
  <c r="A1611" i="34"/>
  <c r="W1613" i="34"/>
  <c r="U1613" i="34"/>
  <c r="A1613" i="34"/>
  <c r="U1615" i="34"/>
  <c r="W1615" i="34"/>
  <c r="A1615" i="34"/>
  <c r="W1617" i="34"/>
  <c r="U1617" i="34"/>
  <c r="A1617" i="34"/>
  <c r="U1634" i="34"/>
  <c r="W1634" i="34"/>
  <c r="A1634" i="34"/>
  <c r="W1636" i="34"/>
  <c r="U1636" i="34"/>
  <c r="A1636" i="34"/>
  <c r="U1638" i="34"/>
  <c r="W1638" i="34"/>
  <c r="A1638" i="34"/>
  <c r="W1640" i="34"/>
  <c r="U1640" i="34"/>
  <c r="A1640" i="34"/>
  <c r="W1707" i="34"/>
  <c r="U1707" i="34"/>
  <c r="A1707" i="34"/>
  <c r="U1709" i="34"/>
  <c r="W1709" i="34"/>
  <c r="A1709" i="34"/>
  <c r="W1711" i="34"/>
  <c r="U1711" i="34"/>
  <c r="A1711" i="34"/>
  <c r="U1713" i="34"/>
  <c r="W1713" i="34"/>
  <c r="A1713" i="34"/>
  <c r="W1742" i="34"/>
  <c r="U1742" i="34"/>
  <c r="A1742" i="34"/>
  <c r="W1766" i="34"/>
  <c r="U1766" i="34"/>
  <c r="A1766" i="34"/>
  <c r="U1768" i="34"/>
  <c r="W1768" i="34"/>
  <c r="A1768" i="34"/>
  <c r="W1770" i="34"/>
  <c r="U1770" i="34"/>
  <c r="A1770" i="34"/>
  <c r="U1772" i="34"/>
  <c r="W1772" i="34"/>
  <c r="A1772" i="34"/>
  <c r="W1795" i="34"/>
  <c r="U1795" i="34"/>
  <c r="A1795" i="34"/>
  <c r="U1797" i="34"/>
  <c r="W1797" i="34"/>
  <c r="A1797" i="34"/>
  <c r="W1799" i="34"/>
  <c r="U1799" i="34"/>
  <c r="A1799" i="34"/>
  <c r="U1801" i="34"/>
  <c r="W1801" i="34"/>
  <c r="A1801" i="34"/>
  <c r="U1820" i="34"/>
  <c r="W1820" i="34"/>
  <c r="A1820" i="34"/>
  <c r="W1822" i="34"/>
  <c r="U1822" i="34"/>
  <c r="A1822" i="34"/>
  <c r="U1824" i="34"/>
  <c r="W1824" i="34"/>
  <c r="A1824" i="34"/>
  <c r="W1826" i="34"/>
  <c r="U1826" i="34"/>
  <c r="A1826" i="34"/>
  <c r="W1854" i="34"/>
  <c r="U1854" i="34"/>
  <c r="A1854" i="34"/>
  <c r="U1856" i="34"/>
  <c r="W1856" i="34"/>
  <c r="A1856" i="34"/>
  <c r="W1858" i="34"/>
  <c r="U1858" i="34"/>
  <c r="A1858" i="34"/>
  <c r="U1860" i="34"/>
  <c r="W1860" i="34"/>
  <c r="A1860" i="34"/>
  <c r="W1862" i="34"/>
  <c r="U1862" i="34"/>
  <c r="A1862" i="34"/>
  <c r="U1864" i="34"/>
  <c r="W1864" i="34"/>
  <c r="A1864" i="34"/>
  <c r="W2019" i="34"/>
  <c r="U2019" i="34"/>
  <c r="A2019" i="34"/>
  <c r="U2048" i="34"/>
  <c r="W2048" i="34"/>
  <c r="A2048" i="34"/>
  <c r="U2052" i="34"/>
  <c r="W2052" i="34"/>
  <c r="A2052" i="34"/>
  <c r="W2075" i="34"/>
  <c r="U2075" i="34"/>
  <c r="A2075" i="34"/>
  <c r="W2079" i="34"/>
  <c r="U2079" i="34"/>
  <c r="A2079" i="34"/>
  <c r="W2094" i="34"/>
  <c r="U2094" i="34"/>
  <c r="A2094" i="34"/>
  <c r="W1967" i="34"/>
  <c r="U1967" i="34"/>
  <c r="A1967" i="34"/>
  <c r="W1971" i="34"/>
  <c r="U1971" i="34"/>
  <c r="A1971" i="34"/>
  <c r="W1975" i="34"/>
  <c r="U1975" i="34"/>
  <c r="A1975" i="34"/>
  <c r="U2021" i="34"/>
  <c r="W2021" i="34"/>
  <c r="A2021" i="34"/>
  <c r="U2025" i="34"/>
  <c r="W2025" i="34"/>
  <c r="A2025" i="34"/>
  <c r="U2029" i="34"/>
  <c r="W2029" i="34"/>
  <c r="A2029" i="34"/>
  <c r="U2033" i="34"/>
  <c r="W2033" i="34"/>
  <c r="A2033" i="34"/>
  <c r="W2058" i="34"/>
  <c r="U2058" i="34"/>
  <c r="A2058" i="34"/>
  <c r="W2062" i="34"/>
  <c r="U2062" i="34"/>
  <c r="A2062" i="34"/>
  <c r="W2083" i="34"/>
  <c r="U2083" i="34"/>
  <c r="A2083" i="34"/>
  <c r="W2087" i="34"/>
  <c r="U2087" i="34"/>
  <c r="A2087" i="34"/>
  <c r="U2096" i="34"/>
  <c r="W2096" i="34"/>
  <c r="A2096" i="34"/>
  <c r="W1875" i="34"/>
  <c r="U1875" i="34"/>
  <c r="A1875" i="34"/>
  <c r="U1881" i="34"/>
  <c r="W1881" i="34"/>
  <c r="A1881" i="34"/>
  <c r="U1889" i="34"/>
  <c r="W1889" i="34"/>
  <c r="A1889" i="34"/>
  <c r="R1979" i="34"/>
  <c r="S1979" i="34"/>
  <c r="W1979" i="34"/>
  <c r="T1979" i="34"/>
  <c r="U1979" i="34"/>
  <c r="A1979" i="34"/>
  <c r="U1985" i="34"/>
  <c r="W1985" i="34"/>
  <c r="A1985" i="34"/>
  <c r="U1989" i="34"/>
  <c r="W1989" i="34"/>
  <c r="A1989" i="34"/>
  <c r="U2101" i="34"/>
  <c r="W2101" i="34"/>
  <c r="A2101" i="34"/>
  <c r="U1932" i="34"/>
  <c r="W1932" i="34"/>
  <c r="A1932" i="34"/>
  <c r="U1936" i="34"/>
  <c r="W1936" i="34"/>
  <c r="A1936" i="34"/>
  <c r="U1940" i="34"/>
  <c r="W1940" i="34"/>
  <c r="A1940" i="34"/>
  <c r="U1944" i="34"/>
  <c r="W1944" i="34"/>
  <c r="A1944" i="34"/>
  <c r="U1993" i="34"/>
  <c r="W1993" i="34"/>
  <c r="A1993" i="34"/>
  <c r="U1997" i="34"/>
  <c r="W1997" i="34"/>
  <c r="A1997" i="34"/>
  <c r="U2036" i="34"/>
  <c r="W2036" i="34"/>
  <c r="A2036" i="34"/>
  <c r="W2074" i="34"/>
  <c r="U2074" i="34"/>
  <c r="A2074" i="34"/>
  <c r="W1878" i="34"/>
  <c r="U1878" i="34"/>
  <c r="A1878" i="34"/>
  <c r="W1895" i="34"/>
  <c r="U1895" i="34"/>
  <c r="A1895" i="34"/>
  <c r="U1913" i="34"/>
  <c r="W1913" i="34"/>
  <c r="A1913" i="34"/>
  <c r="W1899" i="34"/>
  <c r="U1899" i="34"/>
  <c r="A1899" i="34"/>
  <c r="W1903" i="34"/>
  <c r="U1903" i="34"/>
  <c r="A1903" i="34"/>
  <c r="W1907" i="34"/>
  <c r="U1907" i="34"/>
  <c r="A1907" i="34"/>
  <c r="W1914" i="34"/>
  <c r="U1914" i="34"/>
  <c r="A1914" i="34"/>
  <c r="W1918" i="34"/>
  <c r="U1918" i="34"/>
  <c r="A1918" i="34"/>
  <c r="U1945" i="34"/>
  <c r="W1945" i="34"/>
  <c r="A1945" i="34"/>
  <c r="U1949" i="34"/>
  <c r="W1949" i="34"/>
  <c r="A1949" i="34"/>
  <c r="U1953" i="34"/>
  <c r="W1953" i="34"/>
  <c r="A1953" i="34"/>
  <c r="W1926" i="34"/>
  <c r="U1926" i="34"/>
  <c r="A1926" i="34"/>
  <c r="W1930" i="34"/>
  <c r="U1930" i="34"/>
  <c r="A1930" i="34"/>
  <c r="U1885" i="34"/>
  <c r="W1885" i="34"/>
  <c r="A1885" i="34"/>
  <c r="U1957" i="34"/>
  <c r="W1957" i="34"/>
  <c r="A1957" i="34"/>
  <c r="U1961" i="34"/>
  <c r="W1961" i="34"/>
  <c r="A1961" i="34"/>
  <c r="U1965" i="34"/>
  <c r="W1965" i="34"/>
  <c r="A1965" i="34"/>
  <c r="U2009" i="34"/>
  <c r="W2009" i="34"/>
  <c r="A2009" i="34"/>
  <c r="U2013" i="34"/>
  <c r="W2013" i="34"/>
  <c r="A2013" i="34"/>
  <c r="U2017" i="34"/>
  <c r="W2017" i="34"/>
  <c r="A2017" i="34"/>
  <c r="U2020" i="34"/>
  <c r="W2020" i="34"/>
  <c r="A2020" i="34"/>
  <c r="U2049" i="34"/>
  <c r="W2049" i="34"/>
  <c r="A2049" i="34"/>
  <c r="U2053" i="34"/>
  <c r="W2053" i="34"/>
  <c r="A2053" i="34"/>
  <c r="U2076" i="34"/>
  <c r="W2076" i="34"/>
  <c r="A2076" i="34"/>
  <c r="U2080" i="34"/>
  <c r="W2080" i="34"/>
  <c r="A2080" i="34"/>
  <c r="W2095" i="34"/>
  <c r="U2095" i="34"/>
  <c r="A2095" i="34"/>
  <c r="U1968" i="34"/>
  <c r="W1968" i="34"/>
  <c r="A1968" i="34"/>
  <c r="U1972" i="34"/>
  <c r="W1972" i="34"/>
  <c r="A1972" i="34"/>
  <c r="U1976" i="34"/>
  <c r="W1976" i="34"/>
  <c r="A1976" i="34"/>
  <c r="W2022" i="34"/>
  <c r="U2022" i="34"/>
  <c r="A2022" i="34"/>
  <c r="W2026" i="34"/>
  <c r="U2026" i="34"/>
  <c r="A2026" i="34"/>
  <c r="W2030" i="34"/>
  <c r="U2030" i="34"/>
  <c r="A2030" i="34"/>
  <c r="W2034" i="34"/>
  <c r="U2034" i="34"/>
  <c r="A2034" i="34"/>
  <c r="W2059" i="34"/>
  <c r="U2059" i="34"/>
  <c r="A2059" i="34"/>
  <c r="W2063" i="34"/>
  <c r="U2063" i="34"/>
  <c r="A2063" i="34"/>
  <c r="U2084" i="34"/>
  <c r="W2084" i="34"/>
  <c r="A2084" i="34"/>
  <c r="U2088" i="34"/>
  <c r="W2088" i="34"/>
  <c r="A2088" i="34"/>
  <c r="U2097" i="34"/>
  <c r="W2097" i="34"/>
  <c r="A2097" i="34"/>
  <c r="U2102" i="34"/>
  <c r="W2102" i="34"/>
  <c r="A2102" i="34"/>
  <c r="W1882" i="34"/>
  <c r="U1882" i="34"/>
  <c r="A1882" i="34"/>
  <c r="W1890" i="34"/>
  <c r="U1890" i="34"/>
  <c r="A1890" i="34"/>
  <c r="U1980" i="34"/>
  <c r="R1980" i="34"/>
  <c r="S1980" i="34"/>
  <c r="W1980" i="34"/>
  <c r="T1980" i="34"/>
  <c r="A1980" i="34"/>
  <c r="W1986" i="34"/>
  <c r="U1986" i="34"/>
  <c r="A1986" i="34"/>
  <c r="S2098" i="34"/>
  <c r="T2098" i="34"/>
  <c r="U2098" i="34"/>
  <c r="R2098" i="34"/>
  <c r="W2098" i="34"/>
  <c r="A2098" i="34"/>
  <c r="U2105" i="34"/>
  <c r="W2105" i="34"/>
  <c r="A2105" i="34"/>
  <c r="U1933" i="34"/>
  <c r="W1933" i="34"/>
  <c r="A1933" i="34"/>
  <c r="U1937" i="34"/>
  <c r="W1937" i="34"/>
  <c r="A1937" i="34"/>
  <c r="U1941" i="34"/>
  <c r="W1941" i="34"/>
  <c r="A1941" i="34"/>
  <c r="W1990" i="34"/>
  <c r="U1990" i="34"/>
  <c r="A1990" i="34"/>
  <c r="W1994" i="34"/>
  <c r="U1994" i="34"/>
  <c r="A1994" i="34"/>
  <c r="W1998" i="34"/>
  <c r="U1998" i="34"/>
  <c r="A1998" i="34"/>
  <c r="U2044" i="34"/>
  <c r="W2044" i="34"/>
  <c r="A2044" i="34"/>
  <c r="W2091" i="34"/>
  <c r="U2091" i="34"/>
  <c r="A2091" i="34"/>
  <c r="W1879" i="34"/>
  <c r="U1879" i="34"/>
  <c r="A1879" i="34"/>
  <c r="W1883" i="34"/>
  <c r="U1883" i="34"/>
  <c r="A1883" i="34"/>
  <c r="U1896" i="34"/>
  <c r="W1896" i="34"/>
  <c r="A1896" i="34"/>
  <c r="U1900" i="34"/>
  <c r="W1900" i="34"/>
  <c r="A1900" i="34"/>
  <c r="U1904" i="34"/>
  <c r="W1904" i="34"/>
  <c r="A1904" i="34"/>
  <c r="U1908" i="34"/>
  <c r="W1908" i="34"/>
  <c r="A1908" i="34"/>
  <c r="W1915" i="34"/>
  <c r="U1915" i="34"/>
  <c r="A1915" i="34"/>
  <c r="W1919" i="34"/>
  <c r="U1919" i="34"/>
  <c r="A1919" i="34"/>
  <c r="W1946" i="34"/>
  <c r="U1946" i="34"/>
  <c r="A1946" i="34"/>
  <c r="W1950" i="34"/>
  <c r="U1950" i="34"/>
  <c r="A1950" i="34"/>
  <c r="W1954" i="34"/>
  <c r="U1954" i="34"/>
  <c r="A1954" i="34"/>
  <c r="W1927" i="34"/>
  <c r="U1927" i="34"/>
  <c r="A1927" i="34"/>
  <c r="W1931" i="34"/>
  <c r="U1931" i="34"/>
  <c r="A1931" i="34"/>
  <c r="W1922" i="34"/>
  <c r="U1922" i="34"/>
  <c r="A1922" i="34"/>
  <c r="W1958" i="34"/>
  <c r="U1958" i="34"/>
  <c r="A1958" i="34"/>
  <c r="W1962" i="34"/>
  <c r="U1962" i="34"/>
  <c r="A1962" i="34"/>
  <c r="W1966" i="34"/>
  <c r="U1966" i="34"/>
  <c r="A1966" i="34"/>
  <c r="W2010" i="34"/>
  <c r="U2010" i="34"/>
  <c r="A2010" i="34"/>
  <c r="W2014" i="34"/>
  <c r="U2014" i="34"/>
  <c r="A2014" i="34"/>
  <c r="U1220" i="34"/>
  <c r="W1220" i="34"/>
  <c r="W1246" i="34"/>
  <c r="U1246" i="34"/>
  <c r="A1246" i="34"/>
  <c r="U1248" i="34"/>
  <c r="W1248" i="34"/>
  <c r="A1248" i="34"/>
  <c r="W1250" i="34"/>
  <c r="U1250" i="34"/>
  <c r="A1250" i="34"/>
  <c r="U1252" i="34"/>
  <c r="W1252" i="34"/>
  <c r="A1252" i="34"/>
  <c r="U1289" i="34"/>
  <c r="W1289" i="34"/>
  <c r="A1289" i="34"/>
  <c r="W1291" i="34"/>
  <c r="U1291" i="34"/>
  <c r="A1291" i="34"/>
  <c r="U1293" i="34"/>
  <c r="W1293" i="34"/>
  <c r="A1293" i="34"/>
  <c r="W1295" i="34"/>
  <c r="U1295" i="34"/>
  <c r="A1295" i="34"/>
  <c r="W1335" i="34"/>
  <c r="U1335" i="34"/>
  <c r="A1335" i="34"/>
  <c r="U1337" i="34"/>
  <c r="W1337" i="34"/>
  <c r="A1337" i="34"/>
  <c r="W1339" i="34"/>
  <c r="U1339" i="34"/>
  <c r="A1339" i="34"/>
  <c r="U1341" i="34"/>
  <c r="W1341" i="34"/>
  <c r="A1341" i="34"/>
  <c r="W1343" i="34"/>
  <c r="U1343" i="34"/>
  <c r="A1343" i="34"/>
  <c r="U1345" i="34"/>
  <c r="W1345" i="34"/>
  <c r="A1345" i="34"/>
  <c r="W1347" i="34"/>
  <c r="U1347" i="34"/>
  <c r="A1347" i="34"/>
  <c r="U1349" i="34"/>
  <c r="W1349" i="34"/>
  <c r="A1349" i="34"/>
  <c r="U1373" i="34"/>
  <c r="W1373" i="34"/>
  <c r="A1373" i="34"/>
  <c r="W1375" i="34"/>
  <c r="U1375" i="34"/>
  <c r="A1375" i="34"/>
  <c r="U1377" i="34"/>
  <c r="W1377" i="34"/>
  <c r="A1377" i="34"/>
  <c r="W1379" i="34"/>
  <c r="U1379" i="34"/>
  <c r="A1379" i="34"/>
  <c r="U1401" i="34"/>
  <c r="W1401" i="34"/>
  <c r="A1401" i="34"/>
  <c r="W1403" i="34"/>
  <c r="U1403" i="34"/>
  <c r="A1403" i="34"/>
  <c r="U1405" i="34"/>
  <c r="W1405" i="34"/>
  <c r="A1405" i="34"/>
  <c r="W1407" i="34"/>
  <c r="U1407" i="34"/>
  <c r="A1407" i="34"/>
  <c r="U1421" i="34"/>
  <c r="W1421" i="34"/>
  <c r="A1421" i="34"/>
  <c r="W1423" i="34"/>
  <c r="U1423" i="34"/>
  <c r="A1423" i="34"/>
  <c r="U1425" i="34"/>
  <c r="W1425" i="34"/>
  <c r="A1425" i="34"/>
  <c r="W1435" i="34"/>
  <c r="U1435" i="34"/>
  <c r="A1435" i="34"/>
  <c r="W1440" i="34"/>
  <c r="U1440" i="34"/>
  <c r="A1440" i="34"/>
  <c r="W1521" i="34"/>
  <c r="U1521" i="34"/>
  <c r="A1521" i="34"/>
  <c r="U1523" i="34"/>
  <c r="W1523" i="34"/>
  <c r="A1523" i="34"/>
  <c r="W1525" i="34"/>
  <c r="U1525" i="34"/>
  <c r="A1525" i="34"/>
  <c r="U1527" i="34"/>
  <c r="W1527" i="34"/>
  <c r="A1527" i="34"/>
  <c r="W1529" i="34"/>
  <c r="U1529" i="34"/>
  <c r="A1529" i="34"/>
  <c r="W1548" i="34"/>
  <c r="U1548" i="34"/>
  <c r="A1548" i="34"/>
  <c r="U1550" i="34"/>
  <c r="W1550" i="34"/>
  <c r="A1550" i="34"/>
  <c r="W1552" i="34"/>
  <c r="U1552" i="34"/>
  <c r="A1552" i="34"/>
  <c r="U1554" i="34"/>
  <c r="W1554" i="34"/>
  <c r="A1554" i="34"/>
  <c r="W1604" i="34"/>
  <c r="U1604" i="34"/>
  <c r="A1604" i="34"/>
  <c r="U1606" i="34"/>
  <c r="W1606" i="34"/>
  <c r="A1606" i="34"/>
  <c r="W1608" i="34"/>
  <c r="U1608" i="34"/>
  <c r="A1608" i="34"/>
  <c r="U1610" i="34"/>
  <c r="W1610" i="34"/>
  <c r="A1610" i="34"/>
  <c r="W1612" i="34"/>
  <c r="U1612" i="34"/>
  <c r="A1612" i="34"/>
  <c r="U1614" i="34"/>
  <c r="W1614" i="34"/>
  <c r="A1614" i="34"/>
  <c r="W1616" i="34"/>
  <c r="U1616" i="34"/>
  <c r="A1616" i="34"/>
  <c r="U1618" i="34"/>
  <c r="W1618" i="34"/>
  <c r="A1618" i="34"/>
  <c r="U1635" i="34"/>
  <c r="W1635" i="34"/>
  <c r="A1635" i="34"/>
  <c r="W1637" i="34"/>
  <c r="U1637" i="34"/>
  <c r="A1637" i="34"/>
  <c r="U1639" i="34"/>
  <c r="W1639" i="34"/>
  <c r="A1639" i="34"/>
  <c r="W1672" i="34"/>
  <c r="U1672" i="34"/>
  <c r="A1672" i="34"/>
  <c r="W1708" i="34"/>
  <c r="U1708" i="34"/>
  <c r="A1708" i="34"/>
  <c r="W1710" i="34"/>
  <c r="U1710" i="34"/>
  <c r="A1710" i="34"/>
  <c r="U1712" i="34"/>
  <c r="W1712" i="34"/>
  <c r="A1712" i="34"/>
  <c r="W1714" i="34"/>
  <c r="U1714" i="34"/>
  <c r="A1714" i="34"/>
  <c r="U1765" i="34"/>
  <c r="W1765" i="34"/>
  <c r="A1765" i="34"/>
  <c r="W1767" i="34"/>
  <c r="U1767" i="34"/>
  <c r="A1767" i="34"/>
  <c r="U1769" i="34"/>
  <c r="W1769" i="34"/>
  <c r="A1769" i="34"/>
  <c r="W1771" i="34"/>
  <c r="U1771" i="34"/>
  <c r="A1771" i="34"/>
  <c r="U1773" i="34"/>
  <c r="W1773" i="34"/>
  <c r="A1773" i="34"/>
  <c r="U1796" i="34"/>
  <c r="W1796" i="34"/>
  <c r="A1796" i="34"/>
  <c r="W1798" i="34"/>
  <c r="U1798" i="34"/>
  <c r="A1798" i="34"/>
  <c r="U1800" i="34"/>
  <c r="W1800" i="34"/>
  <c r="A1800" i="34"/>
  <c r="W1802" i="34"/>
  <c r="U1802" i="34"/>
  <c r="A1802" i="34"/>
  <c r="U1821" i="34"/>
  <c r="W1821" i="34"/>
  <c r="A1821" i="34"/>
  <c r="W1823" i="34"/>
  <c r="U1823" i="34"/>
  <c r="A1823" i="34"/>
  <c r="U1825" i="34"/>
  <c r="W1825" i="34"/>
  <c r="A1825" i="34"/>
  <c r="W1827" i="34"/>
  <c r="U1827" i="34"/>
  <c r="A1827" i="34"/>
  <c r="W1855" i="34"/>
  <c r="U1855" i="34"/>
  <c r="A1855" i="34"/>
  <c r="U1857" i="34"/>
  <c r="W1857" i="34"/>
  <c r="A1857" i="34"/>
  <c r="W1859" i="34"/>
  <c r="U1859" i="34"/>
  <c r="A1859" i="34"/>
  <c r="U1861" i="34"/>
  <c r="W1861" i="34"/>
  <c r="A1861" i="34"/>
  <c r="W1863" i="34"/>
  <c r="U1863" i="34"/>
  <c r="A1863" i="34"/>
  <c r="W2046" i="34"/>
  <c r="U2046" i="34"/>
  <c r="A2046" i="34"/>
  <c r="W2050" i="34"/>
  <c r="U2050" i="34"/>
  <c r="A2050" i="34"/>
  <c r="W2054" i="34"/>
  <c r="U2054" i="34"/>
  <c r="A2054" i="34"/>
  <c r="U2077" i="34"/>
  <c r="W2077" i="34"/>
  <c r="A2077" i="34"/>
  <c r="U2081" i="34"/>
  <c r="W2081" i="34"/>
  <c r="A2081" i="34"/>
  <c r="W1886" i="34"/>
  <c r="U1886" i="34"/>
  <c r="A1886" i="34"/>
  <c r="U1969" i="34"/>
  <c r="W1969" i="34"/>
  <c r="A1969" i="34"/>
  <c r="U1973" i="34"/>
  <c r="W1973" i="34"/>
  <c r="A1973" i="34"/>
  <c r="U1977" i="34"/>
  <c r="W1977" i="34"/>
  <c r="A1977" i="34"/>
  <c r="W2023" i="34"/>
  <c r="U2023" i="34"/>
  <c r="A2023" i="34"/>
  <c r="W2027" i="34"/>
  <c r="U2027" i="34"/>
  <c r="A2027" i="34"/>
  <c r="W2031" i="34"/>
  <c r="U2031" i="34"/>
  <c r="A2031" i="34"/>
  <c r="U2056" i="34"/>
  <c r="W2056" i="34"/>
  <c r="A2056" i="34"/>
  <c r="U2060" i="34"/>
  <c r="W2060" i="34"/>
  <c r="A2060" i="34"/>
  <c r="U2064" i="34"/>
  <c r="W2064" i="34"/>
  <c r="A2064" i="34"/>
  <c r="U2085" i="34"/>
  <c r="W2085" i="34"/>
  <c r="A2085" i="34"/>
  <c r="U2089" i="34"/>
  <c r="W2089" i="34"/>
  <c r="A2089" i="34"/>
  <c r="W2104" i="34"/>
  <c r="U2104" i="34"/>
  <c r="A2104" i="34"/>
  <c r="R1887" i="34"/>
  <c r="S1887" i="34"/>
  <c r="W1887" i="34"/>
  <c r="T1887" i="34"/>
  <c r="U1887" i="34"/>
  <c r="A1887" i="34"/>
  <c r="W1891" i="34"/>
  <c r="U1891" i="34"/>
  <c r="A1891" i="34"/>
  <c r="T1981" i="34"/>
  <c r="U1981" i="34"/>
  <c r="R1981" i="34"/>
  <c r="S1981" i="34"/>
  <c r="W1981" i="34"/>
  <c r="A1981" i="34"/>
  <c r="W1987" i="34"/>
  <c r="U1987" i="34"/>
  <c r="A1987" i="34"/>
  <c r="S2099" i="34"/>
  <c r="W2099" i="34"/>
  <c r="T2099" i="34"/>
  <c r="U2099" i="34"/>
  <c r="R2099" i="34"/>
  <c r="A2099" i="34"/>
  <c r="W1934" i="34"/>
  <c r="U1934" i="34"/>
  <c r="A1934" i="34"/>
  <c r="W1938" i="34"/>
  <c r="U1938" i="34"/>
  <c r="A1938" i="34"/>
  <c r="W1942" i="34"/>
  <c r="U1942" i="34"/>
  <c r="A1942" i="34"/>
  <c r="W1991" i="34"/>
  <c r="U1991" i="34"/>
  <c r="A1991" i="34"/>
  <c r="W1995" i="34"/>
  <c r="U1995" i="34"/>
  <c r="A1995" i="34"/>
  <c r="W1999" i="34"/>
  <c r="U1999" i="34"/>
  <c r="A1999" i="34"/>
  <c r="U2072" i="34"/>
  <c r="W2072" i="34"/>
  <c r="A2072" i="34"/>
  <c r="U2092" i="34"/>
  <c r="W2092" i="34"/>
  <c r="A2092" i="34"/>
  <c r="U1893" i="34"/>
  <c r="W1893" i="34"/>
  <c r="A1893" i="34"/>
  <c r="U1884" i="34"/>
  <c r="W1884" i="34"/>
  <c r="A1884" i="34"/>
  <c r="U1897" i="34"/>
  <c r="W1897" i="34"/>
  <c r="A1897" i="34"/>
  <c r="U1901" i="34"/>
  <c r="W1901" i="34"/>
  <c r="A1901" i="34"/>
  <c r="U1905" i="34"/>
  <c r="W1905" i="34"/>
  <c r="A1905" i="34"/>
  <c r="U1909" i="34"/>
  <c r="W1909" i="34"/>
  <c r="A1909" i="34"/>
  <c r="U1916" i="34"/>
  <c r="W1916" i="34"/>
  <c r="A1916" i="34"/>
  <c r="U1920" i="34"/>
  <c r="W1920" i="34"/>
  <c r="A1920" i="34"/>
  <c r="W1947" i="34"/>
  <c r="U1947" i="34"/>
  <c r="A1947" i="34"/>
  <c r="W1951" i="34"/>
  <c r="U1951" i="34"/>
  <c r="A1951" i="34"/>
  <c r="U1924" i="34"/>
  <c r="W1924" i="34"/>
  <c r="A1924" i="34"/>
  <c r="U1928" i="34"/>
  <c r="W1928" i="34"/>
  <c r="A1928" i="34"/>
  <c r="U2005" i="34"/>
  <c r="W2005" i="34"/>
  <c r="A2005" i="34"/>
  <c r="W1955" i="34"/>
  <c r="U1955" i="34"/>
  <c r="A1955" i="34"/>
  <c r="W1959" i="34"/>
  <c r="U1959" i="34"/>
  <c r="A1959" i="34"/>
  <c r="W1963" i="34"/>
  <c r="U1963" i="34"/>
  <c r="A1963" i="34"/>
  <c r="W2007" i="34"/>
  <c r="U2007" i="34"/>
  <c r="A2007" i="34"/>
  <c r="W2011" i="34"/>
  <c r="U2011" i="34"/>
  <c r="A2011" i="34"/>
  <c r="W2015" i="34"/>
  <c r="U2015" i="34"/>
  <c r="A2015" i="34"/>
  <c r="B1143" i="34" l="1"/>
  <c r="A1143" i="34" s="1"/>
  <c r="B1094" i="34"/>
  <c r="A1094" i="34" s="1"/>
  <c r="B1093" i="34"/>
  <c r="A1093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5" i="34"/>
  <c r="A1085" i="34" s="1"/>
  <c r="B1084" i="34"/>
  <c r="A1084" i="34" s="1"/>
  <c r="B1083" i="34"/>
  <c r="A1083" i="34" s="1"/>
  <c r="B1082" i="34"/>
  <c r="A1082" i="34" s="1"/>
  <c r="B1081" i="34"/>
  <c r="A1081" i="34" s="1"/>
  <c r="B1080" i="34"/>
  <c r="A1080" i="34" s="1"/>
  <c r="B1079" i="34"/>
  <c r="A1079" i="34" s="1"/>
  <c r="B1078" i="34"/>
  <c r="A1078" i="34" s="1"/>
  <c r="B1077" i="34"/>
  <c r="A1077" i="34" s="1"/>
  <c r="B1076" i="34"/>
  <c r="A1076" i="34" s="1"/>
  <c r="B1075" i="34"/>
  <c r="A1075" i="34" s="1"/>
  <c r="B1074" i="34"/>
  <c r="A1074" i="34" s="1"/>
  <c r="B1073" i="34"/>
  <c r="A1073" i="34" s="1"/>
  <c r="B1072" i="34"/>
  <c r="A1072" i="34" s="1"/>
  <c r="B1071" i="34"/>
  <c r="A1071" i="34" s="1"/>
  <c r="B1070" i="34"/>
  <c r="A1070" i="34" s="1"/>
  <c r="B1069" i="34"/>
  <c r="A1069" i="34" s="1"/>
  <c r="B1067" i="34"/>
  <c r="A1067" i="34" s="1"/>
  <c r="B1066" i="34"/>
  <c r="A1066" i="34" s="1"/>
  <c r="B1065" i="34"/>
  <c r="A1065" i="34" s="1"/>
  <c r="B1064" i="34"/>
  <c r="A1064" i="34" s="1"/>
  <c r="B1062" i="34"/>
  <c r="A1062" i="34" s="1"/>
  <c r="B1061" i="34"/>
  <c r="A1061" i="34" s="1"/>
  <c r="B1060" i="34"/>
  <c r="A1060" i="34" s="1"/>
  <c r="B1059" i="34"/>
  <c r="A1059" i="34" s="1"/>
  <c r="B1058" i="34"/>
  <c r="A1058" i="34" s="1"/>
  <c r="B1057" i="34"/>
  <c r="A1057" i="34" s="1"/>
  <c r="B1056" i="34"/>
  <c r="A1056" i="34" s="1"/>
  <c r="B1055" i="34"/>
  <c r="A1055" i="34" s="1"/>
  <c r="B1054" i="34"/>
  <c r="A1054" i="34" s="1"/>
  <c r="B1053" i="34"/>
  <c r="A1053" i="34" s="1"/>
  <c r="B1052" i="34"/>
  <c r="A1052" i="34" s="1"/>
  <c r="B1050" i="34"/>
  <c r="A1050" i="34" s="1"/>
  <c r="B1049" i="34"/>
  <c r="A1049" i="34" s="1"/>
  <c r="B1048" i="34"/>
  <c r="A1048" i="34" s="1"/>
  <c r="B1047" i="34"/>
  <c r="A1047" i="34" s="1"/>
  <c r="B1046" i="34"/>
  <c r="A1046" i="34" s="1"/>
  <c r="B1045" i="34"/>
  <c r="A1045" i="34" s="1"/>
  <c r="B1044" i="34"/>
  <c r="A1044" i="34" s="1"/>
  <c r="B1043" i="34"/>
  <c r="A1043" i="34" s="1"/>
  <c r="B1042" i="34"/>
  <c r="A1042" i="34" s="1"/>
  <c r="B1041" i="34"/>
  <c r="A1041" i="34" s="1"/>
  <c r="B1040" i="34"/>
  <c r="A1040" i="34" s="1"/>
  <c r="B1038" i="34"/>
  <c r="A1038" i="34" s="1"/>
  <c r="B1037" i="34"/>
  <c r="A1037" i="34" s="1"/>
  <c r="B1036" i="34"/>
  <c r="A1036" i="34" s="1"/>
  <c r="B1034" i="34"/>
  <c r="A1034" i="34" s="1"/>
  <c r="B1033" i="34"/>
  <c r="A1033" i="34" s="1"/>
  <c r="B1032" i="34"/>
  <c r="A1032" i="34" s="1"/>
  <c r="B1031" i="34"/>
  <c r="A1031" i="34" s="1"/>
  <c r="B1030" i="34"/>
  <c r="A1030" i="34" s="1"/>
  <c r="B1029" i="34"/>
  <c r="A1029" i="34" s="1"/>
  <c r="B1027" i="34"/>
  <c r="A1027" i="34" s="1"/>
  <c r="B1026" i="34"/>
  <c r="A1026" i="34" s="1"/>
  <c r="B1025" i="34"/>
  <c r="A1025" i="34" s="1"/>
  <c r="B1024" i="34"/>
  <c r="A1024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7" i="34"/>
  <c r="A1007" i="34" s="1"/>
  <c r="B638" i="34"/>
  <c r="A638" i="34" s="1"/>
  <c r="B637" i="34"/>
  <c r="A637" i="34" s="1"/>
  <c r="B628" i="34"/>
  <c r="A628" i="34" s="1"/>
  <c r="B627" i="34"/>
  <c r="A627" i="34" s="1"/>
  <c r="B626" i="34"/>
  <c r="A626" i="34" s="1"/>
  <c r="B549" i="34"/>
  <c r="A549" i="34" s="1"/>
  <c r="B547" i="34"/>
  <c r="A547" i="34" s="1"/>
  <c r="B546" i="34"/>
  <c r="A546" i="34" s="1"/>
  <c r="B544" i="34"/>
  <c r="A544" i="34" s="1"/>
  <c r="B543" i="34"/>
  <c r="A543" i="34" s="1"/>
  <c r="B541" i="34"/>
  <c r="A541" i="34" s="1"/>
  <c r="B540" i="34"/>
  <c r="A540" i="34" s="1"/>
  <c r="B539" i="34"/>
  <c r="A539" i="34" s="1"/>
  <c r="B538" i="34"/>
  <c r="A538" i="34" s="1"/>
  <c r="B536" i="34"/>
  <c r="A536" i="34" s="1"/>
  <c r="B535" i="34"/>
  <c r="A535" i="34" s="1"/>
  <c r="B534" i="34"/>
  <c r="A534" i="34" s="1"/>
  <c r="B533" i="34"/>
  <c r="A533" i="34" s="1"/>
  <c r="B531" i="34"/>
  <c r="A531" i="34" s="1"/>
  <c r="B530" i="34"/>
  <c r="A530" i="34" s="1"/>
  <c r="B529" i="34"/>
  <c r="A529" i="34" s="1"/>
  <c r="B527" i="34"/>
  <c r="A527" i="34" s="1"/>
  <c r="B526" i="34"/>
  <c r="A526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6" i="34"/>
  <c r="A516" i="34" s="1"/>
  <c r="B515" i="34"/>
  <c r="A515" i="34" s="1"/>
  <c r="B513" i="34"/>
  <c r="A513" i="34" s="1"/>
  <c r="B512" i="34"/>
  <c r="A512" i="34" s="1"/>
  <c r="B510" i="34"/>
  <c r="A510" i="34" s="1"/>
  <c r="B509" i="34"/>
  <c r="A509" i="34" s="1"/>
  <c r="B507" i="34"/>
  <c r="A507" i="34" s="1"/>
  <c r="B506" i="34"/>
  <c r="A506" i="34" s="1"/>
  <c r="B505" i="34"/>
  <c r="A505" i="34" s="1"/>
  <c r="B504" i="34"/>
  <c r="A504" i="34" s="1"/>
  <c r="B503" i="34"/>
  <c r="A503" i="34" s="1"/>
  <c r="B502" i="34"/>
  <c r="A502" i="34" s="1"/>
  <c r="B501" i="34"/>
  <c r="A501" i="34" s="1"/>
  <c r="B500" i="34"/>
  <c r="A500" i="34" s="1"/>
  <c r="B499" i="34"/>
  <c r="A499" i="34" s="1"/>
  <c r="B498" i="34"/>
  <c r="A498" i="34" s="1"/>
  <c r="B496" i="34"/>
  <c r="A496" i="34" s="1"/>
  <c r="B495" i="34"/>
  <c r="A495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59" i="34"/>
  <c r="A1159" i="34" s="1"/>
  <c r="B1160" i="34"/>
  <c r="A1160" i="34" s="1"/>
  <c r="B1161" i="34"/>
  <c r="A1161" i="34" s="1"/>
  <c r="B1162" i="34"/>
  <c r="A1162" i="34" s="1"/>
  <c r="B1163" i="34"/>
  <c r="A1163" i="34" s="1"/>
  <c r="B1164" i="34"/>
  <c r="A1164" i="34" s="1"/>
  <c r="B1165" i="34"/>
  <c r="A1165" i="34" s="1"/>
  <c r="B1166" i="34"/>
  <c r="A1166" i="34" s="1"/>
  <c r="B1167" i="34"/>
  <c r="A1167" i="34" s="1"/>
  <c r="B1175" i="34"/>
  <c r="A1175" i="34" s="1"/>
  <c r="B1176" i="34"/>
  <c r="A1176" i="34" s="1"/>
  <c r="B1177" i="34"/>
  <c r="A1177" i="34" s="1"/>
  <c r="B1178" i="34"/>
  <c r="A1178" i="34" s="1"/>
  <c r="B1179" i="34"/>
  <c r="A1179" i="34" s="1"/>
  <c r="B1180" i="34"/>
  <c r="A1180" i="34" s="1"/>
  <c r="B1181" i="34"/>
  <c r="A1181" i="34" s="1"/>
  <c r="B1182" i="34"/>
  <c r="A1182" i="34" s="1"/>
  <c r="B1196" i="34"/>
  <c r="A1196" i="34" s="1"/>
  <c r="B1197" i="34"/>
  <c r="A1197" i="34" s="1"/>
  <c r="B1198" i="34"/>
  <c r="A1198" i="34" s="1"/>
  <c r="B1199" i="34"/>
  <c r="A1199" i="34" s="1"/>
  <c r="B1200" i="34"/>
  <c r="A1200" i="34" s="1"/>
  <c r="B1201" i="34"/>
  <c r="A1201" i="34" s="1"/>
  <c r="B1202" i="34"/>
  <c r="A1202" i="34" s="1"/>
  <c r="B1203" i="34"/>
  <c r="A1203" i="34" s="1"/>
  <c r="B1204" i="34"/>
  <c r="A1204" i="34" s="1"/>
  <c r="B1205" i="34"/>
  <c r="A1205" i="34" s="1"/>
  <c r="B1232" i="34"/>
  <c r="A1232" i="34" s="1"/>
  <c r="B1233" i="34"/>
  <c r="A1233" i="34" s="1"/>
  <c r="B1234" i="34"/>
  <c r="A1234" i="34" s="1"/>
  <c r="B1235" i="34"/>
  <c r="A1235" i="34" s="1"/>
  <c r="B1236" i="34"/>
  <c r="A1236" i="34" s="1"/>
  <c r="B1237" i="34"/>
  <c r="A1237" i="34" s="1"/>
  <c r="B1256" i="34"/>
  <c r="B1257" i="34"/>
  <c r="B1258" i="34"/>
  <c r="B1259" i="34"/>
  <c r="B1260" i="34"/>
  <c r="B1261" i="34"/>
  <c r="B1262" i="34"/>
  <c r="B1263" i="34"/>
  <c r="B1273" i="34"/>
  <c r="B1274" i="34"/>
  <c r="B1275" i="34"/>
  <c r="B1276" i="34"/>
  <c r="B1277" i="34"/>
  <c r="B1278" i="34"/>
  <c r="B1279" i="34"/>
  <c r="B1280" i="34"/>
  <c r="B1360" i="34"/>
  <c r="B1361" i="34"/>
  <c r="B1362" i="34"/>
  <c r="B1363" i="34"/>
  <c r="B1364" i="34"/>
  <c r="B1390" i="34"/>
  <c r="B1391" i="34"/>
  <c r="B1392" i="34"/>
  <c r="B1415" i="34"/>
  <c r="B1446" i="34"/>
  <c r="B1452" i="34"/>
  <c r="B1453" i="34"/>
  <c r="B1454" i="34"/>
  <c r="B1455" i="34"/>
  <c r="B1456" i="34"/>
  <c r="B1457" i="34"/>
  <c r="B1458" i="34"/>
  <c r="B1459" i="34"/>
  <c r="B1460" i="34"/>
  <c r="B1463" i="34"/>
  <c r="B1464" i="34"/>
  <c r="B1465" i="34"/>
  <c r="B1466" i="34"/>
  <c r="B1467" i="34"/>
  <c r="B1468" i="34"/>
  <c r="B1469" i="34"/>
  <c r="B1470" i="34"/>
  <c r="B1481" i="34"/>
  <c r="B1482" i="34"/>
  <c r="B1483" i="34"/>
  <c r="B1484" i="34"/>
  <c r="B1485" i="34"/>
  <c r="B1486" i="34"/>
  <c r="B1487" i="34"/>
  <c r="B1488" i="34"/>
  <c r="B1489" i="34"/>
  <c r="B1490" i="34"/>
  <c r="B1491" i="34"/>
  <c r="B1492" i="34"/>
  <c r="B1493" i="34"/>
  <c r="B1494" i="34"/>
  <c r="B1495" i="34"/>
  <c r="B1496" i="34"/>
  <c r="B1559" i="34"/>
  <c r="B1560" i="34"/>
  <c r="B1561" i="34"/>
  <c r="B1562" i="34"/>
  <c r="B1563" i="34"/>
  <c r="B1564" i="34"/>
  <c r="B1565" i="34"/>
  <c r="B1644" i="34"/>
  <c r="B1645" i="34"/>
  <c r="B1646" i="34"/>
  <c r="B1647" i="34"/>
  <c r="B1648" i="34"/>
  <c r="B1649" i="34"/>
  <c r="B1650" i="34"/>
  <c r="B1651" i="34"/>
  <c r="B1652" i="34"/>
  <c r="B1654" i="34"/>
  <c r="B1655" i="34"/>
  <c r="B1656" i="34"/>
  <c r="B1657" i="34"/>
  <c r="B1658" i="34"/>
  <c r="B1659" i="34"/>
  <c r="B1660" i="34"/>
  <c r="B1661" i="34"/>
  <c r="B1662" i="34"/>
  <c r="B1663" i="34"/>
  <c r="B1664" i="34"/>
  <c r="B1682" i="34"/>
  <c r="B1683" i="34"/>
  <c r="B1684" i="34"/>
  <c r="B1685" i="34"/>
  <c r="B1686" i="34"/>
  <c r="B1687" i="34"/>
  <c r="B1688" i="34"/>
  <c r="B1689" i="34"/>
  <c r="B1719" i="34"/>
  <c r="B1720" i="34"/>
  <c r="B1721" i="34"/>
  <c r="B1722" i="34"/>
  <c r="B1723" i="34"/>
  <c r="B1724" i="34"/>
  <c r="B1725" i="34"/>
  <c r="B1726" i="34"/>
  <c r="B1734" i="34"/>
  <c r="B1735" i="34"/>
  <c r="B1736" i="34"/>
  <c r="B1737" i="34"/>
  <c r="B1738" i="34"/>
  <c r="B1739" i="34"/>
  <c r="B1740" i="34"/>
  <c r="B1783" i="34"/>
  <c r="B1784" i="34"/>
  <c r="B1785" i="34"/>
  <c r="B1153" i="34"/>
  <c r="A1153" i="34" s="1"/>
  <c r="B1239" i="34"/>
  <c r="A1239" i="34" s="1"/>
  <c r="B1238" i="34"/>
  <c r="A1238" i="34" s="1"/>
  <c r="B1213" i="34"/>
  <c r="A1213" i="34" s="1"/>
  <c r="B1212" i="34"/>
  <c r="A1212" i="34" s="1"/>
  <c r="B1211" i="34"/>
  <c r="A1211" i="34" s="1"/>
  <c r="B1210" i="34"/>
  <c r="A1210" i="34" s="1"/>
  <c r="B1209" i="34"/>
  <c r="A1209" i="34" s="1"/>
  <c r="B1208" i="34"/>
  <c r="A1208" i="34" s="1"/>
  <c r="B1207" i="34"/>
  <c r="A1207" i="34" s="1"/>
  <c r="B1206" i="34"/>
  <c r="A1206" i="34" s="1"/>
  <c r="B1786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288" i="34"/>
  <c r="B1287" i="34"/>
  <c r="B1286" i="34"/>
  <c r="B1285" i="34"/>
  <c r="B1284" i="34"/>
  <c r="B1283" i="34"/>
  <c r="B1282" i="34"/>
  <c r="B1281" i="34"/>
  <c r="B1245" i="34"/>
  <c r="B1244" i="34"/>
  <c r="B1243" i="34"/>
  <c r="B1242" i="34"/>
  <c r="B1241" i="34"/>
  <c r="A1241" i="34" s="1"/>
  <c r="B1240" i="34"/>
  <c r="A1240" i="34" s="1"/>
  <c r="B1433" i="34"/>
  <c r="B1432" i="34"/>
  <c r="B1431" i="34"/>
  <c r="B1420" i="34"/>
  <c r="B1419" i="34"/>
  <c r="B1418" i="34"/>
  <c r="B1417" i="34"/>
  <c r="B1416" i="34"/>
  <c r="B1400" i="34"/>
  <c r="B1399" i="34"/>
  <c r="B1398" i="34"/>
  <c r="B1397" i="34"/>
  <c r="B1396" i="34"/>
  <c r="B1395" i="34"/>
  <c r="B1394" i="34"/>
  <c r="B1393" i="34"/>
  <c r="B1372" i="34"/>
  <c r="B1371" i="34"/>
  <c r="B1370" i="34"/>
  <c r="B1369" i="34"/>
  <c r="B1368" i="34"/>
  <c r="B1367" i="34"/>
  <c r="B1366" i="34"/>
  <c r="B1365" i="34"/>
  <c r="B1334" i="34"/>
  <c r="B1333" i="34"/>
  <c r="B1332" i="34"/>
  <c r="B1595" i="34"/>
  <c r="B1594" i="34"/>
  <c r="B1593" i="34"/>
  <c r="B1592" i="34"/>
  <c r="B1591" i="34"/>
  <c r="B1590" i="34"/>
  <c r="B1589" i="34"/>
  <c r="B1570" i="34"/>
  <c r="B1546" i="34"/>
  <c r="B1545" i="34"/>
  <c r="B1544" i="34"/>
  <c r="B1543" i="34"/>
  <c r="B1542" i="34"/>
  <c r="B1541" i="34"/>
  <c r="B1540" i="34"/>
  <c r="B1539" i="34"/>
  <c r="B1520" i="34"/>
  <c r="B1519" i="34"/>
  <c r="B1518" i="34"/>
  <c r="B1517" i="34"/>
  <c r="B1516" i="34"/>
  <c r="B1515" i="34"/>
  <c r="B1514" i="34"/>
  <c r="B1513" i="34"/>
  <c r="B1512" i="34"/>
  <c r="B1474" i="34"/>
  <c r="B1439" i="34"/>
  <c r="B1757" i="34"/>
  <c r="B1756" i="34"/>
  <c r="B1741" i="34"/>
  <c r="B1706" i="34"/>
  <c r="B1705" i="34"/>
  <c r="B1704" i="34"/>
  <c r="B1703" i="34"/>
  <c r="B1702" i="34"/>
  <c r="B1701" i="34"/>
  <c r="B1700" i="34"/>
  <c r="B1699" i="34"/>
  <c r="B1671" i="34"/>
  <c r="B1633" i="34"/>
  <c r="B1632" i="34"/>
  <c r="B1631" i="34"/>
  <c r="B1630" i="34"/>
  <c r="B1629" i="34"/>
  <c r="B1628" i="34"/>
  <c r="B1627" i="34"/>
  <c r="B1603" i="34"/>
  <c r="B1602" i="34"/>
  <c r="B1601" i="34"/>
  <c r="B1600" i="34"/>
  <c r="B1599" i="34"/>
  <c r="B1598" i="34"/>
  <c r="B1597" i="34"/>
  <c r="B1596" i="34"/>
  <c r="B1846" i="34"/>
  <c r="B1845" i="34"/>
  <c r="B1844" i="34"/>
  <c r="B1843" i="34"/>
  <c r="B1819" i="34"/>
  <c r="B1818" i="34"/>
  <c r="B1817" i="34"/>
  <c r="B1816" i="34"/>
  <c r="B1815" i="34"/>
  <c r="B1814" i="34"/>
  <c r="B1813" i="34"/>
  <c r="B1812" i="34"/>
  <c r="B1794" i="34"/>
  <c r="B1793" i="34"/>
  <c r="B1792" i="34"/>
  <c r="B1791" i="34"/>
  <c r="B1790" i="34"/>
  <c r="B1789" i="34"/>
  <c r="B1788" i="34"/>
  <c r="B1787" i="34"/>
  <c r="B1764" i="34"/>
  <c r="B1763" i="34"/>
  <c r="B1762" i="34"/>
  <c r="B1761" i="34"/>
  <c r="B1760" i="34"/>
  <c r="B1759" i="34"/>
  <c r="B1758" i="34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149" i="34"/>
  <c r="A1149" i="34" s="1"/>
  <c r="B1148" i="34"/>
  <c r="A1148" i="34" s="1"/>
  <c r="B1318" i="34"/>
  <c r="B1147" i="34"/>
  <c r="A1147" i="34" s="1"/>
  <c r="B1853" i="34"/>
  <c r="B1852" i="34"/>
  <c r="B1851" i="34"/>
  <c r="B1850" i="34"/>
  <c r="B1849" i="34"/>
  <c r="B1848" i="34"/>
  <c r="B1847" i="34"/>
  <c r="B1877" i="34"/>
  <c r="B1892" i="34"/>
  <c r="B1876" i="34"/>
  <c r="U1877" i="34" l="1"/>
  <c r="W1877" i="34"/>
  <c r="A1877" i="34"/>
  <c r="U1849" i="34"/>
  <c r="W1849" i="34"/>
  <c r="A1849" i="34"/>
  <c r="U1853" i="34"/>
  <c r="W1853" i="34"/>
  <c r="A1853" i="34"/>
  <c r="W1149" i="34"/>
  <c r="U1149" i="34"/>
  <c r="W1217" i="34"/>
  <c r="U1217" i="34"/>
  <c r="U1761" i="34"/>
  <c r="W1761" i="34"/>
  <c r="A1761" i="34"/>
  <c r="W1787" i="34"/>
  <c r="U1787" i="34"/>
  <c r="A1787" i="34"/>
  <c r="W1791" i="34"/>
  <c r="U1791" i="34"/>
  <c r="A1791" i="34"/>
  <c r="U1812" i="34"/>
  <c r="W1812" i="34"/>
  <c r="A1812" i="34"/>
  <c r="U1816" i="34"/>
  <c r="W1816" i="34"/>
  <c r="A1816" i="34"/>
  <c r="W1843" i="34"/>
  <c r="U1843" i="34"/>
  <c r="A1843" i="34"/>
  <c r="W1596" i="34"/>
  <c r="U1596" i="34"/>
  <c r="A1596" i="34"/>
  <c r="W1600" i="34"/>
  <c r="U1600" i="34"/>
  <c r="A1600" i="34"/>
  <c r="U1627" i="34"/>
  <c r="W1627" i="34"/>
  <c r="A1627" i="34"/>
  <c r="U1631" i="34"/>
  <c r="W1631" i="34"/>
  <c r="A1631" i="34"/>
  <c r="U1699" i="34"/>
  <c r="W1699" i="34"/>
  <c r="A1699" i="34"/>
  <c r="U1703" i="34"/>
  <c r="W1703" i="34"/>
  <c r="A1703" i="34"/>
  <c r="U1741" i="34"/>
  <c r="W1741" i="34"/>
  <c r="A1741" i="34"/>
  <c r="U1474" i="34"/>
  <c r="W1474" i="34"/>
  <c r="A1474" i="34"/>
  <c r="U1515" i="34"/>
  <c r="W1515" i="34"/>
  <c r="A1515" i="34"/>
  <c r="U1519" i="34"/>
  <c r="W1519" i="34"/>
  <c r="A1519" i="34"/>
  <c r="W1541" i="34"/>
  <c r="U1541" i="34"/>
  <c r="A1541" i="34"/>
  <c r="W1545" i="34"/>
  <c r="U1545" i="34"/>
  <c r="A1545" i="34"/>
  <c r="U1590" i="34"/>
  <c r="W1590" i="34"/>
  <c r="A1590" i="34"/>
  <c r="U1594" i="34"/>
  <c r="W1594" i="34"/>
  <c r="A1594" i="34"/>
  <c r="U1334" i="34"/>
  <c r="W1334" i="34"/>
  <c r="A1334" i="34"/>
  <c r="W1368" i="34"/>
  <c r="U1368" i="34"/>
  <c r="A1368" i="34"/>
  <c r="W1372" i="34"/>
  <c r="U1372" i="34"/>
  <c r="A1372" i="34"/>
  <c r="W1396" i="34"/>
  <c r="U1396" i="34"/>
  <c r="A1396" i="34"/>
  <c r="W1400" i="34"/>
  <c r="U1400" i="34"/>
  <c r="A1400" i="34"/>
  <c r="W1419" i="34"/>
  <c r="U1419" i="34"/>
  <c r="A1419" i="34"/>
  <c r="U1433" i="34"/>
  <c r="W1433" i="34"/>
  <c r="A1433" i="34"/>
  <c r="U1243" i="34"/>
  <c r="W1243" i="34"/>
  <c r="A1243" i="34"/>
  <c r="U1282" i="34"/>
  <c r="W1282" i="34"/>
  <c r="A1282" i="34"/>
  <c r="U1286" i="34"/>
  <c r="W1286" i="34"/>
  <c r="A1286" i="34"/>
  <c r="W1320" i="34"/>
  <c r="U1320" i="34"/>
  <c r="A1320" i="34"/>
  <c r="W1324" i="34"/>
  <c r="U1324" i="34"/>
  <c r="A1324" i="34"/>
  <c r="W1328" i="34"/>
  <c r="U1328" i="34"/>
  <c r="A1328" i="34"/>
  <c r="W1786" i="34"/>
  <c r="U1786" i="34"/>
  <c r="A1786" i="34"/>
  <c r="W1209" i="34"/>
  <c r="U1209" i="34"/>
  <c r="W1213" i="34"/>
  <c r="U1213" i="34"/>
  <c r="U1740" i="34"/>
  <c r="W1740" i="34"/>
  <c r="A1740" i="34"/>
  <c r="U1736" i="34"/>
  <c r="W1736" i="34"/>
  <c r="A1736" i="34"/>
  <c r="U1725" i="34"/>
  <c r="W1725" i="34"/>
  <c r="A1725" i="34"/>
  <c r="U1721" i="34"/>
  <c r="W1721" i="34"/>
  <c r="A1721" i="34"/>
  <c r="W1688" i="34"/>
  <c r="U1688" i="34"/>
  <c r="A1688" i="34"/>
  <c r="W1684" i="34"/>
  <c r="U1684" i="34"/>
  <c r="A1684" i="34"/>
  <c r="U1663" i="34"/>
  <c r="W1663" i="34"/>
  <c r="A1663" i="34"/>
  <c r="U1659" i="34"/>
  <c r="W1659" i="34"/>
  <c r="A1659" i="34"/>
  <c r="U1655" i="34"/>
  <c r="W1655" i="34"/>
  <c r="A1655" i="34"/>
  <c r="U1650" i="34"/>
  <c r="W1650" i="34"/>
  <c r="A1650" i="34"/>
  <c r="U1646" i="34"/>
  <c r="W1646" i="34"/>
  <c r="A1646" i="34"/>
  <c r="W1564" i="34"/>
  <c r="U1564" i="34"/>
  <c r="A1564" i="34"/>
  <c r="W1560" i="34"/>
  <c r="U1560" i="34"/>
  <c r="A1560" i="34"/>
  <c r="U1494" i="34"/>
  <c r="W1494" i="34"/>
  <c r="A1494" i="34"/>
  <c r="U1490" i="34"/>
  <c r="W1490" i="34"/>
  <c r="A1490" i="34"/>
  <c r="U1486" i="34"/>
  <c r="W1486" i="34"/>
  <c r="A1486" i="34"/>
  <c r="W1482" i="34"/>
  <c r="U1482" i="34"/>
  <c r="A1482" i="34"/>
  <c r="W1468" i="34"/>
  <c r="U1468" i="34"/>
  <c r="A1468" i="34"/>
  <c r="W1464" i="34"/>
  <c r="U1464" i="34"/>
  <c r="A1464" i="34"/>
  <c r="U1458" i="34"/>
  <c r="W1458" i="34"/>
  <c r="A1458" i="34"/>
  <c r="U1454" i="34"/>
  <c r="W1454" i="34"/>
  <c r="A1454" i="34"/>
  <c r="W1415" i="34"/>
  <c r="U1415" i="34"/>
  <c r="A1415" i="34"/>
  <c r="W1364" i="34"/>
  <c r="U1364" i="34"/>
  <c r="A1364" i="34"/>
  <c r="W1360" i="34"/>
  <c r="U1360" i="34"/>
  <c r="A1360" i="34"/>
  <c r="U1277" i="34"/>
  <c r="W1277" i="34"/>
  <c r="A1277" i="34"/>
  <c r="U1273" i="34"/>
  <c r="W1273" i="34"/>
  <c r="A1273" i="34"/>
  <c r="W1260" i="34"/>
  <c r="U1260" i="34"/>
  <c r="A1260" i="34"/>
  <c r="U1256" i="34"/>
  <c r="W1256" i="34"/>
  <c r="A1256" i="34"/>
  <c r="W1234" i="34"/>
  <c r="U1234" i="34"/>
  <c r="U1204" i="34"/>
  <c r="W1204" i="34"/>
  <c r="U1200" i="34"/>
  <c r="W1200" i="34"/>
  <c r="U1196" i="34"/>
  <c r="W1196" i="34"/>
  <c r="U1179" i="34"/>
  <c r="W1179" i="34"/>
  <c r="U1175" i="34"/>
  <c r="W1175" i="34"/>
  <c r="U1164" i="34"/>
  <c r="W1164" i="34"/>
  <c r="U1160" i="34"/>
  <c r="W1160" i="34"/>
  <c r="U1156" i="34"/>
  <c r="W1156" i="34"/>
  <c r="U326" i="34"/>
  <c r="W326" i="34"/>
  <c r="U331" i="34"/>
  <c r="W331" i="34"/>
  <c r="U336" i="34"/>
  <c r="W336" i="34"/>
  <c r="U340" i="34"/>
  <c r="W340" i="34"/>
  <c r="U345" i="34"/>
  <c r="W345" i="34"/>
  <c r="U350" i="34"/>
  <c r="W350" i="34"/>
  <c r="U356" i="34"/>
  <c r="W356" i="34"/>
  <c r="U361" i="34"/>
  <c r="W361" i="34"/>
  <c r="U366" i="34"/>
  <c r="W366" i="34"/>
  <c r="U499" i="34"/>
  <c r="W499" i="34"/>
  <c r="U503" i="34"/>
  <c r="W503" i="34"/>
  <c r="U507" i="34"/>
  <c r="W507" i="34"/>
  <c r="U513" i="34"/>
  <c r="W513" i="34"/>
  <c r="U519" i="34"/>
  <c r="W519" i="34"/>
  <c r="U523" i="34"/>
  <c r="W523" i="34"/>
  <c r="U527" i="34"/>
  <c r="W527" i="34"/>
  <c r="U533" i="34"/>
  <c r="W533" i="34"/>
  <c r="U538" i="34"/>
  <c r="W538" i="34"/>
  <c r="U543" i="34"/>
  <c r="W543" i="34"/>
  <c r="U549" i="34"/>
  <c r="W549" i="34"/>
  <c r="U637" i="34"/>
  <c r="W637" i="34"/>
  <c r="U1010" i="34"/>
  <c r="W1010" i="34"/>
  <c r="U1014" i="34"/>
  <c r="W1014" i="34"/>
  <c r="U1019" i="34"/>
  <c r="W1019" i="34"/>
  <c r="U1024" i="34"/>
  <c r="W1024" i="34"/>
  <c r="U1029" i="34"/>
  <c r="W1029" i="34"/>
  <c r="U1033" i="34"/>
  <c r="W1033" i="34"/>
  <c r="U1038" i="34"/>
  <c r="W1038" i="34"/>
  <c r="U1043" i="34"/>
  <c r="W1043" i="34"/>
  <c r="U1047" i="34"/>
  <c r="W1047" i="34"/>
  <c r="U1052" i="34"/>
  <c r="W1052" i="34"/>
  <c r="U1056" i="34"/>
  <c r="W1056" i="34"/>
  <c r="U1060" i="34"/>
  <c r="W1060" i="34"/>
  <c r="U1065" i="34"/>
  <c r="W1065" i="34"/>
  <c r="U1070" i="34"/>
  <c r="W1070" i="34"/>
  <c r="U1074" i="34"/>
  <c r="W1074" i="34"/>
  <c r="W1078" i="34"/>
  <c r="U1078" i="34"/>
  <c r="U1082" i="34"/>
  <c r="W1082" i="34"/>
  <c r="U1087" i="34"/>
  <c r="W1087" i="34"/>
  <c r="U1091" i="34"/>
  <c r="W1091" i="34"/>
  <c r="U1143" i="34"/>
  <c r="W1143" i="34"/>
  <c r="U1876" i="34"/>
  <c r="W1876" i="34"/>
  <c r="A1876" i="34"/>
  <c r="W1850" i="34"/>
  <c r="U1850" i="34"/>
  <c r="A1850" i="34"/>
  <c r="U1147" i="34"/>
  <c r="W1147" i="34"/>
  <c r="W1214" i="34"/>
  <c r="U1214" i="34"/>
  <c r="W1218" i="34"/>
  <c r="U1218" i="34"/>
  <c r="W1758" i="34"/>
  <c r="U1758" i="34"/>
  <c r="A1758" i="34"/>
  <c r="W1762" i="34"/>
  <c r="U1762" i="34"/>
  <c r="A1762" i="34"/>
  <c r="U1788" i="34"/>
  <c r="W1788" i="34"/>
  <c r="A1788" i="34"/>
  <c r="U1792" i="34"/>
  <c r="W1792" i="34"/>
  <c r="A1792" i="34"/>
  <c r="U1813" i="34"/>
  <c r="W1813" i="34"/>
  <c r="A1813" i="34"/>
  <c r="U1817" i="34"/>
  <c r="W1817" i="34"/>
  <c r="A1817" i="34"/>
  <c r="U1844" i="34"/>
  <c r="W1844" i="34"/>
  <c r="A1844" i="34"/>
  <c r="W1597" i="34"/>
  <c r="U1597" i="34"/>
  <c r="A1597" i="34"/>
  <c r="W1601" i="34"/>
  <c r="U1601" i="34"/>
  <c r="A1601" i="34"/>
  <c r="W1628" i="34"/>
  <c r="U1628" i="34"/>
  <c r="A1628" i="34"/>
  <c r="W1632" i="34"/>
  <c r="U1632" i="34"/>
  <c r="A1632" i="34"/>
  <c r="W1700" i="34"/>
  <c r="U1700" i="34"/>
  <c r="A1700" i="34"/>
  <c r="W1704" i="34"/>
  <c r="U1704" i="34"/>
  <c r="A1704" i="34"/>
  <c r="U1756" i="34"/>
  <c r="W1756" i="34"/>
  <c r="A1756" i="34"/>
  <c r="W1512" i="34"/>
  <c r="U1512" i="34"/>
  <c r="A1512" i="34"/>
  <c r="W1516" i="34"/>
  <c r="U1516" i="34"/>
  <c r="A1516" i="34"/>
  <c r="W1520" i="34"/>
  <c r="U1520" i="34"/>
  <c r="A1520" i="34"/>
  <c r="U1542" i="34"/>
  <c r="W1542" i="34"/>
  <c r="A1542" i="34"/>
  <c r="U1546" i="34"/>
  <c r="W1546" i="34"/>
  <c r="A1546" i="34"/>
  <c r="U1591" i="34"/>
  <c r="W1591" i="34"/>
  <c r="A1591" i="34"/>
  <c r="U1595" i="34"/>
  <c r="W1595" i="34"/>
  <c r="A1595" i="34"/>
  <c r="U1365" i="34"/>
  <c r="W1365" i="34"/>
  <c r="A1365" i="34"/>
  <c r="U1369" i="34"/>
  <c r="W1369" i="34"/>
  <c r="A1369" i="34"/>
  <c r="U1393" i="34"/>
  <c r="W1393" i="34"/>
  <c r="A1393" i="34"/>
  <c r="U1397" i="34"/>
  <c r="W1397" i="34"/>
  <c r="A1397" i="34"/>
  <c r="W1416" i="34"/>
  <c r="U1416" i="34"/>
  <c r="A1416" i="34"/>
  <c r="W1420" i="34"/>
  <c r="U1420" i="34"/>
  <c r="A1420" i="34"/>
  <c r="U1240" i="34"/>
  <c r="W1240" i="34"/>
  <c r="U1244" i="34"/>
  <c r="W1244" i="34"/>
  <c r="A1244" i="34"/>
  <c r="W1283" i="34"/>
  <c r="U1283" i="34"/>
  <c r="A1283" i="34"/>
  <c r="W1287" i="34"/>
  <c r="U1287" i="34"/>
  <c r="A1287" i="34"/>
  <c r="U1321" i="34"/>
  <c r="W1321" i="34"/>
  <c r="A1321" i="34"/>
  <c r="U1325" i="34"/>
  <c r="W1325" i="34"/>
  <c r="A1325" i="34"/>
  <c r="U1329" i="34"/>
  <c r="W1329" i="34"/>
  <c r="A1329" i="34"/>
  <c r="W1206" i="34"/>
  <c r="U1206" i="34"/>
  <c r="W1210" i="34"/>
  <c r="U1210" i="34"/>
  <c r="W1238" i="34"/>
  <c r="U1238" i="34"/>
  <c r="U1785" i="34"/>
  <c r="W1785" i="34"/>
  <c r="A1785" i="34"/>
  <c r="W1739" i="34"/>
  <c r="U1739" i="34"/>
  <c r="A1739" i="34"/>
  <c r="W1735" i="34"/>
  <c r="U1735" i="34"/>
  <c r="A1735" i="34"/>
  <c r="U1724" i="34"/>
  <c r="W1724" i="34"/>
  <c r="A1724" i="34"/>
  <c r="U1720" i="34"/>
  <c r="W1720" i="34"/>
  <c r="A1720" i="34"/>
  <c r="U1687" i="34"/>
  <c r="W1687" i="34"/>
  <c r="A1687" i="34"/>
  <c r="U1683" i="34"/>
  <c r="W1683" i="34"/>
  <c r="A1683" i="34"/>
  <c r="U1662" i="34"/>
  <c r="W1662" i="34"/>
  <c r="A1662" i="34"/>
  <c r="U1658" i="34"/>
  <c r="W1658" i="34"/>
  <c r="A1658" i="34"/>
  <c r="U1654" i="34"/>
  <c r="W1654" i="34"/>
  <c r="A1654" i="34"/>
  <c r="W1649" i="34"/>
  <c r="U1649" i="34"/>
  <c r="A1649" i="34"/>
  <c r="W1645" i="34"/>
  <c r="U1645" i="34"/>
  <c r="A1645" i="34"/>
  <c r="U1563" i="34"/>
  <c r="W1563" i="34"/>
  <c r="A1563" i="34"/>
  <c r="U1559" i="34"/>
  <c r="W1559" i="34"/>
  <c r="A1559" i="34"/>
  <c r="W1493" i="34"/>
  <c r="U1493" i="34"/>
  <c r="A1493" i="34"/>
  <c r="W1489" i="34"/>
  <c r="U1489" i="34"/>
  <c r="A1489" i="34"/>
  <c r="U1485" i="34"/>
  <c r="W1485" i="34"/>
  <c r="A1485" i="34"/>
  <c r="U1481" i="34"/>
  <c r="W1481" i="34"/>
  <c r="A1481" i="34"/>
  <c r="W1467" i="34"/>
  <c r="U1467" i="34"/>
  <c r="A1467" i="34"/>
  <c r="W1463" i="34"/>
  <c r="U1463" i="34"/>
  <c r="A1463" i="34"/>
  <c r="U1457" i="34"/>
  <c r="W1457" i="34"/>
  <c r="A1457" i="34"/>
  <c r="U1453" i="34"/>
  <c r="W1453" i="34"/>
  <c r="A1453" i="34"/>
  <c r="W1392" i="34"/>
  <c r="U1392" i="34"/>
  <c r="A1392" i="34"/>
  <c r="W1363" i="34"/>
  <c r="U1363" i="34"/>
  <c r="A1363" i="34"/>
  <c r="W1280" i="34"/>
  <c r="U1280" i="34"/>
  <c r="A1280" i="34"/>
  <c r="W1276" i="34"/>
  <c r="U1276" i="34"/>
  <c r="A1276" i="34"/>
  <c r="W1263" i="34"/>
  <c r="U1263" i="34"/>
  <c r="A1263" i="34"/>
  <c r="U1259" i="34"/>
  <c r="W1259" i="34"/>
  <c r="A1259" i="34"/>
  <c r="W1237" i="34"/>
  <c r="U1237" i="34"/>
  <c r="W1233" i="34"/>
  <c r="U1233" i="34"/>
  <c r="U1203" i="34"/>
  <c r="W1203" i="34"/>
  <c r="U1199" i="34"/>
  <c r="W1199" i="34"/>
  <c r="W1182" i="34"/>
  <c r="U1182" i="34"/>
  <c r="W1178" i="34"/>
  <c r="U1178" i="34"/>
  <c r="U1167" i="34"/>
  <c r="W1167" i="34"/>
  <c r="U1163" i="34"/>
  <c r="W1163" i="34"/>
  <c r="U1159" i="34"/>
  <c r="W1159" i="34"/>
  <c r="U1155" i="34"/>
  <c r="W1155" i="34"/>
  <c r="W328" i="34"/>
  <c r="U328" i="34"/>
  <c r="W333" i="34"/>
  <c r="U333" i="34"/>
  <c r="W337" i="34"/>
  <c r="U337" i="34"/>
  <c r="W342" i="34"/>
  <c r="U342" i="34"/>
  <c r="W346" i="34"/>
  <c r="U346" i="34"/>
  <c r="W352" i="34"/>
  <c r="U352" i="34"/>
  <c r="W357" i="34"/>
  <c r="U357" i="34"/>
  <c r="W362" i="34"/>
  <c r="U362" i="34"/>
  <c r="W495" i="34"/>
  <c r="U495" i="34"/>
  <c r="W500" i="34"/>
  <c r="U500" i="34"/>
  <c r="W504" i="34"/>
  <c r="U504" i="34"/>
  <c r="W509" i="34"/>
  <c r="U509" i="34"/>
  <c r="W515" i="34"/>
  <c r="U515" i="34"/>
  <c r="W520" i="34"/>
  <c r="U520" i="34"/>
  <c r="W524" i="34"/>
  <c r="U524" i="34"/>
  <c r="W529" i="34"/>
  <c r="U529" i="34"/>
  <c r="W534" i="34"/>
  <c r="U534" i="34"/>
  <c r="W539" i="34"/>
  <c r="U539" i="34"/>
  <c r="W544" i="34"/>
  <c r="U544" i="34"/>
  <c r="W626" i="34"/>
  <c r="U626" i="34"/>
  <c r="W638" i="34"/>
  <c r="U638" i="34"/>
  <c r="W1011" i="34"/>
  <c r="U1011" i="34"/>
  <c r="W1016" i="34"/>
  <c r="U1016" i="34"/>
  <c r="W1020" i="34"/>
  <c r="U1020" i="34"/>
  <c r="W1025" i="34"/>
  <c r="U1025" i="34"/>
  <c r="W1030" i="34"/>
  <c r="U1030" i="34"/>
  <c r="W1034" i="34"/>
  <c r="U1034" i="34"/>
  <c r="W1040" i="34"/>
  <c r="U1040" i="34"/>
  <c r="W1044" i="34"/>
  <c r="U1044" i="34"/>
  <c r="W1048" i="34"/>
  <c r="U1048" i="34"/>
  <c r="W1053" i="34"/>
  <c r="U1053" i="34"/>
  <c r="W1057" i="34"/>
  <c r="U1057" i="34"/>
  <c r="W1061" i="34"/>
  <c r="U1061" i="34"/>
  <c r="W1066" i="34"/>
  <c r="U1066" i="34"/>
  <c r="W1071" i="34"/>
  <c r="U1071" i="34"/>
  <c r="W1075" i="34"/>
  <c r="U1075" i="34"/>
  <c r="W1079" i="34"/>
  <c r="U1079" i="34"/>
  <c r="U1083" i="34"/>
  <c r="W1083" i="34"/>
  <c r="U1088" i="34"/>
  <c r="W1088" i="34"/>
  <c r="U1092" i="34"/>
  <c r="W1092" i="34"/>
  <c r="W1847" i="34"/>
  <c r="U1847" i="34"/>
  <c r="A1847" i="34"/>
  <c r="W1851" i="34"/>
  <c r="U1851" i="34"/>
  <c r="A1851" i="34"/>
  <c r="U1318" i="34"/>
  <c r="W1318" i="34"/>
  <c r="A1318" i="34"/>
  <c r="U1215" i="34"/>
  <c r="W1215" i="34"/>
  <c r="U1219" i="34"/>
  <c r="W1219" i="34"/>
  <c r="W1759" i="34"/>
  <c r="U1759" i="34"/>
  <c r="A1759" i="34"/>
  <c r="W1763" i="34"/>
  <c r="U1763" i="34"/>
  <c r="A1763" i="34"/>
  <c r="U1789" i="34"/>
  <c r="W1789" i="34"/>
  <c r="A1789" i="34"/>
  <c r="U1793" i="34"/>
  <c r="W1793" i="34"/>
  <c r="A1793" i="34"/>
  <c r="W1814" i="34"/>
  <c r="U1814" i="34"/>
  <c r="A1814" i="34"/>
  <c r="W1818" i="34"/>
  <c r="U1818" i="34"/>
  <c r="A1818" i="34"/>
  <c r="U1845" i="34"/>
  <c r="W1845" i="34"/>
  <c r="A1845" i="34"/>
  <c r="U1598" i="34"/>
  <c r="W1598" i="34"/>
  <c r="A1598" i="34"/>
  <c r="U1602" i="34"/>
  <c r="W1602" i="34"/>
  <c r="A1602" i="34"/>
  <c r="W1629" i="34"/>
  <c r="U1629" i="34"/>
  <c r="A1629" i="34"/>
  <c r="W1633" i="34"/>
  <c r="U1633" i="34"/>
  <c r="A1633" i="34"/>
  <c r="W1701" i="34"/>
  <c r="U1701" i="34"/>
  <c r="A1701" i="34"/>
  <c r="W1705" i="34"/>
  <c r="U1705" i="34"/>
  <c r="A1705" i="34"/>
  <c r="U1757" i="34"/>
  <c r="W1757" i="34"/>
  <c r="A1757" i="34"/>
  <c r="W1513" i="34"/>
  <c r="U1513" i="34"/>
  <c r="A1513" i="34"/>
  <c r="W1517" i="34"/>
  <c r="U1517" i="34"/>
  <c r="A1517" i="34"/>
  <c r="U1539" i="34"/>
  <c r="W1539" i="34"/>
  <c r="A1539" i="34"/>
  <c r="U1543" i="34"/>
  <c r="W1543" i="34"/>
  <c r="A1543" i="34"/>
  <c r="U1570" i="34"/>
  <c r="W1570" i="34"/>
  <c r="A1570" i="34"/>
  <c r="W1592" i="34"/>
  <c r="U1592" i="34"/>
  <c r="A1592" i="34"/>
  <c r="W1332" i="34"/>
  <c r="U1332" i="34"/>
  <c r="A1332" i="34"/>
  <c r="U1366" i="34"/>
  <c r="W1366" i="34"/>
  <c r="A1366" i="34"/>
  <c r="U1370" i="34"/>
  <c r="W1370" i="34"/>
  <c r="A1370" i="34"/>
  <c r="U1394" i="34"/>
  <c r="W1394" i="34"/>
  <c r="A1394" i="34"/>
  <c r="U1398" i="34"/>
  <c r="W1398" i="34"/>
  <c r="A1398" i="34"/>
  <c r="U1417" i="34"/>
  <c r="W1417" i="34"/>
  <c r="A1417" i="34"/>
  <c r="W1431" i="34"/>
  <c r="U1431" i="34"/>
  <c r="A1431" i="34"/>
  <c r="W1241" i="34"/>
  <c r="U1241" i="34"/>
  <c r="W1245" i="34"/>
  <c r="U1245" i="34"/>
  <c r="A1245" i="34"/>
  <c r="W1284" i="34"/>
  <c r="U1284" i="34"/>
  <c r="A1284" i="34"/>
  <c r="W1288" i="34"/>
  <c r="U1288" i="34"/>
  <c r="A1288" i="34"/>
  <c r="U1322" i="34"/>
  <c r="W1322" i="34"/>
  <c r="A1322" i="34"/>
  <c r="U1326" i="34"/>
  <c r="W1326" i="34"/>
  <c r="A1326" i="34"/>
  <c r="U1330" i="34"/>
  <c r="W1330" i="34"/>
  <c r="A1330" i="34"/>
  <c r="U1207" i="34"/>
  <c r="W1207" i="34"/>
  <c r="U1211" i="34"/>
  <c r="W1211" i="34"/>
  <c r="U1239" i="34"/>
  <c r="W1239" i="34"/>
  <c r="U1784" i="34"/>
  <c r="W1784" i="34"/>
  <c r="A1784" i="34"/>
  <c r="W1738" i="34"/>
  <c r="U1738" i="34"/>
  <c r="A1738" i="34"/>
  <c r="W1734" i="34"/>
  <c r="U1734" i="34"/>
  <c r="A1734" i="34"/>
  <c r="W1723" i="34"/>
  <c r="U1723" i="34"/>
  <c r="A1723" i="34"/>
  <c r="W1719" i="34"/>
  <c r="U1719" i="34"/>
  <c r="A1719" i="34"/>
  <c r="U1686" i="34"/>
  <c r="W1686" i="34"/>
  <c r="A1686" i="34"/>
  <c r="U1682" i="34"/>
  <c r="W1682" i="34"/>
  <c r="A1682" i="34"/>
  <c r="W1661" i="34"/>
  <c r="U1661" i="34"/>
  <c r="A1661" i="34"/>
  <c r="W1657" i="34"/>
  <c r="U1657" i="34"/>
  <c r="A1657" i="34"/>
  <c r="W1652" i="34"/>
  <c r="U1652" i="34"/>
  <c r="A1652" i="34"/>
  <c r="W1648" i="34"/>
  <c r="U1648" i="34"/>
  <c r="A1648" i="34"/>
  <c r="W1644" i="34"/>
  <c r="U1644" i="34"/>
  <c r="A1644" i="34"/>
  <c r="U1562" i="34"/>
  <c r="W1562" i="34"/>
  <c r="A1562" i="34"/>
  <c r="W1496" i="34"/>
  <c r="U1496" i="34"/>
  <c r="A1496" i="34"/>
  <c r="W1492" i="34"/>
  <c r="U1492" i="34"/>
  <c r="A1492" i="34"/>
  <c r="W1488" i="34"/>
  <c r="U1488" i="34"/>
  <c r="A1488" i="34"/>
  <c r="U1484" i="34"/>
  <c r="W1484" i="34"/>
  <c r="A1484" i="34"/>
  <c r="U1470" i="34"/>
  <c r="W1470" i="34"/>
  <c r="A1470" i="34"/>
  <c r="U1466" i="34"/>
  <c r="W1466" i="34"/>
  <c r="A1466" i="34"/>
  <c r="W1460" i="34"/>
  <c r="U1460" i="34"/>
  <c r="A1460" i="34"/>
  <c r="W1456" i="34"/>
  <c r="U1456" i="34"/>
  <c r="A1456" i="34"/>
  <c r="W1452" i="34"/>
  <c r="U1452" i="34"/>
  <c r="A1452" i="34"/>
  <c r="W1391" i="34"/>
  <c r="U1391" i="34"/>
  <c r="A1391" i="34"/>
  <c r="U1362" i="34"/>
  <c r="W1362" i="34"/>
  <c r="A1362" i="34"/>
  <c r="W1279" i="34"/>
  <c r="U1279" i="34"/>
  <c r="A1279" i="34"/>
  <c r="W1275" i="34"/>
  <c r="U1275" i="34"/>
  <c r="A1275" i="34"/>
  <c r="U1262" i="34"/>
  <c r="W1262" i="34"/>
  <c r="A1262" i="34"/>
  <c r="U1258" i="34"/>
  <c r="W1258" i="34"/>
  <c r="A1258" i="34"/>
  <c r="U1236" i="34"/>
  <c r="W1236" i="34"/>
  <c r="U1232" i="34"/>
  <c r="W1232" i="34"/>
  <c r="W1202" i="34"/>
  <c r="U1202" i="34"/>
  <c r="W1198" i="34"/>
  <c r="U1198" i="34"/>
  <c r="W1181" i="34"/>
  <c r="U1181" i="34"/>
  <c r="W1177" i="34"/>
  <c r="U1177" i="34"/>
  <c r="W1166" i="34"/>
  <c r="U1166" i="34"/>
  <c r="W1162" i="34"/>
  <c r="U1162" i="34"/>
  <c r="W1158" i="34"/>
  <c r="U1158" i="34"/>
  <c r="W1154" i="34"/>
  <c r="U1154" i="34"/>
  <c r="W324" i="34"/>
  <c r="U324" i="34"/>
  <c r="W329" i="34"/>
  <c r="U329" i="34"/>
  <c r="W334" i="34"/>
  <c r="U334" i="34"/>
  <c r="W338" i="34"/>
  <c r="U338" i="34"/>
  <c r="W343" i="34"/>
  <c r="U343" i="34"/>
  <c r="W348" i="34"/>
  <c r="U348" i="34"/>
  <c r="W353" i="34"/>
  <c r="U353" i="34"/>
  <c r="W358" i="34"/>
  <c r="U358" i="34"/>
  <c r="W363" i="34"/>
  <c r="U363" i="34"/>
  <c r="W496" i="34"/>
  <c r="U496" i="34"/>
  <c r="W501" i="34"/>
  <c r="U501" i="34"/>
  <c r="W505" i="34"/>
  <c r="U505" i="34"/>
  <c r="W510" i="34"/>
  <c r="U510" i="34"/>
  <c r="W516" i="34"/>
  <c r="U516" i="34"/>
  <c r="W521" i="34"/>
  <c r="U521" i="34"/>
  <c r="W525" i="34"/>
  <c r="U525" i="34"/>
  <c r="W530" i="34"/>
  <c r="U530" i="34"/>
  <c r="W535" i="34"/>
  <c r="U535" i="34"/>
  <c r="W540" i="34"/>
  <c r="U540" i="34"/>
  <c r="W546" i="34"/>
  <c r="U546" i="34"/>
  <c r="U627" i="34"/>
  <c r="W627" i="34"/>
  <c r="W1007" i="34"/>
  <c r="U1007" i="34"/>
  <c r="W1012" i="34"/>
  <c r="U1012" i="34"/>
  <c r="W1017" i="34"/>
  <c r="U1017" i="34"/>
  <c r="W1021" i="34"/>
  <c r="U1021" i="34"/>
  <c r="W1026" i="34"/>
  <c r="U1026" i="34"/>
  <c r="W1031" i="34"/>
  <c r="U1031" i="34"/>
  <c r="W1036" i="34"/>
  <c r="U1036" i="34"/>
  <c r="W1041" i="34"/>
  <c r="U1041" i="34"/>
  <c r="W1045" i="34"/>
  <c r="U1045" i="34"/>
  <c r="W1049" i="34"/>
  <c r="U1049" i="34"/>
  <c r="W1054" i="34"/>
  <c r="U1054" i="34"/>
  <c r="W1058" i="34"/>
  <c r="U1058" i="34"/>
  <c r="W1062" i="34"/>
  <c r="U1062" i="34"/>
  <c r="W1067" i="34"/>
  <c r="U1067" i="34"/>
  <c r="W1072" i="34"/>
  <c r="U1072" i="34"/>
  <c r="W1076" i="34"/>
  <c r="U1076" i="34"/>
  <c r="W1080" i="34"/>
  <c r="U1080" i="34"/>
  <c r="W1084" i="34"/>
  <c r="U1084" i="34"/>
  <c r="W1089" i="34"/>
  <c r="U1089" i="34"/>
  <c r="W1093" i="34"/>
  <c r="U1093" i="34"/>
  <c r="U1892" i="34"/>
  <c r="W1892" i="34"/>
  <c r="A1892" i="34"/>
  <c r="U1848" i="34"/>
  <c r="W1848" i="34"/>
  <c r="A1848" i="34"/>
  <c r="U1852" i="34"/>
  <c r="W1852" i="34"/>
  <c r="A1852" i="34"/>
  <c r="U1148" i="34"/>
  <c r="W1148" i="34"/>
  <c r="U1216" i="34"/>
  <c r="W1216" i="34"/>
  <c r="U1760" i="34"/>
  <c r="W1760" i="34"/>
  <c r="A1760" i="34"/>
  <c r="U1764" i="34"/>
  <c r="W1764" i="34"/>
  <c r="A1764" i="34"/>
  <c r="W1790" i="34"/>
  <c r="U1790" i="34"/>
  <c r="A1790" i="34"/>
  <c r="W1794" i="34"/>
  <c r="U1794" i="34"/>
  <c r="A1794" i="34"/>
  <c r="W1815" i="34"/>
  <c r="U1815" i="34"/>
  <c r="A1815" i="34"/>
  <c r="W1819" i="34"/>
  <c r="U1819" i="34"/>
  <c r="A1819" i="34"/>
  <c r="W1846" i="34"/>
  <c r="U1846" i="34"/>
  <c r="A1846" i="34"/>
  <c r="U1599" i="34"/>
  <c r="W1599" i="34"/>
  <c r="A1599" i="34"/>
  <c r="U1603" i="34"/>
  <c r="W1603" i="34"/>
  <c r="A1603" i="34"/>
  <c r="U1630" i="34"/>
  <c r="W1630" i="34"/>
  <c r="A1630" i="34"/>
  <c r="U1671" i="34"/>
  <c r="W1671" i="34"/>
  <c r="A1671" i="34"/>
  <c r="U1702" i="34"/>
  <c r="W1702" i="34"/>
  <c r="A1702" i="34"/>
  <c r="U1706" i="34"/>
  <c r="W1706" i="34"/>
  <c r="A1706" i="34"/>
  <c r="W1439" i="34"/>
  <c r="U1439" i="34"/>
  <c r="A1439" i="34"/>
  <c r="U1514" i="34"/>
  <c r="W1514" i="34"/>
  <c r="A1514" i="34"/>
  <c r="U1518" i="34"/>
  <c r="W1518" i="34"/>
  <c r="A1518" i="34"/>
  <c r="W1540" i="34"/>
  <c r="U1540" i="34"/>
  <c r="A1540" i="34"/>
  <c r="W1544" i="34"/>
  <c r="U1544" i="34"/>
  <c r="A1544" i="34"/>
  <c r="W1589" i="34"/>
  <c r="U1589" i="34"/>
  <c r="A1589" i="34"/>
  <c r="W1593" i="34"/>
  <c r="U1593" i="34"/>
  <c r="A1593" i="34"/>
  <c r="U1333" i="34"/>
  <c r="W1333" i="34"/>
  <c r="A1333" i="34"/>
  <c r="W1367" i="34"/>
  <c r="U1367" i="34"/>
  <c r="A1367" i="34"/>
  <c r="W1371" i="34"/>
  <c r="U1371" i="34"/>
  <c r="A1371" i="34"/>
  <c r="W1395" i="34"/>
  <c r="U1395" i="34"/>
  <c r="A1395" i="34"/>
  <c r="W1399" i="34"/>
  <c r="U1399" i="34"/>
  <c r="A1399" i="34"/>
  <c r="U1418" i="34"/>
  <c r="W1418" i="34"/>
  <c r="A1418" i="34"/>
  <c r="W1432" i="34"/>
  <c r="U1432" i="34"/>
  <c r="A1432" i="34"/>
  <c r="W1242" i="34"/>
  <c r="U1242" i="34"/>
  <c r="A1242" i="34"/>
  <c r="U1281" i="34"/>
  <c r="W1281" i="34"/>
  <c r="A1281" i="34"/>
  <c r="U1285" i="34"/>
  <c r="W1285" i="34"/>
  <c r="A1285" i="34"/>
  <c r="W1319" i="34"/>
  <c r="U1319" i="34"/>
  <c r="A1319" i="34"/>
  <c r="W1323" i="34"/>
  <c r="U1323" i="34"/>
  <c r="A1323" i="34"/>
  <c r="W1327" i="34"/>
  <c r="U1327" i="34"/>
  <c r="A1327" i="34"/>
  <c r="W1331" i="34"/>
  <c r="U1331" i="34"/>
  <c r="A1331" i="34"/>
  <c r="U1208" i="34"/>
  <c r="W1208" i="34"/>
  <c r="U1212" i="34"/>
  <c r="W1212" i="34"/>
  <c r="W1153" i="34"/>
  <c r="U1153" i="34"/>
  <c r="W1783" i="34"/>
  <c r="U1783" i="34"/>
  <c r="A1783" i="34"/>
  <c r="U1737" i="34"/>
  <c r="W1737" i="34"/>
  <c r="A1737" i="34"/>
  <c r="W1726" i="34"/>
  <c r="U1726" i="34"/>
  <c r="A1726" i="34"/>
  <c r="W1722" i="34"/>
  <c r="U1722" i="34"/>
  <c r="A1722" i="34"/>
  <c r="W1689" i="34"/>
  <c r="U1689" i="34"/>
  <c r="A1689" i="34"/>
  <c r="W1685" i="34"/>
  <c r="U1685" i="34"/>
  <c r="A1685" i="34"/>
  <c r="W1664" i="34"/>
  <c r="U1664" i="34"/>
  <c r="A1664" i="34"/>
  <c r="W1660" i="34"/>
  <c r="U1660" i="34"/>
  <c r="A1660" i="34"/>
  <c r="W1656" i="34"/>
  <c r="U1656" i="34"/>
  <c r="A1656" i="34"/>
  <c r="U1651" i="34"/>
  <c r="W1651" i="34"/>
  <c r="A1651" i="34"/>
  <c r="U1647" i="34"/>
  <c r="W1647" i="34"/>
  <c r="A1647" i="34"/>
  <c r="W1565" i="34"/>
  <c r="U1565" i="34"/>
  <c r="A1565" i="34"/>
  <c r="W1561" i="34"/>
  <c r="U1561" i="34"/>
  <c r="A1561" i="34"/>
  <c r="U1495" i="34"/>
  <c r="W1495" i="34"/>
  <c r="A1495" i="34"/>
  <c r="U1491" i="34"/>
  <c r="W1491" i="34"/>
  <c r="A1491" i="34"/>
  <c r="U1487" i="34"/>
  <c r="W1487" i="34"/>
  <c r="A1487" i="34"/>
  <c r="W1483" i="34"/>
  <c r="U1483" i="34"/>
  <c r="A1483" i="34"/>
  <c r="U1469" i="34"/>
  <c r="W1469" i="34"/>
  <c r="A1469" i="34"/>
  <c r="U1465" i="34"/>
  <c r="W1465" i="34"/>
  <c r="A1465" i="34"/>
  <c r="W1459" i="34"/>
  <c r="U1459" i="34"/>
  <c r="A1459" i="34"/>
  <c r="W1455" i="34"/>
  <c r="U1455" i="34"/>
  <c r="A1455" i="34"/>
  <c r="U1446" i="34"/>
  <c r="W1446" i="34"/>
  <c r="A1446" i="34"/>
  <c r="U1390" i="34"/>
  <c r="W1390" i="34"/>
  <c r="A1390" i="34"/>
  <c r="U1361" i="34"/>
  <c r="W1361" i="34"/>
  <c r="A1361" i="34"/>
  <c r="U1278" i="34"/>
  <c r="W1278" i="34"/>
  <c r="A1278" i="34"/>
  <c r="U1274" i="34"/>
  <c r="W1274" i="34"/>
  <c r="A1274" i="34"/>
  <c r="W1261" i="34"/>
  <c r="U1261" i="34"/>
  <c r="A1261" i="34"/>
  <c r="W1257" i="34"/>
  <c r="U1257" i="34"/>
  <c r="A1257" i="34"/>
  <c r="U1235" i="34"/>
  <c r="W1235" i="34"/>
  <c r="W1205" i="34"/>
  <c r="U1205" i="34"/>
  <c r="W1201" i="34"/>
  <c r="U1201" i="34"/>
  <c r="W1197" i="34"/>
  <c r="U1197" i="34"/>
  <c r="U1180" i="34"/>
  <c r="W1180" i="34"/>
  <c r="U1176" i="34"/>
  <c r="W1176" i="34"/>
  <c r="W1165" i="34"/>
  <c r="U1165" i="34"/>
  <c r="W1161" i="34"/>
  <c r="U1161" i="34"/>
  <c r="W1157" i="34"/>
  <c r="U1157" i="34"/>
  <c r="U325" i="34"/>
  <c r="W325" i="34"/>
  <c r="U330" i="34"/>
  <c r="W330" i="34"/>
  <c r="U335" i="34"/>
  <c r="W335" i="34"/>
  <c r="U339" i="34"/>
  <c r="W339" i="34"/>
  <c r="U344" i="34"/>
  <c r="W344" i="34"/>
  <c r="U349" i="34"/>
  <c r="W349" i="34"/>
  <c r="U354" i="34"/>
  <c r="W354" i="34"/>
  <c r="U360" i="34"/>
  <c r="W360" i="34"/>
  <c r="U364" i="34"/>
  <c r="W364" i="34"/>
  <c r="U498" i="34"/>
  <c r="W498" i="34"/>
  <c r="U502" i="34"/>
  <c r="W502" i="34"/>
  <c r="U506" i="34"/>
  <c r="W506" i="34"/>
  <c r="U512" i="34"/>
  <c r="W512" i="34"/>
  <c r="U518" i="34"/>
  <c r="W518" i="34"/>
  <c r="U522" i="34"/>
  <c r="W522" i="34"/>
  <c r="U526" i="34"/>
  <c r="W526" i="34"/>
  <c r="U531" i="34"/>
  <c r="W531" i="34"/>
  <c r="U536" i="34"/>
  <c r="W536" i="34"/>
  <c r="U541" i="34"/>
  <c r="W541" i="34"/>
  <c r="U547" i="34"/>
  <c r="W547" i="34"/>
  <c r="U628" i="34"/>
  <c r="W628" i="34"/>
  <c r="U1009" i="34"/>
  <c r="W1009" i="34"/>
  <c r="U1013" i="34"/>
  <c r="W1013" i="34"/>
  <c r="U1018" i="34"/>
  <c r="W1018" i="34"/>
  <c r="U1022" i="34"/>
  <c r="W1022" i="34"/>
  <c r="U1027" i="34"/>
  <c r="W1027" i="34"/>
  <c r="U1032" i="34"/>
  <c r="W1032" i="34"/>
  <c r="U1037" i="34"/>
  <c r="W1037" i="34"/>
  <c r="U1042" i="34"/>
  <c r="W1042" i="34"/>
  <c r="U1046" i="34"/>
  <c r="W1046" i="34"/>
  <c r="U1050" i="34"/>
  <c r="W1050" i="34"/>
  <c r="U1055" i="34"/>
  <c r="W1055" i="34"/>
  <c r="U1059" i="34"/>
  <c r="W1059" i="34"/>
  <c r="U1064" i="34"/>
  <c r="W1064" i="34"/>
  <c r="U1069" i="34"/>
  <c r="W1069" i="34"/>
  <c r="U1073" i="34"/>
  <c r="W1073" i="34"/>
  <c r="U1077" i="34"/>
  <c r="W1077" i="34"/>
  <c r="W1081" i="34"/>
  <c r="U1081" i="34"/>
  <c r="W1085" i="34"/>
  <c r="U1085" i="34"/>
  <c r="W1090" i="34"/>
  <c r="U1090" i="34"/>
  <c r="W1094" i="34"/>
  <c r="U1094" i="34"/>
  <c r="B1140" i="34" l="1"/>
  <c r="A1140" i="34" s="1"/>
  <c r="B907" i="34"/>
  <c r="A907" i="34" s="1"/>
  <c r="B633" i="34"/>
  <c r="A633" i="34" s="1"/>
  <c r="B617" i="34"/>
  <c r="A617" i="34" s="1"/>
  <c r="U1140" i="34" l="1"/>
  <c r="W1140" i="34"/>
  <c r="U617" i="34"/>
  <c r="W617" i="34"/>
  <c r="U907" i="34"/>
  <c r="W907" i="34"/>
  <c r="U633" i="34"/>
  <c r="W633" i="34"/>
  <c r="F217" i="55"/>
  <c r="F218" i="55" s="1"/>
  <c r="E217" i="55"/>
  <c r="R234" i="60"/>
  <c r="C234" i="60" s="1"/>
  <c r="R203" i="60"/>
  <c r="C203" i="60" s="1"/>
  <c r="R222" i="60"/>
  <c r="C222" i="60" s="1"/>
  <c r="R209" i="60"/>
  <c r="C209" i="60" s="1"/>
  <c r="R237" i="60"/>
  <c r="C237" i="60" s="1"/>
  <c r="R189" i="60"/>
  <c r="C189" i="60" s="1"/>
  <c r="R156" i="60"/>
  <c r="C156" i="60" s="1"/>
  <c r="R211" i="60"/>
  <c r="C211" i="60" s="1"/>
  <c r="R238" i="60"/>
  <c r="C238" i="60" s="1"/>
  <c r="R218" i="60"/>
  <c r="C218" i="60" s="1"/>
  <c r="R185" i="60"/>
  <c r="C185" i="60" s="1"/>
  <c r="R217" i="60"/>
  <c r="C217" i="60" s="1"/>
  <c r="R192" i="60"/>
  <c r="C192" i="60" s="1"/>
  <c r="R172" i="60"/>
  <c r="C172" i="60" s="1"/>
  <c r="R155" i="60"/>
  <c r="C155" i="60" s="1"/>
  <c r="R236" i="60"/>
  <c r="C236" i="60" s="1"/>
  <c r="R166" i="60"/>
  <c r="C166" i="60" s="1"/>
  <c r="R193" i="60"/>
  <c r="C193" i="60" s="1"/>
  <c r="R157" i="60"/>
  <c r="C157" i="60" s="1"/>
  <c r="R229" i="60"/>
  <c r="C229" i="60" s="1"/>
  <c r="R180" i="60"/>
  <c r="C180" i="60" s="1"/>
  <c r="R161" i="60"/>
  <c r="C161" i="60" s="1"/>
  <c r="R212" i="60"/>
  <c r="C212" i="60" s="1"/>
  <c r="R200" i="60"/>
  <c r="C200" i="60" s="1"/>
  <c r="R197" i="60"/>
  <c r="C197" i="60" s="1"/>
  <c r="R165" i="60"/>
  <c r="C165" i="60" s="1"/>
  <c r="R163" i="60"/>
  <c r="C163" i="60" s="1"/>
  <c r="R150" i="60"/>
  <c r="C150" i="60" s="1"/>
  <c r="R231" i="60"/>
  <c r="C231" i="60" s="1"/>
  <c r="R196" i="60"/>
  <c r="C196" i="60" s="1"/>
  <c r="R230" i="60"/>
  <c r="C230" i="60" s="1"/>
  <c r="R226" i="60"/>
  <c r="C226" i="60" s="1"/>
  <c r="R194" i="60"/>
  <c r="C194" i="60" s="1"/>
  <c r="R162" i="60"/>
  <c r="C162" i="60" s="1"/>
  <c r="R148" i="60"/>
  <c r="C148" i="60" s="1"/>
  <c r="R151" i="60"/>
  <c r="C151" i="60" s="1"/>
  <c r="R149" i="60"/>
  <c r="C149" i="60" s="1"/>
  <c r="R152" i="60"/>
  <c r="C152" i="60" s="1"/>
  <c r="R153" i="60"/>
  <c r="C153" i="60" s="1"/>
  <c r="R154" i="60"/>
  <c r="C154" i="60" s="1"/>
  <c r="R158" i="60"/>
  <c r="C158" i="60" s="1"/>
  <c r="R159" i="60"/>
  <c r="C159" i="60" s="1"/>
  <c r="R160" i="60"/>
  <c r="C160" i="60" s="1"/>
  <c r="R164" i="60"/>
  <c r="C164" i="60" s="1"/>
  <c r="R167" i="60"/>
  <c r="C167" i="60" s="1"/>
  <c r="R168" i="60"/>
  <c r="C168" i="60" s="1"/>
  <c r="R169" i="60"/>
  <c r="C169" i="60" s="1"/>
  <c r="R170" i="60"/>
  <c r="C170" i="60" s="1"/>
  <c r="R171" i="60"/>
  <c r="C171" i="60" s="1"/>
  <c r="R173" i="60"/>
  <c r="C173" i="60" s="1"/>
  <c r="R174" i="60"/>
  <c r="C174" i="60" s="1"/>
  <c r="R175" i="60"/>
  <c r="C175" i="60" s="1"/>
  <c r="R176" i="60"/>
  <c r="C176" i="60" s="1"/>
  <c r="R177" i="60"/>
  <c r="C177" i="60" s="1"/>
  <c r="R178" i="60"/>
  <c r="C178" i="60" s="1"/>
  <c r="R179" i="60"/>
  <c r="C179" i="60" s="1"/>
  <c r="R181" i="60"/>
  <c r="C181" i="60" s="1"/>
  <c r="R182" i="60"/>
  <c r="C182" i="60" s="1"/>
  <c r="R183" i="60"/>
  <c r="C183" i="60" s="1"/>
  <c r="R184" i="60"/>
  <c r="C184" i="60" s="1"/>
  <c r="R186" i="60"/>
  <c r="C186" i="60" s="1"/>
  <c r="R187" i="60"/>
  <c r="C187" i="60" s="1"/>
  <c r="R188" i="60"/>
  <c r="C188" i="60" s="1"/>
  <c r="R190" i="60"/>
  <c r="C190" i="60" s="1"/>
  <c r="R191" i="60"/>
  <c r="C191" i="60" s="1"/>
  <c r="R195" i="60"/>
  <c r="C195" i="60" s="1"/>
  <c r="R198" i="60"/>
  <c r="C198" i="60" s="1"/>
  <c r="R199" i="60"/>
  <c r="C199" i="60" s="1"/>
  <c r="R201" i="60"/>
  <c r="C201" i="60" s="1"/>
  <c r="R202" i="60"/>
  <c r="C202" i="60" s="1"/>
  <c r="R204" i="60"/>
  <c r="C204" i="60" s="1"/>
  <c r="R205" i="60"/>
  <c r="C205" i="60" s="1"/>
  <c r="R206" i="60"/>
  <c r="C206" i="60" s="1"/>
  <c r="R207" i="60"/>
  <c r="C207" i="60" s="1"/>
  <c r="R208" i="60"/>
  <c r="C208" i="60" s="1"/>
  <c r="R210" i="60"/>
  <c r="C210" i="60" s="1"/>
  <c r="R213" i="60"/>
  <c r="C213" i="60" s="1"/>
  <c r="R214" i="60"/>
  <c r="C214" i="60" s="1"/>
  <c r="R215" i="60"/>
  <c r="C215" i="60" s="1"/>
  <c r="R216" i="60"/>
  <c r="C216" i="60" s="1"/>
  <c r="R219" i="60"/>
  <c r="C219" i="60" s="1"/>
  <c r="R220" i="60"/>
  <c r="C220" i="60" s="1"/>
  <c r="R221" i="60"/>
  <c r="C221" i="60" s="1"/>
  <c r="R223" i="60"/>
  <c r="C223" i="60" s="1"/>
  <c r="R224" i="60"/>
  <c r="C224" i="60" s="1"/>
  <c r="R225" i="60"/>
  <c r="C225" i="60" s="1"/>
  <c r="R227" i="60"/>
  <c r="C227" i="60" s="1"/>
  <c r="R228" i="60"/>
  <c r="C228" i="60" s="1"/>
  <c r="R232" i="60"/>
  <c r="C232" i="60" s="1"/>
  <c r="R233" i="60"/>
  <c r="C233" i="60" s="1"/>
  <c r="R235" i="60"/>
  <c r="C235" i="60" s="1"/>
  <c r="R239" i="60"/>
  <c r="C239" i="60" s="1"/>
  <c r="R240" i="60"/>
  <c r="C240" i="60" s="1"/>
  <c r="R241" i="60"/>
  <c r="C241" i="60" s="1"/>
  <c r="B34" i="34" l="1"/>
  <c r="A34" i="34" s="1"/>
  <c r="B28" i="34"/>
  <c r="A28" i="34" s="1"/>
  <c r="B581" i="34"/>
  <c r="A581" i="34" s="1"/>
  <c r="B576" i="34"/>
  <c r="A576" i="34" s="1"/>
  <c r="B560" i="34"/>
  <c r="A560" i="34" s="1"/>
  <c r="U28" i="34" l="1"/>
  <c r="W28" i="34"/>
  <c r="U576" i="34"/>
  <c r="W576" i="34"/>
  <c r="U581" i="34"/>
  <c r="W581" i="34"/>
  <c r="U560" i="34"/>
  <c r="W560" i="34"/>
  <c r="W34" i="34"/>
  <c r="U34" i="34"/>
  <c r="W22" i="34"/>
  <c r="U22" i="34"/>
  <c r="B884" i="34"/>
  <c r="A884" i="34" s="1"/>
  <c r="B870" i="34"/>
  <c r="A870" i="34" s="1"/>
  <c r="U870" i="34" l="1"/>
  <c r="W870" i="34"/>
  <c r="W884" i="34"/>
  <c r="U884" i="34"/>
  <c r="U397" i="34"/>
  <c r="W397" i="34"/>
  <c r="B693" i="34"/>
  <c r="A693" i="34" s="1"/>
  <c r="B668" i="34"/>
  <c r="A668" i="34" s="1"/>
  <c r="B703" i="34"/>
  <c r="A703" i="34" s="1"/>
  <c r="B813" i="34"/>
  <c r="A813" i="34" s="1"/>
  <c r="U703" i="34" l="1"/>
  <c r="W703" i="34"/>
  <c r="W164" i="34"/>
  <c r="U164" i="34"/>
  <c r="W668" i="34"/>
  <c r="U668" i="34"/>
  <c r="U203" i="34"/>
  <c r="W203" i="34"/>
  <c r="U813" i="34"/>
  <c r="W813" i="34"/>
  <c r="U100" i="34"/>
  <c r="W100" i="34"/>
  <c r="U693" i="34"/>
  <c r="W693" i="34"/>
  <c r="U104" i="34"/>
  <c r="W104" i="34"/>
  <c r="W107" i="34"/>
  <c r="U107" i="34"/>
  <c r="O5" i="78"/>
  <c r="N5" i="78"/>
  <c r="U155" i="34" l="1"/>
  <c r="W155" i="34"/>
  <c r="U147" i="34"/>
  <c r="W147" i="34"/>
  <c r="W150" i="34"/>
  <c r="U150" i="34"/>
  <c r="B869" i="34"/>
  <c r="A869" i="34" s="1"/>
  <c r="B862" i="34"/>
  <c r="A862" i="34" s="1"/>
  <c r="B861" i="34"/>
  <c r="A861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807" i="34"/>
  <c r="A807" i="34" s="1"/>
  <c r="B806" i="34"/>
  <c r="A806" i="34" s="1"/>
  <c r="B804" i="34"/>
  <c r="A804" i="34" s="1"/>
  <c r="B803" i="34"/>
  <c r="A803" i="34" s="1"/>
  <c r="B791" i="34"/>
  <c r="A791" i="34" s="1"/>
  <c r="B790" i="34"/>
  <c r="A790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78" i="34"/>
  <c r="A778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2" i="34"/>
  <c r="A772" i="34" s="1"/>
  <c r="B771" i="34"/>
  <c r="A771" i="34" s="1"/>
  <c r="B770" i="34"/>
  <c r="A770" i="34" s="1"/>
  <c r="B756" i="34"/>
  <c r="A756" i="34" s="1"/>
  <c r="B755" i="34"/>
  <c r="A755" i="34" s="1"/>
  <c r="B754" i="34"/>
  <c r="A754" i="34" s="1"/>
  <c r="B753" i="34"/>
  <c r="A753" i="34" s="1"/>
  <c r="B752" i="34"/>
  <c r="A752" i="34" s="1"/>
  <c r="B751" i="34"/>
  <c r="A751" i="34" s="1"/>
  <c r="B750" i="34"/>
  <c r="A750" i="34" s="1"/>
  <c r="B749" i="34"/>
  <c r="A749" i="34" s="1"/>
  <c r="B748" i="34"/>
  <c r="A748" i="34" s="1"/>
  <c r="B728" i="34"/>
  <c r="A728" i="34" s="1"/>
  <c r="B727" i="34"/>
  <c r="A727" i="34" s="1"/>
  <c r="B726" i="34"/>
  <c r="A726" i="34" s="1"/>
  <c r="B725" i="34"/>
  <c r="A725" i="34" s="1"/>
  <c r="B723" i="34"/>
  <c r="A723" i="34" s="1"/>
  <c r="B722" i="34"/>
  <c r="A722" i="34" s="1"/>
  <c r="B721" i="34"/>
  <c r="A721" i="34" s="1"/>
  <c r="B720" i="34"/>
  <c r="A720" i="34" s="1"/>
  <c r="B719" i="34"/>
  <c r="A719" i="34" s="1"/>
  <c r="B690" i="34"/>
  <c r="A690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54" i="34"/>
  <c r="A654" i="34" s="1"/>
  <c r="B653" i="34"/>
  <c r="A653" i="34" s="1"/>
  <c r="B651" i="34"/>
  <c r="A651" i="34" s="1"/>
  <c r="B650" i="34"/>
  <c r="A650" i="34" s="1"/>
  <c r="B648" i="34"/>
  <c r="A648" i="34" s="1"/>
  <c r="B647" i="34"/>
  <c r="A647" i="34" s="1"/>
  <c r="B646" i="34"/>
  <c r="A646" i="34" s="1"/>
  <c r="B645" i="34"/>
  <c r="A645" i="34" s="1"/>
  <c r="B644" i="34"/>
  <c r="A644" i="34" s="1"/>
  <c r="B612" i="34"/>
  <c r="A612" i="34" s="1"/>
  <c r="B611" i="34"/>
  <c r="A611" i="34" s="1"/>
  <c r="B610" i="34"/>
  <c r="A610" i="34" s="1"/>
  <c r="B609" i="34"/>
  <c r="A609" i="34" s="1"/>
  <c r="B608" i="34"/>
  <c r="A608" i="34" s="1"/>
  <c r="B607" i="34"/>
  <c r="A607" i="34" s="1"/>
  <c r="B606" i="34"/>
  <c r="A606" i="34" s="1"/>
  <c r="B605" i="34"/>
  <c r="A605" i="34" s="1"/>
  <c r="B604" i="34"/>
  <c r="A604" i="34" s="1"/>
  <c r="B44" i="34"/>
  <c r="A44" i="34" s="1"/>
  <c r="B43" i="34"/>
  <c r="A43" i="34" s="1"/>
  <c r="B42" i="34"/>
  <c r="A42" i="34" s="1"/>
  <c r="B41" i="34"/>
  <c r="A41" i="34" s="1"/>
  <c r="B40" i="34"/>
  <c r="A40" i="34" s="1"/>
  <c r="B39" i="34"/>
  <c r="A39" i="34" s="1"/>
  <c r="B38" i="34"/>
  <c r="A38" i="34" s="1"/>
  <c r="B37" i="34"/>
  <c r="A37" i="34" s="1"/>
  <c r="B36" i="34"/>
  <c r="A36" i="34" s="1"/>
  <c r="B35" i="34"/>
  <c r="A35" i="34" s="1"/>
  <c r="B556" i="34"/>
  <c r="A556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890" i="34"/>
  <c r="A890" i="34" s="1"/>
  <c r="B889" i="34"/>
  <c r="A889" i="34" s="1"/>
  <c r="B887" i="34"/>
  <c r="A887" i="34" s="1"/>
  <c r="B886" i="34"/>
  <c r="A886" i="34" s="1"/>
  <c r="B885" i="34"/>
  <c r="A885" i="34" s="1"/>
  <c r="B33" i="34"/>
  <c r="A33" i="34" s="1"/>
  <c r="B32" i="34"/>
  <c r="A32" i="34" s="1"/>
  <c r="B31" i="34"/>
  <c r="A31" i="34" s="1"/>
  <c r="B30" i="34"/>
  <c r="A30" i="34" s="1"/>
  <c r="B29" i="34"/>
  <c r="A29" i="34" s="1"/>
  <c r="B27" i="34"/>
  <c r="A27" i="34" s="1"/>
  <c r="B26" i="34"/>
  <c r="A26" i="34" s="1"/>
  <c r="B1100" i="34"/>
  <c r="A1100" i="34" s="1"/>
  <c r="B1099" i="34"/>
  <c r="A1099" i="34" s="1"/>
  <c r="B1098" i="34"/>
  <c r="A1098" i="34" s="1"/>
  <c r="B1097" i="34"/>
  <c r="A1097" i="34" s="1"/>
  <c r="B1096" i="34"/>
  <c r="A1096" i="34" s="1"/>
  <c r="B1095" i="34"/>
  <c r="A1095" i="34" s="1"/>
  <c r="B640" i="34"/>
  <c r="A640" i="34" s="1"/>
  <c r="B639" i="34"/>
  <c r="A639" i="34" s="1"/>
  <c r="B632" i="34"/>
  <c r="A632" i="34" s="1"/>
  <c r="B631" i="34"/>
  <c r="A631" i="34" s="1"/>
  <c r="B629" i="34"/>
  <c r="A629" i="34" s="1"/>
  <c r="B603" i="34"/>
  <c r="A603" i="34" s="1"/>
  <c r="B602" i="34"/>
  <c r="A602" i="34" s="1"/>
  <c r="B600" i="34"/>
  <c r="A600" i="34" s="1"/>
  <c r="B599" i="34"/>
  <c r="A599" i="34" s="1"/>
  <c r="B598" i="34"/>
  <c r="A598" i="34" s="1"/>
  <c r="B597" i="34"/>
  <c r="A597" i="34" s="1"/>
  <c r="B596" i="34"/>
  <c r="A596" i="34" s="1"/>
  <c r="B594" i="34"/>
  <c r="A594" i="34" s="1"/>
  <c r="B593" i="34"/>
  <c r="A593" i="34" s="1"/>
  <c r="B591" i="34"/>
  <c r="A591" i="34" s="1"/>
  <c r="B590" i="34"/>
  <c r="A590" i="34" s="1"/>
  <c r="B588" i="34"/>
  <c r="A588" i="34" s="1"/>
  <c r="B587" i="34"/>
  <c r="A587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0" i="34"/>
  <c r="A580" i="34" s="1"/>
  <c r="B579" i="34"/>
  <c r="A579" i="34" s="1"/>
  <c r="B578" i="34"/>
  <c r="A578" i="34" s="1"/>
  <c r="B577" i="34"/>
  <c r="A577" i="34" s="1"/>
  <c r="B575" i="34"/>
  <c r="A575" i="34" s="1"/>
  <c r="B573" i="34"/>
  <c r="A573" i="34" s="1"/>
  <c r="B572" i="34"/>
  <c r="A572" i="34" s="1"/>
  <c r="B571" i="34"/>
  <c r="A571" i="34" s="1"/>
  <c r="B570" i="34"/>
  <c r="A570" i="34" s="1"/>
  <c r="B569" i="34"/>
  <c r="A569" i="34" s="1"/>
  <c r="B567" i="34"/>
  <c r="A567" i="34" s="1"/>
  <c r="B566" i="34"/>
  <c r="A566" i="34" s="1"/>
  <c r="B564" i="34"/>
  <c r="A564" i="34" s="1"/>
  <c r="B563" i="34"/>
  <c r="A563" i="34" s="1"/>
  <c r="B561" i="34"/>
  <c r="A561" i="34" s="1"/>
  <c r="B558" i="34"/>
  <c r="A558" i="34" s="1"/>
  <c r="B557" i="34"/>
  <c r="A557" i="34" s="1"/>
  <c r="B883" i="34"/>
  <c r="A883" i="34" s="1"/>
  <c r="B871" i="34"/>
  <c r="A871" i="34" s="1"/>
  <c r="B1680" i="34"/>
  <c r="B1678" i="34"/>
  <c r="B1676" i="34"/>
  <c r="B1675" i="34"/>
  <c r="B1674" i="34"/>
  <c r="B1673" i="34"/>
  <c r="B1667" i="34"/>
  <c r="B1666" i="34"/>
  <c r="B1665" i="34"/>
  <c r="B1653" i="34"/>
  <c r="B1566" i="34"/>
  <c r="B1558" i="34"/>
  <c r="B1557" i="34"/>
  <c r="B1556" i="34"/>
  <c r="B1555" i="34"/>
  <c r="B1498" i="34"/>
  <c r="B1497" i="34"/>
  <c r="B1499" i="34"/>
  <c r="B1480" i="34"/>
  <c r="B1478" i="34"/>
  <c r="B1477" i="34"/>
  <c r="B1476" i="34"/>
  <c r="B1462" i="34"/>
  <c r="B1461" i="34"/>
  <c r="B1451" i="34"/>
  <c r="B1450" i="34"/>
  <c r="B1449" i="34"/>
  <c r="B1448" i="34"/>
  <c r="B1447" i="34"/>
  <c r="B1443" i="34"/>
  <c r="B1442" i="34"/>
  <c r="B1426" i="34"/>
  <c r="B1297" i="34"/>
  <c r="B1299" i="34"/>
  <c r="B1298" i="34"/>
  <c r="B1255" i="34"/>
  <c r="B1254" i="34"/>
  <c r="B1222" i="34"/>
  <c r="A1222" i="34" s="1"/>
  <c r="B1186" i="34"/>
  <c r="A1186" i="34" s="1"/>
  <c r="B1185" i="34"/>
  <c r="A1185" i="34" s="1"/>
  <c r="B1184" i="34"/>
  <c r="A1184" i="34" s="1"/>
  <c r="B1183" i="34"/>
  <c r="A1183" i="34" s="1"/>
  <c r="B1174" i="34"/>
  <c r="A1174" i="34" s="1"/>
  <c r="B1173" i="34"/>
  <c r="A1173" i="34" s="1"/>
  <c r="B1172" i="34"/>
  <c r="A1172" i="34" s="1"/>
  <c r="B1171" i="34"/>
  <c r="A1171" i="34" s="1"/>
  <c r="B1170" i="34"/>
  <c r="A1170" i="34" s="1"/>
  <c r="B1169" i="34"/>
  <c r="A1169" i="34" s="1"/>
  <c r="B1168" i="34"/>
  <c r="A1168" i="34" s="1"/>
  <c r="B1151" i="34"/>
  <c r="A1151" i="34" s="1"/>
  <c r="B1150" i="34"/>
  <c r="A1150" i="34" s="1"/>
  <c r="B1865" i="34"/>
  <c r="B1870" i="34"/>
  <c r="B1869" i="34"/>
  <c r="B1641" i="34"/>
  <c r="B1643" i="34"/>
  <c r="B1642" i="34"/>
  <c r="B1441" i="34"/>
  <c r="B1445" i="34"/>
  <c r="B1444" i="34"/>
  <c r="B1146" i="34"/>
  <c r="A1146" i="34" s="1"/>
  <c r="B1145" i="34"/>
  <c r="A1145" i="34" s="1"/>
  <c r="B1144" i="34"/>
  <c r="A1144" i="34" s="1"/>
  <c r="B1132" i="34"/>
  <c r="A1132" i="34" s="1"/>
  <c r="B1131" i="34"/>
  <c r="A1131" i="34" s="1"/>
  <c r="B1130" i="34"/>
  <c r="A1130" i="34" s="1"/>
  <c r="B1129" i="34"/>
  <c r="A1129" i="34" s="1"/>
  <c r="B1128" i="34"/>
  <c r="A1128" i="34" s="1"/>
  <c r="B1127" i="34"/>
  <c r="A1127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117" i="34"/>
  <c r="A1117" i="34" s="1"/>
  <c r="B1116" i="34"/>
  <c r="A1116" i="34" s="1"/>
  <c r="B1115" i="34"/>
  <c r="A111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101" i="34"/>
  <c r="A1101" i="34" s="1"/>
  <c r="B61" i="34"/>
  <c r="A61" i="34" s="1"/>
  <c r="B60" i="34"/>
  <c r="A60" i="34" s="1"/>
  <c r="B59" i="34"/>
  <c r="A59" i="34" s="1"/>
  <c r="B58" i="34"/>
  <c r="A58" i="34" s="1"/>
  <c r="B57" i="34"/>
  <c r="A57" i="34" s="1"/>
  <c r="B56" i="34"/>
  <c r="A56" i="34" s="1"/>
  <c r="B55" i="34"/>
  <c r="A55" i="34" s="1"/>
  <c r="B54" i="34"/>
  <c r="A54" i="34" s="1"/>
  <c r="B53" i="34"/>
  <c r="A53" i="34" s="1"/>
  <c r="B52" i="34"/>
  <c r="A52" i="34" s="1"/>
  <c r="B51" i="34"/>
  <c r="A51" i="34" s="1"/>
  <c r="B50" i="34"/>
  <c r="A50" i="34" s="1"/>
  <c r="B49" i="34"/>
  <c r="A49" i="34" s="1"/>
  <c r="B48" i="34"/>
  <c r="A48" i="34" s="1"/>
  <c r="B47" i="34"/>
  <c r="A47" i="34" s="1"/>
  <c r="B46" i="34"/>
  <c r="A46" i="34" s="1"/>
  <c r="B45" i="34"/>
  <c r="A45" i="34" s="1"/>
  <c r="B1500" i="34"/>
  <c r="B1471" i="34"/>
  <c r="B1868" i="34"/>
  <c r="B1867" i="34"/>
  <c r="B1872" i="34"/>
  <c r="B1871" i="34"/>
  <c r="B1866" i="34"/>
  <c r="B1743" i="34"/>
  <c r="B1728" i="34"/>
  <c r="B1727" i="34"/>
  <c r="B1730" i="34"/>
  <c r="B1729" i="34"/>
  <c r="B1718" i="34"/>
  <c r="B1717" i="34"/>
  <c r="B1716" i="34"/>
  <c r="B1715" i="34"/>
  <c r="W416" i="34" l="1"/>
  <c r="O416" i="34"/>
  <c r="P416" i="34"/>
  <c r="Q416" i="34"/>
  <c r="U416" i="34"/>
  <c r="Z416" i="34"/>
  <c r="W1718" i="34"/>
  <c r="U1718" i="34"/>
  <c r="A1718" i="34"/>
  <c r="W1715" i="34"/>
  <c r="U1715" i="34"/>
  <c r="A1715" i="34"/>
  <c r="W1867" i="34"/>
  <c r="U1867" i="34"/>
  <c r="A1867" i="34"/>
  <c r="U53" i="34"/>
  <c r="W53" i="34"/>
  <c r="U1108" i="34"/>
  <c r="W1108" i="34"/>
  <c r="U1716" i="34"/>
  <c r="W1716" i="34"/>
  <c r="A1716" i="34"/>
  <c r="W1730" i="34"/>
  <c r="U1730" i="34"/>
  <c r="A1730" i="34"/>
  <c r="S1866" i="34"/>
  <c r="W1866" i="34"/>
  <c r="T1866" i="34"/>
  <c r="U1866" i="34"/>
  <c r="R1866" i="34"/>
  <c r="A1866" i="34"/>
  <c r="U1868" i="34"/>
  <c r="W1868" i="34"/>
  <c r="A1868" i="34"/>
  <c r="W46" i="34"/>
  <c r="U46" i="34"/>
  <c r="W50" i="34"/>
  <c r="U50" i="34"/>
  <c r="W54" i="34"/>
  <c r="U54" i="34"/>
  <c r="W58" i="34"/>
  <c r="U58" i="34"/>
  <c r="W1101" i="34"/>
  <c r="U1101" i="34"/>
  <c r="W1105" i="34"/>
  <c r="U1105" i="34"/>
  <c r="W1109" i="34"/>
  <c r="U1109" i="34"/>
  <c r="W1113" i="34"/>
  <c r="U1113" i="34"/>
  <c r="W1117" i="34"/>
  <c r="U1117" i="34"/>
  <c r="W1121" i="34"/>
  <c r="U1121" i="34"/>
  <c r="W1125" i="34"/>
  <c r="U1125" i="34"/>
  <c r="W1129" i="34"/>
  <c r="U1129" i="34"/>
  <c r="U1144" i="34"/>
  <c r="W1144" i="34"/>
  <c r="U1445" i="34"/>
  <c r="W1445" i="34"/>
  <c r="A1445" i="34"/>
  <c r="W1641" i="34"/>
  <c r="U1641" i="34"/>
  <c r="A1641" i="34"/>
  <c r="W1150" i="34"/>
  <c r="U1150" i="34"/>
  <c r="R1170" i="34"/>
  <c r="S1170" i="34"/>
  <c r="W1170" i="34"/>
  <c r="T1170" i="34"/>
  <c r="U1170" i="34"/>
  <c r="R1174" i="34"/>
  <c r="S1174" i="34"/>
  <c r="W1174" i="34"/>
  <c r="T1174" i="34"/>
  <c r="U1174" i="34"/>
  <c r="R1186" i="34"/>
  <c r="S1186" i="34"/>
  <c r="W1186" i="34"/>
  <c r="T1186" i="34"/>
  <c r="U1186" i="34"/>
  <c r="U1298" i="34"/>
  <c r="W1298" i="34"/>
  <c r="A1298" i="34"/>
  <c r="U1442" i="34"/>
  <c r="W1442" i="34"/>
  <c r="A1442" i="34"/>
  <c r="U1449" i="34"/>
  <c r="W1449" i="34"/>
  <c r="A1449" i="34"/>
  <c r="U1462" i="34"/>
  <c r="W1462" i="34"/>
  <c r="A1462" i="34"/>
  <c r="R1480" i="34"/>
  <c r="S1480" i="34"/>
  <c r="W1480" i="34"/>
  <c r="T1480" i="34"/>
  <c r="U1480" i="34"/>
  <c r="A1480" i="34"/>
  <c r="U1555" i="34"/>
  <c r="W1555" i="34"/>
  <c r="A1555" i="34"/>
  <c r="U1566" i="34"/>
  <c r="R1566" i="34"/>
  <c r="S1566" i="34"/>
  <c r="W1566" i="34"/>
  <c r="T1566" i="34"/>
  <c r="A1566" i="34"/>
  <c r="U1667" i="34"/>
  <c r="W1667" i="34"/>
  <c r="A1667" i="34"/>
  <c r="S1676" i="34"/>
  <c r="W1676" i="34"/>
  <c r="T1676" i="34"/>
  <c r="U1676" i="34"/>
  <c r="R1676" i="34"/>
  <c r="A1676" i="34"/>
  <c r="U883" i="34"/>
  <c r="W883" i="34"/>
  <c r="W558" i="34"/>
  <c r="U558" i="34"/>
  <c r="U566" i="34"/>
  <c r="W566" i="34"/>
  <c r="U571" i="34"/>
  <c r="W571" i="34"/>
  <c r="U577" i="34"/>
  <c r="W577" i="34"/>
  <c r="W582" i="34"/>
  <c r="U582" i="34"/>
  <c r="W586" i="34"/>
  <c r="U586" i="34"/>
  <c r="W591" i="34"/>
  <c r="U591" i="34"/>
  <c r="W597" i="34"/>
  <c r="U597" i="34"/>
  <c r="W602" i="34"/>
  <c r="U602" i="34"/>
  <c r="U632" i="34"/>
  <c r="W632" i="34"/>
  <c r="U1096" i="34"/>
  <c r="W1096" i="34"/>
  <c r="U1100" i="34"/>
  <c r="W1100" i="34"/>
  <c r="W26" i="34"/>
  <c r="U26" i="34"/>
  <c r="W31" i="34"/>
  <c r="U31" i="34"/>
  <c r="U886" i="34"/>
  <c r="W886" i="34"/>
  <c r="W379" i="34"/>
  <c r="U379" i="34"/>
  <c r="W384" i="34"/>
  <c r="U384" i="34"/>
  <c r="W389" i="34"/>
  <c r="U389" i="34"/>
  <c r="W393" i="34"/>
  <c r="U393" i="34"/>
  <c r="W402" i="34"/>
  <c r="U402" i="34"/>
  <c r="W407" i="34"/>
  <c r="U407" i="34"/>
  <c r="W412" i="34"/>
  <c r="U412" i="34"/>
  <c r="U417" i="34"/>
  <c r="W417" i="34"/>
  <c r="W550" i="34"/>
  <c r="U550" i="34"/>
  <c r="W554" i="34"/>
  <c r="U554" i="34"/>
  <c r="U37" i="34"/>
  <c r="W37" i="34"/>
  <c r="U41" i="34"/>
  <c r="W41" i="34"/>
  <c r="W214" i="34"/>
  <c r="U214" i="34"/>
  <c r="W223" i="34"/>
  <c r="U223" i="34"/>
  <c r="W227" i="34"/>
  <c r="U227" i="34"/>
  <c r="W234" i="34"/>
  <c r="U234" i="34"/>
  <c r="W238" i="34"/>
  <c r="U238" i="34"/>
  <c r="W242" i="34"/>
  <c r="U242" i="34"/>
  <c r="U260" i="34"/>
  <c r="W260" i="34"/>
  <c r="U264" i="34"/>
  <c r="W264" i="34"/>
  <c r="U370" i="34"/>
  <c r="W370" i="34"/>
  <c r="U377" i="34"/>
  <c r="W377" i="34"/>
  <c r="W606" i="34"/>
  <c r="U606" i="34"/>
  <c r="W610" i="34"/>
  <c r="U610" i="34"/>
  <c r="U645" i="34"/>
  <c r="W645" i="34"/>
  <c r="U650" i="34"/>
  <c r="W650" i="34"/>
  <c r="U682" i="34"/>
  <c r="W682" i="34"/>
  <c r="W686" i="34"/>
  <c r="U686" i="34"/>
  <c r="U690" i="34"/>
  <c r="W690" i="34"/>
  <c r="W722" i="34"/>
  <c r="U722" i="34"/>
  <c r="W727" i="34"/>
  <c r="U727" i="34"/>
  <c r="W750" i="34"/>
  <c r="U750" i="34"/>
  <c r="W754" i="34"/>
  <c r="U754" i="34"/>
  <c r="W771" i="34"/>
  <c r="U771" i="34"/>
  <c r="W775" i="34"/>
  <c r="U775" i="34"/>
  <c r="U782" i="34"/>
  <c r="W782" i="34"/>
  <c r="U786" i="34"/>
  <c r="W786" i="34"/>
  <c r="U791" i="34"/>
  <c r="W791" i="34"/>
  <c r="W807" i="34"/>
  <c r="U807" i="34"/>
  <c r="W811" i="34"/>
  <c r="U811" i="34"/>
  <c r="U869" i="34"/>
  <c r="W869" i="34"/>
  <c r="U148" i="34"/>
  <c r="W148" i="34"/>
  <c r="U156" i="34"/>
  <c r="W156" i="34"/>
  <c r="U160" i="34"/>
  <c r="W160" i="34"/>
  <c r="W181" i="34"/>
  <c r="U181" i="34"/>
  <c r="W185" i="34"/>
  <c r="U185" i="34"/>
  <c r="W189" i="34"/>
  <c r="U189" i="34"/>
  <c r="U196" i="34"/>
  <c r="W196" i="34"/>
  <c r="U200" i="34"/>
  <c r="W200" i="34"/>
  <c r="U211" i="34"/>
  <c r="W211" i="34"/>
  <c r="U1872" i="34"/>
  <c r="R1872" i="34"/>
  <c r="S1872" i="34"/>
  <c r="W1872" i="34"/>
  <c r="T1872" i="34"/>
  <c r="A1872" i="34"/>
  <c r="U1729" i="34"/>
  <c r="W1729" i="34"/>
  <c r="A1729" i="34"/>
  <c r="U45" i="34"/>
  <c r="W45" i="34"/>
  <c r="U57" i="34"/>
  <c r="W57" i="34"/>
  <c r="U1104" i="34"/>
  <c r="W1104" i="34"/>
  <c r="U1717" i="34"/>
  <c r="W1717" i="34"/>
  <c r="A1717" i="34"/>
  <c r="W1727" i="34"/>
  <c r="U1727" i="34"/>
  <c r="A1727" i="34"/>
  <c r="R1871" i="34"/>
  <c r="S1871" i="34"/>
  <c r="W1871" i="34"/>
  <c r="T1871" i="34"/>
  <c r="U1871" i="34"/>
  <c r="A1871" i="34"/>
  <c r="W1471" i="34"/>
  <c r="U1471" i="34"/>
  <c r="A1471" i="34"/>
  <c r="W47" i="34"/>
  <c r="U47" i="34"/>
  <c r="W51" i="34"/>
  <c r="U51" i="34"/>
  <c r="W55" i="34"/>
  <c r="U55" i="34"/>
  <c r="W59" i="34"/>
  <c r="U59" i="34"/>
  <c r="W1102" i="34"/>
  <c r="U1102" i="34"/>
  <c r="W1106" i="34"/>
  <c r="U1106" i="34"/>
  <c r="W1110" i="34"/>
  <c r="U1110" i="34"/>
  <c r="W1114" i="34"/>
  <c r="U1114" i="34"/>
  <c r="W1118" i="34"/>
  <c r="U1118" i="34"/>
  <c r="W1122" i="34"/>
  <c r="U1122" i="34"/>
  <c r="W1126" i="34"/>
  <c r="U1126" i="34"/>
  <c r="W1130" i="34"/>
  <c r="U1130" i="34"/>
  <c r="W1145" i="34"/>
  <c r="U1145" i="34"/>
  <c r="U1441" i="34"/>
  <c r="W1441" i="34"/>
  <c r="A1441" i="34"/>
  <c r="U1869" i="34"/>
  <c r="W1869" i="34"/>
  <c r="A1869" i="34"/>
  <c r="U1151" i="34"/>
  <c r="W1151" i="34"/>
  <c r="U1171" i="34"/>
  <c r="R1171" i="34"/>
  <c r="S1171" i="34"/>
  <c r="W1171" i="34"/>
  <c r="T1171" i="34"/>
  <c r="U1183" i="34"/>
  <c r="W1183" i="34"/>
  <c r="R1222" i="34"/>
  <c r="S1222" i="34"/>
  <c r="W1222" i="34"/>
  <c r="T1222" i="34"/>
  <c r="U1222" i="34"/>
  <c r="W1299" i="34"/>
  <c r="U1299" i="34"/>
  <c r="A1299" i="34"/>
  <c r="W1443" i="34"/>
  <c r="U1443" i="34"/>
  <c r="A1443" i="34"/>
  <c r="U1450" i="34"/>
  <c r="W1450" i="34"/>
  <c r="A1450" i="34"/>
  <c r="R1476" i="34"/>
  <c r="S1476" i="34"/>
  <c r="W1476" i="34"/>
  <c r="T1476" i="34"/>
  <c r="U1476" i="34"/>
  <c r="A1476" i="34"/>
  <c r="T1499" i="34"/>
  <c r="U1499" i="34"/>
  <c r="R1499" i="34"/>
  <c r="S1499" i="34"/>
  <c r="W1499" i="34"/>
  <c r="A1499" i="34"/>
  <c r="W1556" i="34"/>
  <c r="U1556" i="34"/>
  <c r="A1556" i="34"/>
  <c r="R1653" i="34"/>
  <c r="S1653" i="34"/>
  <c r="W1653" i="34"/>
  <c r="T1653" i="34"/>
  <c r="U1653" i="34"/>
  <c r="A1653" i="34"/>
  <c r="R1673" i="34"/>
  <c r="S1673" i="34"/>
  <c r="W1673" i="34"/>
  <c r="T1673" i="34"/>
  <c r="U1673" i="34"/>
  <c r="A1673" i="34"/>
  <c r="U1678" i="34"/>
  <c r="R1678" i="34"/>
  <c r="S1678" i="34"/>
  <c r="W1678" i="34"/>
  <c r="T1678" i="34"/>
  <c r="A1678" i="34"/>
  <c r="W394" i="34"/>
  <c r="U394" i="34"/>
  <c r="U561" i="34"/>
  <c r="W561" i="34"/>
  <c r="U567" i="34"/>
  <c r="W567" i="34"/>
  <c r="U572" i="34"/>
  <c r="W572" i="34"/>
  <c r="W578" i="34"/>
  <c r="U578" i="34"/>
  <c r="W583" i="34"/>
  <c r="U583" i="34"/>
  <c r="W587" i="34"/>
  <c r="U587" i="34"/>
  <c r="W593" i="34"/>
  <c r="U593" i="34"/>
  <c r="W598" i="34"/>
  <c r="U598" i="34"/>
  <c r="W603" i="34"/>
  <c r="U603" i="34"/>
  <c r="W639" i="34"/>
  <c r="U639" i="34"/>
  <c r="W1097" i="34"/>
  <c r="U1097" i="34"/>
  <c r="W23" i="34"/>
  <c r="U23" i="34"/>
  <c r="W27" i="34"/>
  <c r="U27" i="34"/>
  <c r="U32" i="34"/>
  <c r="W32" i="34"/>
  <c r="U887" i="34"/>
  <c r="W887" i="34"/>
  <c r="W380" i="34"/>
  <c r="U380" i="34"/>
  <c r="W385" i="34"/>
  <c r="U385" i="34"/>
  <c r="W390" i="34"/>
  <c r="U390" i="34"/>
  <c r="W398" i="34"/>
  <c r="U398" i="34"/>
  <c r="U403" i="34"/>
  <c r="W403" i="34"/>
  <c r="U408" i="34"/>
  <c r="W408" i="34"/>
  <c r="W413" i="34"/>
  <c r="U413" i="34"/>
  <c r="U419" i="34"/>
  <c r="W419" i="34"/>
  <c r="U551" i="34"/>
  <c r="W551" i="34"/>
  <c r="U556" i="34"/>
  <c r="W556" i="34"/>
  <c r="W38" i="34"/>
  <c r="U38" i="34"/>
  <c r="W42" i="34"/>
  <c r="U42" i="34"/>
  <c r="U215" i="34"/>
  <c r="W215" i="34"/>
  <c r="W224" i="34"/>
  <c r="U224" i="34"/>
  <c r="U228" i="34"/>
  <c r="W228" i="34"/>
  <c r="W235" i="34"/>
  <c r="U235" i="34"/>
  <c r="W239" i="34"/>
  <c r="U239" i="34"/>
  <c r="U257" i="34"/>
  <c r="W257" i="34"/>
  <c r="U261" i="34"/>
  <c r="W261" i="34"/>
  <c r="U265" i="34"/>
  <c r="W265" i="34"/>
  <c r="U371" i="34"/>
  <c r="W371" i="34"/>
  <c r="U378" i="34"/>
  <c r="W378" i="34"/>
  <c r="W607" i="34"/>
  <c r="U607" i="34"/>
  <c r="W611" i="34"/>
  <c r="U611" i="34"/>
  <c r="U646" i="34"/>
  <c r="W646" i="34"/>
  <c r="U651" i="34"/>
  <c r="W651" i="34"/>
  <c r="U683" i="34"/>
  <c r="W683" i="34"/>
  <c r="W687" i="34"/>
  <c r="U687" i="34"/>
  <c r="W719" i="34"/>
  <c r="U719" i="34"/>
  <c r="W723" i="34"/>
  <c r="U723" i="34"/>
  <c r="W728" i="34"/>
  <c r="U728" i="34"/>
  <c r="U751" i="34"/>
  <c r="W751" i="34"/>
  <c r="U755" i="34"/>
  <c r="W755" i="34"/>
  <c r="W772" i="34"/>
  <c r="U772" i="34"/>
  <c r="W776" i="34"/>
  <c r="U776" i="34"/>
  <c r="U783" i="34"/>
  <c r="W783" i="34"/>
  <c r="U787" i="34"/>
  <c r="W787" i="34"/>
  <c r="U803" i="34"/>
  <c r="W803" i="34"/>
  <c r="W808" i="34"/>
  <c r="U808" i="34"/>
  <c r="W812" i="34"/>
  <c r="U812" i="34"/>
  <c r="U144" i="34"/>
  <c r="W144" i="34"/>
  <c r="W149" i="34"/>
  <c r="U149" i="34"/>
  <c r="W157" i="34"/>
  <c r="U157" i="34"/>
  <c r="W161" i="34"/>
  <c r="U161" i="34"/>
  <c r="W182" i="34"/>
  <c r="U182" i="34"/>
  <c r="W186" i="34"/>
  <c r="U186" i="34"/>
  <c r="W193" i="34"/>
  <c r="U193" i="34"/>
  <c r="W197" i="34"/>
  <c r="U197" i="34"/>
  <c r="U208" i="34"/>
  <c r="W208" i="34"/>
  <c r="U212" i="34"/>
  <c r="W212" i="34"/>
  <c r="W1500" i="34"/>
  <c r="U1500" i="34"/>
  <c r="A1500" i="34"/>
  <c r="U48" i="34"/>
  <c r="W48" i="34"/>
  <c r="U52" i="34"/>
  <c r="W52" i="34"/>
  <c r="U56" i="34"/>
  <c r="W56" i="34"/>
  <c r="U60" i="34"/>
  <c r="W60" i="34"/>
  <c r="U1103" i="34"/>
  <c r="W1103" i="34"/>
  <c r="U1107" i="34"/>
  <c r="W1107" i="34"/>
  <c r="U1111" i="34"/>
  <c r="W1111" i="34"/>
  <c r="U1115" i="34"/>
  <c r="W1115" i="34"/>
  <c r="U1119" i="34"/>
  <c r="W1119" i="34"/>
  <c r="U1123" i="34"/>
  <c r="W1123" i="34"/>
  <c r="U1127" i="34"/>
  <c r="W1127" i="34"/>
  <c r="U1131" i="34"/>
  <c r="W1131" i="34"/>
  <c r="W1146" i="34"/>
  <c r="U1146" i="34"/>
  <c r="U1642" i="34"/>
  <c r="W1642" i="34"/>
  <c r="A1642" i="34"/>
  <c r="W1870" i="34"/>
  <c r="U1870" i="34"/>
  <c r="A1870" i="34"/>
  <c r="T1168" i="34"/>
  <c r="U1168" i="34"/>
  <c r="R1168" i="34"/>
  <c r="S1168" i="34"/>
  <c r="W1168" i="34"/>
  <c r="T1172" i="34"/>
  <c r="U1172" i="34"/>
  <c r="R1172" i="34"/>
  <c r="S1172" i="34"/>
  <c r="W1172" i="34"/>
  <c r="U1184" i="34"/>
  <c r="W1184" i="34"/>
  <c r="W1254" i="34"/>
  <c r="U1254" i="34"/>
  <c r="A1254" i="34"/>
  <c r="U1297" i="34"/>
  <c r="W1297" i="34"/>
  <c r="A1297" i="34"/>
  <c r="W1447" i="34"/>
  <c r="U1447" i="34"/>
  <c r="A1447" i="34"/>
  <c r="S1451" i="34"/>
  <c r="W1451" i="34"/>
  <c r="T1451" i="34"/>
  <c r="U1451" i="34"/>
  <c r="R1451" i="34"/>
  <c r="A1451" i="34"/>
  <c r="U1477" i="34"/>
  <c r="R1477" i="34"/>
  <c r="S1477" i="34"/>
  <c r="W1477" i="34"/>
  <c r="T1477" i="34"/>
  <c r="A1477" i="34"/>
  <c r="W1497" i="34"/>
  <c r="U1497" i="34"/>
  <c r="A1497" i="34"/>
  <c r="W1557" i="34"/>
  <c r="U1557" i="34"/>
  <c r="A1557" i="34"/>
  <c r="R1665" i="34"/>
  <c r="S1665" i="34"/>
  <c r="W1665" i="34"/>
  <c r="T1665" i="34"/>
  <c r="U1665" i="34"/>
  <c r="A1665" i="34"/>
  <c r="U1674" i="34"/>
  <c r="R1674" i="34"/>
  <c r="S1674" i="34"/>
  <c r="W1674" i="34"/>
  <c r="T1674" i="34"/>
  <c r="A1674" i="34"/>
  <c r="W1680" i="34"/>
  <c r="U1680" i="34"/>
  <c r="A1680" i="34"/>
  <c r="U395" i="34"/>
  <c r="W395" i="34"/>
  <c r="W563" i="34"/>
  <c r="U563" i="34"/>
  <c r="W569" i="34"/>
  <c r="U569" i="34"/>
  <c r="W573" i="34"/>
  <c r="U573" i="34"/>
  <c r="W579" i="34"/>
  <c r="U579" i="34"/>
  <c r="U584" i="34"/>
  <c r="W584" i="34"/>
  <c r="U588" i="34"/>
  <c r="W588" i="34"/>
  <c r="U594" i="34"/>
  <c r="W594" i="34"/>
  <c r="U599" i="34"/>
  <c r="W599" i="34"/>
  <c r="W629" i="34"/>
  <c r="U629" i="34"/>
  <c r="U640" i="34"/>
  <c r="W640" i="34"/>
  <c r="W1098" i="34"/>
  <c r="U1098" i="34"/>
  <c r="U24" i="34"/>
  <c r="W24" i="34"/>
  <c r="U29" i="34"/>
  <c r="W29" i="34"/>
  <c r="U33" i="34"/>
  <c r="W33" i="34"/>
  <c r="W889" i="34"/>
  <c r="U889" i="34"/>
  <c r="U382" i="34"/>
  <c r="W382" i="34"/>
  <c r="U386" i="34"/>
  <c r="W386" i="34"/>
  <c r="U391" i="34"/>
  <c r="W391" i="34"/>
  <c r="W400" i="34"/>
  <c r="U400" i="34"/>
  <c r="U404" i="34"/>
  <c r="W404" i="34"/>
  <c r="U409" i="34"/>
  <c r="W409" i="34"/>
  <c r="U415" i="34"/>
  <c r="W415" i="34"/>
  <c r="W420" i="34"/>
  <c r="U420" i="34"/>
  <c r="U552" i="34"/>
  <c r="W552" i="34"/>
  <c r="W35" i="34"/>
  <c r="U35" i="34"/>
  <c r="W39" i="34"/>
  <c r="U39" i="34"/>
  <c r="W43" i="34"/>
  <c r="U43" i="34"/>
  <c r="W216" i="34"/>
  <c r="U216" i="34"/>
  <c r="U225" i="34"/>
  <c r="W225" i="34"/>
  <c r="U229" i="34"/>
  <c r="W229" i="34"/>
  <c r="U236" i="34"/>
  <c r="W236" i="34"/>
  <c r="U240" i="34"/>
  <c r="W240" i="34"/>
  <c r="W258" i="34"/>
  <c r="U258" i="34"/>
  <c r="W262" i="34"/>
  <c r="U262" i="34"/>
  <c r="W367" i="34"/>
  <c r="U367" i="34"/>
  <c r="W373" i="34"/>
  <c r="U373" i="34"/>
  <c r="U604" i="34"/>
  <c r="W604" i="34"/>
  <c r="U608" i="34"/>
  <c r="W608" i="34"/>
  <c r="U612" i="34"/>
  <c r="W612" i="34"/>
  <c r="W647" i="34"/>
  <c r="U647" i="34"/>
  <c r="W653" i="34"/>
  <c r="U653" i="34"/>
  <c r="W684" i="34"/>
  <c r="U684" i="34"/>
  <c r="W688" i="34"/>
  <c r="U688" i="34"/>
  <c r="U720" i="34"/>
  <c r="W720" i="34"/>
  <c r="U725" i="34"/>
  <c r="W725" i="34"/>
  <c r="U748" i="34"/>
  <c r="W748" i="34"/>
  <c r="U752" i="34"/>
  <c r="W752" i="34"/>
  <c r="U756" i="34"/>
  <c r="W756" i="34"/>
  <c r="U773" i="34"/>
  <c r="W773" i="34"/>
  <c r="U777" i="34"/>
  <c r="W777" i="34"/>
  <c r="W784" i="34"/>
  <c r="U784" i="34"/>
  <c r="W788" i="34"/>
  <c r="U788" i="34"/>
  <c r="U804" i="34"/>
  <c r="W804" i="34"/>
  <c r="U809" i="34"/>
  <c r="W809" i="34"/>
  <c r="W861" i="34"/>
  <c r="U861" i="34"/>
  <c r="W145" i="34"/>
  <c r="U145" i="34"/>
  <c r="U151" i="34"/>
  <c r="W151" i="34"/>
  <c r="W158" i="34"/>
  <c r="U158" i="34"/>
  <c r="W162" i="34"/>
  <c r="U162" i="34"/>
  <c r="U183" i="34"/>
  <c r="W183" i="34"/>
  <c r="U187" i="34"/>
  <c r="W187" i="34"/>
  <c r="W194" i="34"/>
  <c r="U194" i="34"/>
  <c r="W198" i="34"/>
  <c r="U198" i="34"/>
  <c r="W209" i="34"/>
  <c r="U209" i="34"/>
  <c r="W213" i="34"/>
  <c r="U213" i="34"/>
  <c r="U1728" i="34"/>
  <c r="W1728" i="34"/>
  <c r="A1728" i="34"/>
  <c r="R1743" i="34"/>
  <c r="S1743" i="34"/>
  <c r="W1743" i="34"/>
  <c r="T1743" i="34"/>
  <c r="U1743" i="34"/>
  <c r="A1743" i="34"/>
  <c r="U49" i="34"/>
  <c r="W49" i="34"/>
  <c r="U61" i="34"/>
  <c r="W61" i="34"/>
  <c r="U1112" i="34"/>
  <c r="W1112" i="34"/>
  <c r="U1116" i="34"/>
  <c r="W1116" i="34"/>
  <c r="U1120" i="34"/>
  <c r="W1120" i="34"/>
  <c r="U1124" i="34"/>
  <c r="W1124" i="34"/>
  <c r="U1128" i="34"/>
  <c r="W1128" i="34"/>
  <c r="U1132" i="34"/>
  <c r="W1132" i="34"/>
  <c r="W1444" i="34"/>
  <c r="U1444" i="34"/>
  <c r="A1444" i="34"/>
  <c r="U1643" i="34"/>
  <c r="W1643" i="34"/>
  <c r="A1643" i="34"/>
  <c r="U1865" i="34"/>
  <c r="W1865" i="34"/>
  <c r="A1865" i="34"/>
  <c r="S1169" i="34"/>
  <c r="W1169" i="34"/>
  <c r="T1169" i="34"/>
  <c r="U1169" i="34"/>
  <c r="R1169" i="34"/>
  <c r="S1173" i="34"/>
  <c r="W1173" i="34"/>
  <c r="T1173" i="34"/>
  <c r="U1173" i="34"/>
  <c r="R1173" i="34"/>
  <c r="S1185" i="34"/>
  <c r="W1185" i="34"/>
  <c r="T1185" i="34"/>
  <c r="U1185" i="34"/>
  <c r="R1185" i="34"/>
  <c r="U1255" i="34"/>
  <c r="W1255" i="34"/>
  <c r="A1255" i="34"/>
  <c r="T1426" i="34"/>
  <c r="U1426" i="34"/>
  <c r="R1426" i="34"/>
  <c r="S1426" i="34"/>
  <c r="W1426" i="34"/>
  <c r="A1426" i="34"/>
  <c r="W1448" i="34"/>
  <c r="U1448" i="34"/>
  <c r="A1448" i="34"/>
  <c r="U1461" i="34"/>
  <c r="W1461" i="34"/>
  <c r="A1461" i="34"/>
  <c r="T1478" i="34"/>
  <c r="U1478" i="34"/>
  <c r="R1478" i="34"/>
  <c r="S1478" i="34"/>
  <c r="W1478" i="34"/>
  <c r="A1478" i="34"/>
  <c r="U1498" i="34"/>
  <c r="W1498" i="34"/>
  <c r="A1498" i="34"/>
  <c r="U1558" i="34"/>
  <c r="W1558" i="34"/>
  <c r="A1558" i="34"/>
  <c r="U1666" i="34"/>
  <c r="W1666" i="34"/>
  <c r="A1666" i="34"/>
  <c r="T1675" i="34"/>
  <c r="U1675" i="34"/>
  <c r="R1675" i="34"/>
  <c r="S1675" i="34"/>
  <c r="W1675" i="34"/>
  <c r="A1675" i="34"/>
  <c r="W871" i="34"/>
  <c r="U871" i="34"/>
  <c r="U557" i="34"/>
  <c r="W557" i="34"/>
  <c r="W564" i="34"/>
  <c r="U564" i="34"/>
  <c r="W570" i="34"/>
  <c r="U570" i="34"/>
  <c r="W575" i="34"/>
  <c r="U575" i="34"/>
  <c r="U580" i="34"/>
  <c r="W580" i="34"/>
  <c r="U585" i="34"/>
  <c r="W585" i="34"/>
  <c r="U590" i="34"/>
  <c r="W590" i="34"/>
  <c r="U596" i="34"/>
  <c r="W596" i="34"/>
  <c r="U600" i="34"/>
  <c r="W600" i="34"/>
  <c r="W631" i="34"/>
  <c r="U631" i="34"/>
  <c r="U1095" i="34"/>
  <c r="W1095" i="34"/>
  <c r="U1099" i="34"/>
  <c r="W1099" i="34"/>
  <c r="U25" i="34"/>
  <c r="W25" i="34"/>
  <c r="W30" i="34"/>
  <c r="U30" i="34"/>
  <c r="W885" i="34"/>
  <c r="U885" i="34"/>
  <c r="W890" i="34"/>
  <c r="U890" i="34"/>
  <c r="U383" i="34"/>
  <c r="W383" i="34"/>
  <c r="U388" i="34"/>
  <c r="W388" i="34"/>
  <c r="U392" i="34"/>
  <c r="W392" i="34"/>
  <c r="U401" i="34"/>
  <c r="W401" i="34"/>
  <c r="W405" i="34"/>
  <c r="U405" i="34"/>
  <c r="W411" i="34"/>
  <c r="U411" i="34"/>
  <c r="W422" i="34"/>
  <c r="U422" i="34"/>
  <c r="W553" i="34"/>
  <c r="U553" i="34"/>
  <c r="U36" i="34"/>
  <c r="W36" i="34"/>
  <c r="U40" i="34"/>
  <c r="W40" i="34"/>
  <c r="U44" i="34"/>
  <c r="W44" i="34"/>
  <c r="U222" i="34"/>
  <c r="W222" i="34"/>
  <c r="W226" i="34"/>
  <c r="U226" i="34"/>
  <c r="W230" i="34"/>
  <c r="U230" i="34"/>
  <c r="U237" i="34"/>
  <c r="W237" i="34"/>
  <c r="U241" i="34"/>
  <c r="W241" i="34"/>
  <c r="W259" i="34"/>
  <c r="U259" i="34"/>
  <c r="W263" i="34"/>
  <c r="U263" i="34"/>
  <c r="W369" i="34"/>
  <c r="U369" i="34"/>
  <c r="W374" i="34"/>
  <c r="U374" i="34"/>
  <c r="U605" i="34"/>
  <c r="W605" i="34"/>
  <c r="U609" i="34"/>
  <c r="W609" i="34"/>
  <c r="W644" i="34"/>
  <c r="U644" i="34"/>
  <c r="W648" i="34"/>
  <c r="U648" i="34"/>
  <c r="W654" i="34"/>
  <c r="U654" i="34"/>
  <c r="U685" i="34"/>
  <c r="W685" i="34"/>
  <c r="U689" i="34"/>
  <c r="W689" i="34"/>
  <c r="U721" i="34"/>
  <c r="W721" i="34"/>
  <c r="U726" i="34"/>
  <c r="W726" i="34"/>
  <c r="W749" i="34"/>
  <c r="U749" i="34"/>
  <c r="W753" i="34"/>
  <c r="U753" i="34"/>
  <c r="U770" i="34"/>
  <c r="W770" i="34"/>
  <c r="U774" i="34"/>
  <c r="W774" i="34"/>
  <c r="U778" i="34"/>
  <c r="W778" i="34"/>
  <c r="W785" i="34"/>
  <c r="U785" i="34"/>
  <c r="W790" i="34"/>
  <c r="U790" i="34"/>
  <c r="U806" i="34"/>
  <c r="W806" i="34"/>
  <c r="U810" i="34"/>
  <c r="W810" i="34"/>
  <c r="W862" i="34"/>
  <c r="U862" i="34"/>
  <c r="W146" i="34"/>
  <c r="U146" i="34"/>
  <c r="U152" i="34"/>
  <c r="W152" i="34"/>
  <c r="U159" i="34"/>
  <c r="W159" i="34"/>
  <c r="U163" i="34"/>
  <c r="W163" i="34"/>
  <c r="U184" i="34"/>
  <c r="W184" i="34"/>
  <c r="U188" i="34"/>
  <c r="W188" i="34"/>
  <c r="U195" i="34"/>
  <c r="W195" i="34"/>
  <c r="U199" i="34"/>
  <c r="W199" i="34"/>
  <c r="W210" i="34"/>
  <c r="U210" i="34"/>
  <c r="W66" i="60"/>
  <c r="W65" i="60"/>
  <c r="B1139" i="34"/>
  <c r="A1139" i="34" s="1"/>
  <c r="B615" i="34"/>
  <c r="A615" i="34" s="1"/>
  <c r="U1139" i="34" l="1"/>
  <c r="W1139" i="34"/>
  <c r="W99" i="34"/>
  <c r="U99" i="34"/>
  <c r="W98" i="34"/>
  <c r="U98" i="34"/>
  <c r="U127" i="34"/>
  <c r="W127" i="34"/>
  <c r="W615" i="34"/>
  <c r="U615" i="34"/>
  <c r="R64" i="60"/>
  <c r="C64" i="60" s="1"/>
  <c r="B1567" i="34"/>
  <c r="B1744" i="34"/>
  <c r="B1731" i="34"/>
  <c r="B1668" i="34"/>
  <c r="B1152" i="34"/>
  <c r="A1152" i="34" s="1"/>
  <c r="B1828" i="34"/>
  <c r="W1668" i="34" l="1"/>
  <c r="U1668" i="34"/>
  <c r="A1668" i="34"/>
  <c r="W1731" i="34"/>
  <c r="U1731" i="34"/>
  <c r="A1731" i="34"/>
  <c r="U1828" i="34"/>
  <c r="W1828" i="34"/>
  <c r="A1828" i="34"/>
  <c r="U1744" i="34"/>
  <c r="W1744" i="34"/>
  <c r="A1744" i="34"/>
  <c r="U1152" i="34"/>
  <c r="W1152" i="34"/>
  <c r="U1567" i="34"/>
  <c r="W1567" i="34"/>
  <c r="A1567" i="34"/>
  <c r="R99" i="60"/>
  <c r="C99" i="60" s="1"/>
  <c r="R94" i="60"/>
  <c r="C94" i="60" s="1"/>
  <c r="R95" i="60"/>
  <c r="C95" i="60" s="1"/>
  <c r="R96" i="60"/>
  <c r="C96" i="60" s="1"/>
  <c r="R97" i="60"/>
  <c r="C97" i="60" s="1"/>
  <c r="R98" i="60"/>
  <c r="C98" i="60" s="1"/>
  <c r="R100" i="60"/>
  <c r="C100" i="60" s="1"/>
  <c r="R102" i="60"/>
  <c r="C102" i="60" s="1"/>
  <c r="R103" i="60"/>
  <c r="C103" i="60" s="1"/>
  <c r="R104" i="60"/>
  <c r="C104" i="60" s="1"/>
  <c r="R105" i="60"/>
  <c r="C105" i="60" s="1"/>
  <c r="R106" i="60"/>
  <c r="C106" i="60" s="1"/>
  <c r="R101" i="60"/>
  <c r="C101" i="60" s="1"/>
  <c r="W113" i="60" l="1"/>
  <c r="R113" i="60"/>
  <c r="C113" i="60" s="1"/>
  <c r="W112" i="60"/>
  <c r="R112" i="60"/>
  <c r="C112" i="60" s="1"/>
  <c r="W111" i="60"/>
  <c r="R111" i="60"/>
  <c r="C111" i="60" s="1"/>
  <c r="W110" i="60"/>
  <c r="R110" i="60"/>
  <c r="C110" i="60" s="1"/>
  <c r="W109" i="60"/>
  <c r="R109" i="60"/>
  <c r="C109" i="60" s="1"/>
  <c r="W108" i="60"/>
  <c r="R108" i="60"/>
  <c r="C108" i="60" s="1"/>
  <c r="W107" i="60"/>
  <c r="R107" i="60"/>
  <c r="C107" i="60" s="1"/>
  <c r="W106" i="60"/>
  <c r="W105" i="60"/>
  <c r="W104" i="60"/>
  <c r="W103" i="60"/>
  <c r="W102" i="60"/>
  <c r="W101" i="60"/>
  <c r="W100" i="60"/>
  <c r="W99" i="60"/>
  <c r="W98" i="60"/>
  <c r="W97" i="60"/>
  <c r="W96" i="60"/>
  <c r="W95" i="60"/>
  <c r="W94" i="60"/>
  <c r="W93" i="60"/>
  <c r="R93" i="60"/>
  <c r="C93" i="60" s="1"/>
  <c r="W92" i="60"/>
  <c r="R92" i="60"/>
  <c r="C92" i="60" s="1"/>
  <c r="W91" i="60"/>
  <c r="R91" i="60"/>
  <c r="C91" i="60" s="1"/>
  <c r="W90" i="60"/>
  <c r="R90" i="60"/>
  <c r="C90" i="60" s="1"/>
  <c r="W134" i="60"/>
  <c r="R134" i="60"/>
  <c r="C134" i="60" s="1"/>
  <c r="W133" i="60"/>
  <c r="R133" i="60"/>
  <c r="C133" i="60" s="1"/>
  <c r="W132" i="60"/>
  <c r="R132" i="60"/>
  <c r="C132" i="60" s="1"/>
  <c r="W131" i="60"/>
  <c r="R131" i="60"/>
  <c r="C131" i="60" s="1"/>
  <c r="W130" i="60"/>
  <c r="R130" i="60"/>
  <c r="C130" i="60" s="1"/>
  <c r="W129" i="60"/>
  <c r="R129" i="60"/>
  <c r="C129" i="60" s="1"/>
  <c r="W128" i="60"/>
  <c r="R128" i="60"/>
  <c r="C128" i="60" s="1"/>
  <c r="W127" i="60"/>
  <c r="R127" i="60"/>
  <c r="C127" i="60" s="1"/>
  <c r="W126" i="60"/>
  <c r="R126" i="60"/>
  <c r="C126" i="60" s="1"/>
  <c r="W125" i="60"/>
  <c r="R125" i="60"/>
  <c r="C125" i="60" s="1"/>
  <c r="W124" i="60"/>
  <c r="R124" i="60"/>
  <c r="C124" i="60" s="1"/>
  <c r="W123" i="60"/>
  <c r="R123" i="60"/>
  <c r="C123" i="60" s="1"/>
  <c r="W122" i="60"/>
  <c r="R122" i="60"/>
  <c r="C122" i="60" s="1"/>
  <c r="W121" i="60"/>
  <c r="R121" i="60"/>
  <c r="C121" i="60" s="1"/>
  <c r="W120" i="60"/>
  <c r="R120" i="60"/>
  <c r="C120" i="60" s="1"/>
  <c r="W119" i="60"/>
  <c r="R119" i="60"/>
  <c r="C119" i="60" s="1"/>
  <c r="W118" i="60"/>
  <c r="R118" i="60"/>
  <c r="C118" i="60" s="1"/>
  <c r="W117" i="60"/>
  <c r="R117" i="60"/>
  <c r="C117" i="60" s="1"/>
  <c r="W116" i="60"/>
  <c r="R116" i="60"/>
  <c r="C116" i="60" s="1"/>
  <c r="W115" i="60"/>
  <c r="R115" i="60"/>
  <c r="C115" i="60" s="1"/>
  <c r="W114" i="60"/>
  <c r="R114" i="60"/>
  <c r="C114" i="60" s="1"/>
  <c r="W89" i="60"/>
  <c r="R89" i="60"/>
  <c r="C89" i="60" s="1"/>
  <c r="W88" i="60"/>
  <c r="R88" i="60"/>
  <c r="C88" i="60" s="1"/>
  <c r="W87" i="60"/>
  <c r="R87" i="60"/>
  <c r="C87" i="60" s="1"/>
  <c r="W86" i="60"/>
  <c r="R86" i="60"/>
  <c r="C86" i="60" s="1"/>
  <c r="W85" i="60"/>
  <c r="R85" i="60"/>
  <c r="C85" i="60" s="1"/>
  <c r="W84" i="60"/>
  <c r="R84" i="60"/>
  <c r="C84" i="60" s="1"/>
  <c r="W83" i="60"/>
  <c r="R83" i="60"/>
  <c r="C83" i="60" s="1"/>
  <c r="W82" i="60"/>
  <c r="R82" i="60"/>
  <c r="C82" i="60" s="1"/>
  <c r="W81" i="60"/>
  <c r="R81" i="60"/>
  <c r="C81" i="60" s="1"/>
  <c r="W80" i="60"/>
  <c r="R80" i="60"/>
  <c r="C80" i="60" s="1"/>
  <c r="W79" i="60"/>
  <c r="R79" i="60"/>
  <c r="C79" i="60" s="1"/>
  <c r="W78" i="60"/>
  <c r="R78" i="60"/>
  <c r="C78" i="60" s="1"/>
  <c r="W77" i="60"/>
  <c r="R77" i="60"/>
  <c r="C77" i="60" s="1"/>
  <c r="W76" i="60"/>
  <c r="R76" i="60"/>
  <c r="C76" i="60" s="1"/>
  <c r="W75" i="60"/>
  <c r="R75" i="60"/>
  <c r="C75" i="60" s="1"/>
  <c r="W74" i="60"/>
  <c r="R74" i="60"/>
  <c r="C74" i="60" s="1"/>
  <c r="W73" i="60"/>
  <c r="R73" i="60"/>
  <c r="C73" i="60" s="1"/>
  <c r="W72" i="60"/>
  <c r="R72" i="60"/>
  <c r="C72" i="60" s="1"/>
  <c r="W71" i="60"/>
  <c r="R71" i="60"/>
  <c r="C71" i="60" s="1"/>
  <c r="W70" i="60"/>
  <c r="R70" i="60"/>
  <c r="C70" i="60" s="1"/>
  <c r="W69" i="60"/>
  <c r="R69" i="60"/>
  <c r="C69" i="60" s="1"/>
  <c r="W68" i="60"/>
  <c r="R68" i="60"/>
  <c r="C68" i="60" s="1"/>
  <c r="W67" i="60"/>
  <c r="R67" i="60"/>
  <c r="C67" i="60" s="1"/>
  <c r="R66" i="60"/>
  <c r="C66" i="60" s="1"/>
  <c r="B380" i="55"/>
  <c r="A380" i="55" s="1"/>
  <c r="I18" i="54" l="1"/>
  <c r="U65" i="34" l="1"/>
  <c r="W65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A50" i="14" l="1"/>
  <c r="E50" i="14"/>
  <c r="B51" i="14"/>
  <c r="G51" i="14"/>
  <c r="C52" i="14"/>
  <c r="H52" i="14"/>
  <c r="D53" i="14"/>
  <c r="A54" i="14"/>
  <c r="E54" i="14"/>
  <c r="B55" i="14"/>
  <c r="G55" i="14"/>
  <c r="C56" i="14"/>
  <c r="H56" i="14"/>
  <c r="D57" i="14"/>
  <c r="A58" i="14"/>
  <c r="E58" i="14"/>
  <c r="B59" i="14"/>
  <c r="G59" i="14"/>
  <c r="C60" i="14"/>
  <c r="H60" i="14"/>
  <c r="D61" i="14"/>
  <c r="A62" i="14"/>
  <c r="E62" i="14"/>
  <c r="B63" i="14"/>
  <c r="G63" i="14"/>
  <c r="C64" i="14"/>
  <c r="H64" i="14"/>
  <c r="D65" i="14"/>
  <c r="A66" i="14"/>
  <c r="E66" i="14"/>
  <c r="B67" i="14"/>
  <c r="G67" i="14"/>
  <c r="C68" i="14"/>
  <c r="H68" i="14"/>
  <c r="D69" i="14"/>
  <c r="A70" i="14"/>
  <c r="E70" i="14"/>
  <c r="B71" i="14"/>
  <c r="G71" i="14"/>
  <c r="C72" i="14"/>
  <c r="H72" i="14"/>
  <c r="D73" i="14"/>
  <c r="A74" i="14"/>
  <c r="E74" i="14"/>
  <c r="B75" i="14"/>
  <c r="G75" i="14"/>
  <c r="C76" i="14"/>
  <c r="H76" i="14"/>
  <c r="D77" i="14"/>
  <c r="A78" i="14"/>
  <c r="E78" i="14"/>
  <c r="B79" i="14"/>
  <c r="G79" i="14"/>
  <c r="C80" i="14"/>
  <c r="H80" i="14"/>
  <c r="D81" i="14"/>
  <c r="A82" i="14"/>
  <c r="E82" i="14"/>
  <c r="B83" i="14"/>
  <c r="G83" i="14"/>
  <c r="C84" i="14"/>
  <c r="H84" i="14"/>
  <c r="D85" i="14"/>
  <c r="A86" i="14"/>
  <c r="E86" i="14"/>
  <c r="B87" i="14"/>
  <c r="G87" i="14"/>
  <c r="C88" i="14"/>
  <c r="H88" i="14"/>
  <c r="D89" i="14"/>
  <c r="A90" i="14"/>
  <c r="E90" i="14"/>
  <c r="B91" i="14"/>
  <c r="G91" i="14"/>
  <c r="C92" i="14"/>
  <c r="H92" i="14"/>
  <c r="D93" i="14"/>
  <c r="A94" i="14"/>
  <c r="E94" i="14"/>
  <c r="A95" i="14"/>
  <c r="E95" i="14"/>
  <c r="D96" i="14"/>
  <c r="C97" i="14"/>
  <c r="B50" i="14"/>
  <c r="G50" i="14"/>
  <c r="C51" i="14"/>
  <c r="H51" i="14"/>
  <c r="D52" i="14"/>
  <c r="A53" i="14"/>
  <c r="E53" i="14"/>
  <c r="B54" i="14"/>
  <c r="G54" i="14"/>
  <c r="C55" i="14"/>
  <c r="H55" i="14"/>
  <c r="D56" i="14"/>
  <c r="A57" i="14"/>
  <c r="E57" i="14"/>
  <c r="B58" i="14"/>
  <c r="G58" i="14"/>
  <c r="C59" i="14"/>
  <c r="H59" i="14"/>
  <c r="D60" i="14"/>
  <c r="A61" i="14"/>
  <c r="E61" i="14"/>
  <c r="B62" i="14"/>
  <c r="G62" i="14"/>
  <c r="C63" i="14"/>
  <c r="H63" i="14"/>
  <c r="D64" i="14"/>
  <c r="A65" i="14"/>
  <c r="E65" i="14"/>
  <c r="B66" i="14"/>
  <c r="G66" i="14"/>
  <c r="C67" i="14"/>
  <c r="H67" i="14"/>
  <c r="D68" i="14"/>
  <c r="A69" i="14"/>
  <c r="E69" i="14"/>
  <c r="B70" i="14"/>
  <c r="G70" i="14"/>
  <c r="C71" i="14"/>
  <c r="H71" i="14"/>
  <c r="D72" i="14"/>
  <c r="A73" i="14"/>
  <c r="E73" i="14"/>
  <c r="B74" i="14"/>
  <c r="G74" i="14"/>
  <c r="C75" i="14"/>
  <c r="H75" i="14"/>
  <c r="D76" i="14"/>
  <c r="A77" i="14"/>
  <c r="E77" i="14"/>
  <c r="B78" i="14"/>
  <c r="G78" i="14"/>
  <c r="C79" i="14"/>
  <c r="H79" i="14"/>
  <c r="D80" i="14"/>
  <c r="A81" i="14"/>
  <c r="E81" i="14"/>
  <c r="B82" i="14"/>
  <c r="G82" i="14"/>
  <c r="C83" i="14"/>
  <c r="H83" i="14"/>
  <c r="C50" i="14"/>
  <c r="H50" i="14"/>
  <c r="D51" i="14"/>
  <c r="A52" i="14"/>
  <c r="E52" i="14"/>
  <c r="B53" i="14"/>
  <c r="G53" i="14"/>
  <c r="C54" i="14"/>
  <c r="H54" i="14"/>
  <c r="D55" i="14"/>
  <c r="A56" i="14"/>
  <c r="E56" i="14"/>
  <c r="B57" i="14"/>
  <c r="G57" i="14"/>
  <c r="C58" i="14"/>
  <c r="H58" i="14"/>
  <c r="D59" i="14"/>
  <c r="A60" i="14"/>
  <c r="E60" i="14"/>
  <c r="B61" i="14"/>
  <c r="G61" i="14"/>
  <c r="C62" i="14"/>
  <c r="H62" i="14"/>
  <c r="D63" i="14"/>
  <c r="A64" i="14"/>
  <c r="E64" i="14"/>
  <c r="B65" i="14"/>
  <c r="G65" i="14"/>
  <c r="C66" i="14"/>
  <c r="H66" i="14"/>
  <c r="D67" i="14"/>
  <c r="A68" i="14"/>
  <c r="E68" i="14"/>
  <c r="B69" i="14"/>
  <c r="G69" i="14"/>
  <c r="C70" i="14"/>
  <c r="H70" i="14"/>
  <c r="D71" i="14"/>
  <c r="A72" i="14"/>
  <c r="E72" i="14"/>
  <c r="B73" i="14"/>
  <c r="G73" i="14"/>
  <c r="C74" i="14"/>
  <c r="H74" i="14"/>
  <c r="D75" i="14"/>
  <c r="A76" i="14"/>
  <c r="E76" i="14"/>
  <c r="B77" i="14"/>
  <c r="G77" i="14"/>
  <c r="C78" i="14"/>
  <c r="H78" i="14"/>
  <c r="D79" i="14"/>
  <c r="A80" i="14"/>
  <c r="E80" i="14"/>
  <c r="D50" i="14"/>
  <c r="A51" i="14"/>
  <c r="E51" i="14"/>
  <c r="B52" i="14"/>
  <c r="G52" i="14"/>
  <c r="C53" i="14"/>
  <c r="H53" i="14"/>
  <c r="D54" i="14"/>
  <c r="A55" i="14"/>
  <c r="E55" i="14"/>
  <c r="B56" i="14"/>
  <c r="G56" i="14"/>
  <c r="C57" i="14"/>
  <c r="H57" i="14"/>
  <c r="D58" i="14"/>
  <c r="A59" i="14"/>
  <c r="E59" i="14"/>
  <c r="B60" i="14"/>
  <c r="G60" i="14"/>
  <c r="C61" i="14"/>
  <c r="H61" i="14"/>
  <c r="D62" i="14"/>
  <c r="A63" i="14"/>
  <c r="C65" i="14"/>
  <c r="E67" i="14"/>
  <c r="H69" i="14"/>
  <c r="B72" i="14"/>
  <c r="D74" i="14"/>
  <c r="G76" i="14"/>
  <c r="A79" i="14"/>
  <c r="B81" i="14"/>
  <c r="C82" i="14"/>
  <c r="D83" i="14"/>
  <c r="D84" i="14"/>
  <c r="B85" i="14"/>
  <c r="H85" i="14"/>
  <c r="G86" i="14"/>
  <c r="D87" i="14"/>
  <c r="B88" i="14"/>
  <c r="A89" i="14"/>
  <c r="G89" i="14"/>
  <c r="D90" i="14"/>
  <c r="C91" i="14"/>
  <c r="A92" i="14"/>
  <c r="G92" i="14"/>
  <c r="E93" i="14"/>
  <c r="C94" i="14"/>
  <c r="G95" i="14"/>
  <c r="B96" i="14"/>
  <c r="H96" i="14"/>
  <c r="D97" i="14"/>
  <c r="D98" i="14"/>
  <c r="D99" i="14"/>
  <c r="C100" i="14"/>
  <c r="H100" i="14"/>
  <c r="E63" i="14"/>
  <c r="H65" i="14"/>
  <c r="B68" i="14"/>
  <c r="D70" i="14"/>
  <c r="G72" i="14"/>
  <c r="A75" i="14"/>
  <c r="C77" i="14"/>
  <c r="E79" i="14"/>
  <c r="C81" i="14"/>
  <c r="D82" i="14"/>
  <c r="E83" i="14"/>
  <c r="E84" i="14"/>
  <c r="C85" i="14"/>
  <c r="B86" i="14"/>
  <c r="H86" i="14"/>
  <c r="E87" i="14"/>
  <c r="D88" i="14"/>
  <c r="B89" i="14"/>
  <c r="H89" i="14"/>
  <c r="G90" i="14"/>
  <c r="D91" i="14"/>
  <c r="B92" i="14"/>
  <c r="A93" i="14"/>
  <c r="G93" i="14"/>
  <c r="D94" i="14"/>
  <c r="B95" i="14"/>
  <c r="H95" i="14"/>
  <c r="C96" i="14"/>
  <c r="E97" i="14"/>
  <c r="A98" i="14"/>
  <c r="E98" i="14"/>
  <c r="A99" i="14"/>
  <c r="E99" i="14"/>
  <c r="D100" i="14"/>
  <c r="B64" i="14"/>
  <c r="D66" i="14"/>
  <c r="G68" i="14"/>
  <c r="A71" i="14"/>
  <c r="C73" i="14"/>
  <c r="E75" i="14"/>
  <c r="H77" i="14"/>
  <c r="B80" i="14"/>
  <c r="G81" i="14"/>
  <c r="H82" i="14"/>
  <c r="A84" i="14"/>
  <c r="G84" i="14"/>
  <c r="E85" i="14"/>
  <c r="C86" i="14"/>
  <c r="A87" i="14"/>
  <c r="H87" i="14"/>
  <c r="E88" i="14"/>
  <c r="C89" i="14"/>
  <c r="B90" i="14"/>
  <c r="H90" i="14"/>
  <c r="E91" i="14"/>
  <c r="D92" i="14"/>
  <c r="B93" i="14"/>
  <c r="H93" i="14"/>
  <c r="G94" i="14"/>
  <c r="C95" i="14"/>
  <c r="E96" i="14"/>
  <c r="A97" i="14"/>
  <c r="G97" i="14"/>
  <c r="B98" i="14"/>
  <c r="G98" i="14"/>
  <c r="B99" i="14"/>
  <c r="G99" i="14"/>
  <c r="A100" i="14"/>
  <c r="E100" i="14"/>
  <c r="G64" i="14"/>
  <c r="A67" i="14"/>
  <c r="C69" i="14"/>
  <c r="E71" i="14"/>
  <c r="H73" i="14"/>
  <c r="B76" i="14"/>
  <c r="D78" i="14"/>
  <c r="G80" i="14"/>
  <c r="H81" i="14"/>
  <c r="A83" i="14"/>
  <c r="B84" i="14"/>
  <c r="A85" i="14"/>
  <c r="G85" i="14"/>
  <c r="D86" i="14"/>
  <c r="C87" i="14"/>
  <c r="A88" i="14"/>
  <c r="G88" i="14"/>
  <c r="E89" i="14"/>
  <c r="C90" i="14"/>
  <c r="A91" i="14"/>
  <c r="H91" i="14"/>
  <c r="E92" i="14"/>
  <c r="C93" i="14"/>
  <c r="B94" i="14"/>
  <c r="H94" i="14"/>
  <c r="D95" i="14"/>
  <c r="A96" i="14"/>
  <c r="G96" i="14"/>
  <c r="B97" i="14"/>
  <c r="H97" i="14"/>
  <c r="C98" i="14"/>
  <c r="H98" i="14"/>
  <c r="C99" i="14"/>
  <c r="H99" i="14"/>
  <c r="B100" i="14"/>
  <c r="G100" i="14"/>
  <c r="O5" i="77"/>
  <c r="L5" i="75"/>
  <c r="M5" i="75"/>
  <c r="P5" i="74"/>
  <c r="O5" i="74"/>
  <c r="B1133" i="34" l="1"/>
  <c r="A1133" i="34" s="1"/>
  <c r="B1138" i="34"/>
  <c r="A1138" i="34" s="1"/>
  <c r="B613" i="34"/>
  <c r="A613" i="34" s="1"/>
  <c r="B614" i="34"/>
  <c r="A614" i="34" s="1"/>
  <c r="X613" i="34" l="1"/>
  <c r="Y613" i="34"/>
  <c r="W614" i="34"/>
  <c r="U614" i="34"/>
  <c r="W1133" i="34"/>
  <c r="U1133" i="34"/>
  <c r="U613" i="34"/>
  <c r="W613" i="34"/>
  <c r="X1133" i="34"/>
  <c r="Y1133" i="34"/>
  <c r="W1138" i="34"/>
  <c r="U1138" i="34"/>
  <c r="W137" i="34" l="1"/>
  <c r="U137" i="34"/>
  <c r="W138" i="34"/>
  <c r="U138" i="34"/>
  <c r="B14" i="55"/>
  <c r="A14" i="55" s="1"/>
  <c r="D5" i="61"/>
  <c r="W64" i="60"/>
  <c r="R65" i="60"/>
  <c r="C65" i="60" s="1"/>
  <c r="W63" i="60"/>
  <c r="R63" i="60"/>
  <c r="C63" i="60" s="1"/>
  <c r="W145" i="60"/>
  <c r="W146" i="60"/>
  <c r="W147" i="60"/>
  <c r="W148" i="60"/>
  <c r="W242" i="60"/>
  <c r="W144" i="60"/>
  <c r="R251" i="60"/>
  <c r="C251" i="60" s="1"/>
  <c r="R253" i="60"/>
  <c r="C253" i="60" s="1"/>
  <c r="R252" i="60"/>
  <c r="C252" i="60" s="1"/>
  <c r="R254" i="60"/>
  <c r="C254" i="60" s="1"/>
  <c r="R255" i="60"/>
  <c r="C255" i="60" s="1"/>
  <c r="R366" i="60"/>
  <c r="W251" i="60"/>
  <c r="W253" i="60"/>
  <c r="W252" i="60"/>
  <c r="W254" i="60"/>
  <c r="W255" i="60"/>
  <c r="W366" i="60"/>
  <c r="W250" i="60"/>
  <c r="R146" i="60"/>
  <c r="C146" i="60" s="1"/>
  <c r="R147" i="60"/>
  <c r="C147" i="60" s="1"/>
  <c r="R242" i="60"/>
  <c r="P56" i="60"/>
  <c r="R7" i="60"/>
  <c r="C7" i="60" s="1"/>
  <c r="W7" i="60"/>
  <c r="W6" i="60"/>
  <c r="A144" i="60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R6" i="60"/>
  <c r="R144" i="60"/>
  <c r="R145" i="60"/>
  <c r="C145" i="60" s="1"/>
  <c r="R250" i="60"/>
  <c r="C250" i="60" s="1"/>
  <c r="F12" i="61"/>
  <c r="G12" i="61"/>
  <c r="E12" i="61"/>
  <c r="D12" i="61"/>
  <c r="C12" i="61"/>
  <c r="H12" i="61"/>
  <c r="I12" i="61"/>
  <c r="U219" i="34" l="1"/>
  <c r="W219" i="34"/>
  <c r="U139" i="34"/>
  <c r="W139" i="34"/>
  <c r="R56" i="60"/>
  <c r="R136" i="60"/>
  <c r="W367" i="60"/>
  <c r="E367" i="60" s="1"/>
  <c r="W243" i="60"/>
  <c r="E243" i="60" s="1"/>
  <c r="C144" i="60"/>
  <c r="R243" i="60"/>
  <c r="C6" i="60"/>
  <c r="W136" i="60"/>
  <c r="E136" i="60" s="1"/>
  <c r="W56" i="60"/>
  <c r="E56" i="60" s="1"/>
  <c r="C243" i="60" l="1"/>
  <c r="C32" i="15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W90" i="34" l="1"/>
  <c r="U90" i="34"/>
  <c r="W91" i="34"/>
  <c r="U91" i="34"/>
  <c r="A217" i="55"/>
  <c r="S10" i="34"/>
  <c r="I136" i="55" l="1" a="1"/>
  <c r="I136" i="55" s="1"/>
  <c r="G137" i="55" a="1"/>
  <c r="G137" i="55" s="1"/>
  <c r="I137" i="55" a="1"/>
  <c r="I137" i="55" s="1"/>
  <c r="I138" i="55" a="1"/>
  <c r="I138" i="55" s="1"/>
  <c r="G136" i="55" a="1"/>
  <c r="G136" i="55" s="1"/>
  <c r="K136" i="55" s="1"/>
  <c r="G138" i="55" a="1"/>
  <c r="G138" i="55" s="1"/>
  <c r="I283" i="55" a="1"/>
  <c r="I283" i="55" s="1"/>
  <c r="I226" i="55" a="1"/>
  <c r="I226" i="55" s="1"/>
  <c r="I287" i="55" a="1"/>
  <c r="I287" i="55" s="1"/>
  <c r="I328" i="55" a="1"/>
  <c r="I328" i="55" s="1"/>
  <c r="I304" i="55" a="1"/>
  <c r="I304" i="55" s="1"/>
  <c r="I291" i="55" a="1"/>
  <c r="I291" i="55" s="1"/>
  <c r="I265" i="55" a="1"/>
  <c r="I265" i="55" s="1"/>
  <c r="I280" i="55" a="1"/>
  <c r="I280" i="55" s="1"/>
  <c r="I335" i="55" a="1"/>
  <c r="I335" i="55" s="1"/>
  <c r="I244" i="55" a="1"/>
  <c r="I244" i="55" s="1"/>
  <c r="I374" i="55" a="1"/>
  <c r="I374" i="55" s="1"/>
  <c r="I333" i="55" a="1"/>
  <c r="I333" i="55" s="1"/>
  <c r="I243" i="55" a="1"/>
  <c r="I243" i="55" s="1"/>
  <c r="I369" i="55" a="1"/>
  <c r="I369" i="55" s="1"/>
  <c r="G296" i="55" a="1"/>
  <c r="G296" i="55" s="1"/>
  <c r="G334" i="55" a="1"/>
  <c r="G334" i="55" s="1"/>
  <c r="G230" i="55" a="1"/>
  <c r="G230" i="55" s="1"/>
  <c r="G301" i="55" a="1"/>
  <c r="G301" i="55" s="1"/>
  <c r="G378" i="55" a="1"/>
  <c r="G378" i="55" s="1"/>
  <c r="G264" i="55" a="1"/>
  <c r="G264" i="55" s="1"/>
  <c r="G332" i="55" a="1"/>
  <c r="G332" i="55" s="1"/>
  <c r="G307" i="55" a="1"/>
  <c r="G307" i="55" s="1"/>
  <c r="G288" i="55" a="1"/>
  <c r="G288" i="55" s="1"/>
  <c r="G368" i="55" a="1"/>
  <c r="G368" i="55" s="1"/>
  <c r="G275" i="55" a="1"/>
  <c r="G275" i="55" s="1"/>
  <c r="G330" i="55" a="1"/>
  <c r="G330" i="55" s="1"/>
  <c r="G341" i="55" a="1"/>
  <c r="G341" i="55" s="1"/>
  <c r="G339" i="55" a="1"/>
  <c r="G339" i="55" s="1"/>
  <c r="G245" i="55" a="1"/>
  <c r="G245" i="55" s="1"/>
  <c r="G242" i="55" a="1"/>
  <c r="G242" i="55" s="1"/>
  <c r="G298" i="55" a="1"/>
  <c r="G298" i="55" s="1"/>
  <c r="G279" i="55" a="1"/>
  <c r="G279" i="55" s="1"/>
  <c r="G247" i="55" a="1"/>
  <c r="G247" i="55" s="1"/>
  <c r="G273" i="55" a="1"/>
  <c r="G273" i="55" s="1"/>
  <c r="G250" i="55" a="1"/>
  <c r="G250" i="55" s="1"/>
  <c r="G234" i="55" a="1"/>
  <c r="G234" i="55" s="1"/>
  <c r="G324" i="55" a="1"/>
  <c r="G324" i="55" s="1"/>
  <c r="I298" i="55" a="1"/>
  <c r="I298" i="55" s="1"/>
  <c r="I247" i="55" a="1"/>
  <c r="I247" i="55" s="1"/>
  <c r="I273" i="55" a="1"/>
  <c r="I273" i="55" s="1"/>
  <c r="I234" i="55" a="1"/>
  <c r="I234" i="55" s="1"/>
  <c r="I350" i="55" a="1"/>
  <c r="I350" i="55" s="1"/>
  <c r="I233" i="55" a="1"/>
  <c r="I233" i="55" s="1"/>
  <c r="I236" i="55" a="1"/>
  <c r="I236" i="55" s="1"/>
  <c r="I296" i="55" a="1"/>
  <c r="I296" i="55" s="1"/>
  <c r="I334" i="55" a="1"/>
  <c r="I334" i="55" s="1"/>
  <c r="I230" i="55" a="1"/>
  <c r="I230" i="55" s="1"/>
  <c r="I301" i="55" a="1"/>
  <c r="I301" i="55" s="1"/>
  <c r="I378" i="55" a="1"/>
  <c r="I378" i="55" s="1"/>
  <c r="I264" i="55" a="1"/>
  <c r="I264" i="55" s="1"/>
  <c r="I332" i="55" a="1"/>
  <c r="I332" i="55" s="1"/>
  <c r="I307" i="55" a="1"/>
  <c r="I307" i="55" s="1"/>
  <c r="I288" i="55" a="1"/>
  <c r="I288" i="55" s="1"/>
  <c r="I368" i="55" a="1"/>
  <c r="I368" i="55" s="1"/>
  <c r="I275" i="55" a="1"/>
  <c r="I275" i="55" s="1"/>
  <c r="I330" i="55" a="1"/>
  <c r="I330" i="55" s="1"/>
  <c r="I341" i="55" a="1"/>
  <c r="I341" i="55" s="1"/>
  <c r="I339" i="55" a="1"/>
  <c r="I339" i="55" s="1"/>
  <c r="I245" i="55" a="1"/>
  <c r="I245" i="55" s="1"/>
  <c r="I242" i="55" a="1"/>
  <c r="I242" i="55" s="1"/>
  <c r="G283" i="55" a="1"/>
  <c r="G283" i="55" s="1"/>
  <c r="G226" i="55" a="1"/>
  <c r="G226" i="55" s="1"/>
  <c r="G287" i="55" a="1"/>
  <c r="G287" i="55" s="1"/>
  <c r="K287" i="55" s="1"/>
  <c r="G328" i="55" a="1"/>
  <c r="G328" i="55" s="1"/>
  <c r="K328" i="55" s="1"/>
  <c r="G304" i="55" a="1"/>
  <c r="G304" i="55" s="1"/>
  <c r="G291" i="55" a="1"/>
  <c r="G291" i="55" s="1"/>
  <c r="K291" i="55" s="1"/>
  <c r="G265" i="55" a="1"/>
  <c r="G265" i="55" s="1"/>
  <c r="K265" i="55" s="1"/>
  <c r="G280" i="55" a="1"/>
  <c r="G280" i="55" s="1"/>
  <c r="G335" i="55" a="1"/>
  <c r="G335" i="55" s="1"/>
  <c r="K335" i="55" s="1"/>
  <c r="G244" i="55" a="1"/>
  <c r="G244" i="55" s="1"/>
  <c r="G374" i="55" a="1"/>
  <c r="G374" i="55" s="1"/>
  <c r="K374" i="55" s="1"/>
  <c r="G333" i="55" a="1"/>
  <c r="G333" i="55" s="1"/>
  <c r="G243" i="55" a="1"/>
  <c r="G243" i="55" s="1"/>
  <c r="G369" i="55" a="1"/>
  <c r="G369" i="55" s="1"/>
  <c r="K369" i="55" s="1"/>
  <c r="G261" i="55" a="1"/>
  <c r="G261" i="55" s="1"/>
  <c r="G326" i="55" a="1"/>
  <c r="G326" i="55" s="1"/>
  <c r="G235" i="55" a="1"/>
  <c r="G235" i="55" s="1"/>
  <c r="G286" i="55" a="1"/>
  <c r="G286" i="55" s="1"/>
  <c r="G227" i="55" a="1"/>
  <c r="G227" i="55" s="1"/>
  <c r="G300" i="55" a="1"/>
  <c r="G300" i="55" s="1"/>
  <c r="G355" i="55" a="1"/>
  <c r="G355" i="55" s="1"/>
  <c r="I279" i="55" a="1"/>
  <c r="I279" i="55" s="1"/>
  <c r="I250" i="55" a="1"/>
  <c r="I250" i="55" s="1"/>
  <c r="I324" i="55" a="1"/>
  <c r="I324" i="55" s="1"/>
  <c r="I246" i="55" a="1"/>
  <c r="I246" i="55" s="1"/>
  <c r="I365" i="55" a="1"/>
  <c r="I365" i="55" s="1"/>
  <c r="I377" i="55" a="1"/>
  <c r="I377" i="55" s="1"/>
  <c r="I268" i="55" a="1"/>
  <c r="I268" i="55" s="1"/>
  <c r="G379" i="55" a="1"/>
  <c r="G379" i="55" s="1"/>
  <c r="G255" i="55" a="1"/>
  <c r="G255" i="55" s="1"/>
  <c r="G263" i="55" a="1"/>
  <c r="G263" i="55" s="1"/>
  <c r="G248" i="55" a="1"/>
  <c r="G248" i="55" s="1"/>
  <c r="G319" i="55" a="1"/>
  <c r="G319" i="55" s="1"/>
  <c r="G338" i="55" a="1"/>
  <c r="G338" i="55" s="1"/>
  <c r="G363" i="55" a="1"/>
  <c r="G363" i="55" s="1"/>
  <c r="G353" i="55" a="1"/>
  <c r="G353" i="55" s="1"/>
  <c r="G293" i="55" a="1"/>
  <c r="G293" i="55" s="1"/>
  <c r="G299" i="55" a="1"/>
  <c r="G299" i="55" s="1"/>
  <c r="G364" i="55" a="1"/>
  <c r="G364" i="55" s="1"/>
  <c r="I261" i="55" a="1"/>
  <c r="I261" i="55" s="1"/>
  <c r="I286" i="55" a="1"/>
  <c r="I286" i="55" s="1"/>
  <c r="I300" i="55" a="1"/>
  <c r="I300" i="55" s="1"/>
  <c r="G350" i="55" a="1"/>
  <c r="G350" i="55" s="1"/>
  <c r="G233" i="55" a="1"/>
  <c r="G233" i="55" s="1"/>
  <c r="K233" i="55" s="1"/>
  <c r="G236" i="55" a="1"/>
  <c r="G236" i="55" s="1"/>
  <c r="G268" i="55" a="1"/>
  <c r="G268" i="55" s="1"/>
  <c r="G345" i="55" a="1"/>
  <c r="G345" i="55" s="1"/>
  <c r="I343" i="55" a="1"/>
  <c r="I343" i="55" s="1"/>
  <c r="I271" i="55" a="1"/>
  <c r="I271" i="55" s="1"/>
  <c r="I262" i="55" a="1"/>
  <c r="I262" i="55" s="1"/>
  <c r="I232" i="55" a="1"/>
  <c r="I232" i="55" s="1"/>
  <c r="I282" i="55" a="1"/>
  <c r="I282" i="55" s="1"/>
  <c r="I314" i="55" a="1"/>
  <c r="I314" i="55" s="1"/>
  <c r="I362" i="55" a="1"/>
  <c r="I362" i="55" s="1"/>
  <c r="I295" i="55" a="1"/>
  <c r="I295" i="55" s="1"/>
  <c r="I253" i="55" a="1"/>
  <c r="I253" i="55" s="1"/>
  <c r="I367" i="55" a="1"/>
  <c r="I367" i="55" s="1"/>
  <c r="I345" i="55" a="1"/>
  <c r="I345" i="55" s="1"/>
  <c r="G343" i="55" a="1"/>
  <c r="G343" i="55" s="1"/>
  <c r="G271" i="55" a="1"/>
  <c r="G271" i="55" s="1"/>
  <c r="G262" i="55" a="1"/>
  <c r="G262" i="55" s="1"/>
  <c r="G232" i="55" a="1"/>
  <c r="G232" i="55" s="1"/>
  <c r="G282" i="55" a="1"/>
  <c r="G282" i="55" s="1"/>
  <c r="G314" i="55" a="1"/>
  <c r="G314" i="55" s="1"/>
  <c r="G362" i="55" a="1"/>
  <c r="G362" i="55" s="1"/>
  <c r="G295" i="55" a="1"/>
  <c r="G295" i="55" s="1"/>
  <c r="G253" i="55" a="1"/>
  <c r="G253" i="55" s="1"/>
  <c r="G367" i="55" a="1"/>
  <c r="G367" i="55" s="1"/>
  <c r="I326" i="55" a="1"/>
  <c r="I326" i="55" s="1"/>
  <c r="I235" i="55" a="1"/>
  <c r="I235" i="55" s="1"/>
  <c r="I227" i="55" a="1"/>
  <c r="I227" i="55" s="1"/>
  <c r="I355" i="55" a="1"/>
  <c r="I355" i="55" s="1"/>
  <c r="G246" i="55" a="1"/>
  <c r="G246" i="55" s="1"/>
  <c r="G365" i="55" a="1"/>
  <c r="G365" i="55" s="1"/>
  <c r="G377" i="55" a="1"/>
  <c r="G377" i="55" s="1"/>
  <c r="K377" i="55" s="1"/>
  <c r="I379" i="55" a="1"/>
  <c r="I379" i="55" s="1"/>
  <c r="I255" i="55" a="1"/>
  <c r="I255" i="55" s="1"/>
  <c r="I263" i="55" a="1"/>
  <c r="I263" i="55" s="1"/>
  <c r="I248" i="55" a="1"/>
  <c r="I248" i="55" s="1"/>
  <c r="I319" i="55" a="1"/>
  <c r="I319" i="55" s="1"/>
  <c r="I338" i="55" a="1"/>
  <c r="I338" i="55" s="1"/>
  <c r="I363" i="55" a="1"/>
  <c r="I363" i="55" s="1"/>
  <c r="I353" i="55" a="1"/>
  <c r="I353" i="55" s="1"/>
  <c r="I293" i="55" a="1"/>
  <c r="I293" i="55" s="1"/>
  <c r="I299" i="55" a="1"/>
  <c r="I299" i="55" s="1"/>
  <c r="I364" i="55" a="1"/>
  <c r="I364" i="55" s="1"/>
  <c r="G303" i="55" a="1"/>
  <c r="G303" i="55" s="1"/>
  <c r="G221" i="55" a="1"/>
  <c r="G221" i="55" s="1"/>
  <c r="G278" i="55" a="1"/>
  <c r="G278" i="55" s="1"/>
  <c r="G371" i="55" a="1"/>
  <c r="G371" i="55" s="1"/>
  <c r="G318" i="55" a="1"/>
  <c r="G318" i="55" s="1"/>
  <c r="I351" i="55" a="1"/>
  <c r="I351" i="55" s="1"/>
  <c r="I346" i="55" a="1"/>
  <c r="I346" i="55" s="1"/>
  <c r="I348" i="55" a="1"/>
  <c r="I348" i="55" s="1"/>
  <c r="I276" i="55" a="1"/>
  <c r="I276" i="55" s="1"/>
  <c r="I344" i="55" a="1"/>
  <c r="I344" i="55" s="1"/>
  <c r="I342" i="55" a="1"/>
  <c r="I342" i="55" s="1"/>
  <c r="G373" i="55" a="1"/>
  <c r="G373" i="55" s="1"/>
  <c r="G320" i="55" a="1"/>
  <c r="G320" i="55" s="1"/>
  <c r="G222" i="55" a="1"/>
  <c r="G222" i="55" s="1"/>
  <c r="I239" i="55" a="1"/>
  <c r="I239" i="55" s="1"/>
  <c r="I249" i="55" a="1"/>
  <c r="I249" i="55" s="1"/>
  <c r="I220" i="55" a="1"/>
  <c r="I220" i="55" s="1"/>
  <c r="I270" i="55" a="1"/>
  <c r="I270" i="55" s="1"/>
  <c r="G257" i="55" a="1"/>
  <c r="G257" i="55" s="1"/>
  <c r="G272" i="55" a="1"/>
  <c r="G272" i="55" s="1"/>
  <c r="G348" i="55" a="1"/>
  <c r="G348" i="55" s="1"/>
  <c r="G276" i="55" a="1"/>
  <c r="G276" i="55" s="1"/>
  <c r="G344" i="55" a="1"/>
  <c r="G344" i="55" s="1"/>
  <c r="G342" i="55" a="1"/>
  <c r="G342" i="55" s="1"/>
  <c r="I373" i="55" a="1"/>
  <c r="I373" i="55" s="1"/>
  <c r="I320" i="55" a="1"/>
  <c r="I320" i="55" s="1"/>
  <c r="I238" i="55" a="1"/>
  <c r="I238" i="55" s="1"/>
  <c r="I285" i="55" a="1"/>
  <c r="I285" i="55" s="1"/>
  <c r="I347" i="55" a="1"/>
  <c r="I347" i="55" s="1"/>
  <c r="I323" i="55" a="1"/>
  <c r="I323" i="55" s="1"/>
  <c r="I266" i="55" a="1"/>
  <c r="I266" i="55" s="1"/>
  <c r="G237" i="55" a="1"/>
  <c r="G237" i="55" s="1"/>
  <c r="G311" i="55" a="1"/>
  <c r="G311" i="55" s="1"/>
  <c r="G220" i="55" a="1"/>
  <c r="G220" i="55" s="1"/>
  <c r="G270" i="55" a="1"/>
  <c r="G270" i="55" s="1"/>
  <c r="I312" i="55" a="1"/>
  <c r="I312" i="55" s="1"/>
  <c r="I254" i="55" a="1"/>
  <c r="I254" i="55" s="1"/>
  <c r="I349" i="55" a="1"/>
  <c r="I349" i="55" s="1"/>
  <c r="G370" i="55" a="1"/>
  <c r="G370" i="55" s="1"/>
  <c r="G251" i="55" a="1"/>
  <c r="G251" i="55" s="1"/>
  <c r="G238" i="55" a="1"/>
  <c r="G238" i="55" s="1"/>
  <c r="G285" i="55" a="1"/>
  <c r="G285" i="55" s="1"/>
  <c r="G347" i="55" a="1"/>
  <c r="G347" i="55" s="1"/>
  <c r="G323" i="55" a="1"/>
  <c r="G323" i="55" s="1"/>
  <c r="G266" i="55" a="1"/>
  <c r="G266" i="55" s="1"/>
  <c r="I237" i="55" a="1"/>
  <c r="I237" i="55" s="1"/>
  <c r="I311" i="55" a="1"/>
  <c r="I311" i="55" s="1"/>
  <c r="I337" i="55" a="1"/>
  <c r="I337" i="55" s="1"/>
  <c r="I267" i="55" a="1"/>
  <c r="I267" i="55" s="1"/>
  <c r="I274" i="55" a="1"/>
  <c r="I274" i="55" s="1"/>
  <c r="I252" i="55" a="1"/>
  <c r="I252" i="55" s="1"/>
  <c r="G331" i="55" a="1"/>
  <c r="G331" i="55" s="1"/>
  <c r="I257" i="55" a="1"/>
  <c r="I257" i="55" s="1"/>
  <c r="I272" i="55" a="1"/>
  <c r="I272" i="55" s="1"/>
  <c r="G239" i="55" a="1"/>
  <c r="G239" i="55" s="1"/>
  <c r="G249" i="55" a="1"/>
  <c r="G249" i="55" s="1"/>
  <c r="G337" i="55" a="1"/>
  <c r="G337" i="55" s="1"/>
  <c r="G267" i="55" a="1"/>
  <c r="G267" i="55" s="1"/>
  <c r="G274" i="55" a="1"/>
  <c r="G274" i="55" s="1"/>
  <c r="G252" i="55" a="1"/>
  <c r="G252" i="55" s="1"/>
  <c r="I331" i="55" a="1"/>
  <c r="I331" i="55" s="1"/>
  <c r="I303" i="55" a="1"/>
  <c r="I303" i="55" s="1"/>
  <c r="I221" i="55" a="1"/>
  <c r="I221" i="55" s="1"/>
  <c r="I278" i="55" a="1"/>
  <c r="I278" i="55" s="1"/>
  <c r="I371" i="55" a="1"/>
  <c r="I371" i="55" s="1"/>
  <c r="I318" i="55" a="1"/>
  <c r="I318" i="55" s="1"/>
  <c r="G351" i="55" a="1"/>
  <c r="G351" i="55" s="1"/>
  <c r="G346" i="55" a="1"/>
  <c r="G346" i="55" s="1"/>
  <c r="I370" i="55" a="1"/>
  <c r="I370" i="55" s="1"/>
  <c r="I251" i="55" a="1"/>
  <c r="I251" i="55" s="1"/>
  <c r="I222" i="55" a="1"/>
  <c r="I222" i="55" s="1"/>
  <c r="G312" i="55" a="1"/>
  <c r="G312" i="55" s="1"/>
  <c r="G254" i="55" a="1"/>
  <c r="G254" i="55" s="1"/>
  <c r="K254" i="55" s="1"/>
  <c r="G349" i="55" a="1"/>
  <c r="G349" i="55" s="1"/>
  <c r="K349" i="55" s="1"/>
  <c r="A3" i="15"/>
  <c r="A2" i="15"/>
  <c r="N8" i="73"/>
  <c r="M8" i="73"/>
  <c r="A2" i="73"/>
  <c r="A1" i="73"/>
  <c r="K268" i="55" l="1"/>
  <c r="K236" i="55"/>
  <c r="K295" i="55"/>
  <c r="K232" i="55"/>
  <c r="K262" i="55"/>
  <c r="K253" i="55"/>
  <c r="K282" i="55"/>
  <c r="K343" i="55"/>
  <c r="K362" i="55"/>
  <c r="K304" i="55"/>
  <c r="K314" i="55"/>
  <c r="K283" i="55"/>
  <c r="K226" i="55"/>
  <c r="K333" i="55"/>
  <c r="K244" i="55"/>
  <c r="K243" i="55"/>
  <c r="K280" i="55"/>
  <c r="K271" i="55"/>
  <c r="K312" i="55"/>
  <c r="K350" i="55"/>
  <c r="K367" i="55"/>
  <c r="K246" i="55"/>
  <c r="Z14" i="34"/>
  <c r="Z1982" i="34"/>
  <c r="Z1873" i="34"/>
  <c r="Z1677" i="34"/>
  <c r="Z1984" i="34"/>
  <c r="Z1137" i="34"/>
  <c r="Z1479" i="34"/>
  <c r="Z1679" i="34"/>
  <c r="Z1537" i="34"/>
  <c r="Z1578" i="34"/>
  <c r="Z1696" i="34"/>
  <c r="Z1774" i="34"/>
  <c r="Z1810" i="34"/>
  <c r="Z1359" i="34"/>
  <c r="Z1427" i="34"/>
  <c r="Z1437" i="34"/>
  <c r="Z1669" i="34"/>
  <c r="Z1314" i="34"/>
  <c r="Z1622" i="34"/>
  <c r="Z1832" i="34"/>
  <c r="Z1504" i="34"/>
  <c r="Z1579" i="34"/>
  <c r="Z1745" i="34"/>
  <c r="Z1803" i="34"/>
  <c r="Z1352" i="34"/>
  <c r="Z1381" i="34"/>
  <c r="Z1438" i="34"/>
  <c r="Z1272" i="34"/>
  <c r="Z1303" i="34"/>
  <c r="Z1620" i="34"/>
  <c r="Z1833" i="34"/>
  <c r="Z1584" i="34"/>
  <c r="Z1694" i="34"/>
  <c r="Z1750" i="34"/>
  <c r="Z1808" i="34"/>
  <c r="Z1829" i="34"/>
  <c r="Z1316" i="34"/>
  <c r="Z1357" i="34"/>
  <c r="Z1382" i="34"/>
  <c r="Z1413" i="34"/>
  <c r="Z1472" i="34"/>
  <c r="Z1568" i="34"/>
  <c r="Z1690" i="34"/>
  <c r="Z1194" i="34"/>
  <c r="Z1225" i="34"/>
  <c r="Z1312" i="34"/>
  <c r="Z1838" i="34"/>
  <c r="Z1532" i="34"/>
  <c r="Z1577" i="34"/>
  <c r="Z1695" i="34"/>
  <c r="Z1809" i="34"/>
  <c r="Z1358" i="34"/>
  <c r="Z1387" i="34"/>
  <c r="Z1588" i="34"/>
  <c r="Z1626" i="34"/>
  <c r="Z1839" i="34"/>
  <c r="Z1511" i="34"/>
  <c r="Z1533" i="34"/>
  <c r="Z1574" i="34"/>
  <c r="Z1692" i="34"/>
  <c r="Z1733" i="34"/>
  <c r="Z1806" i="34"/>
  <c r="Z1355" i="34"/>
  <c r="Z1388" i="34"/>
  <c r="Z1411" i="34"/>
  <c r="Z1501" i="34"/>
  <c r="Z1192" i="34"/>
  <c r="Z1231" i="34"/>
  <c r="Z1310" i="34"/>
  <c r="Z1585" i="34"/>
  <c r="Z1538" i="34"/>
  <c r="Z1575" i="34"/>
  <c r="Z1779" i="34"/>
  <c r="Z1670" i="34"/>
  <c r="Z1268" i="34"/>
  <c r="Z1509" i="34"/>
  <c r="Z1580" i="34"/>
  <c r="Z1746" i="34"/>
  <c r="Z1804" i="34"/>
  <c r="Z1353" i="34"/>
  <c r="Z1409" i="34"/>
  <c r="Z1190" i="34"/>
  <c r="Z1308" i="34"/>
  <c r="Z1625" i="34"/>
  <c r="Z1834" i="34"/>
  <c r="Z1573" i="34"/>
  <c r="Z1691" i="34"/>
  <c r="Z1755" i="34"/>
  <c r="Z1805" i="34"/>
  <c r="Z1830" i="34"/>
  <c r="Z1317" i="34"/>
  <c r="Z1354" i="34"/>
  <c r="Z1383" i="34"/>
  <c r="Z1410" i="34"/>
  <c r="Z1473" i="34"/>
  <c r="Z1195" i="34"/>
  <c r="Z1230" i="34"/>
  <c r="Z1313" i="34"/>
  <c r="Z1835" i="34"/>
  <c r="Z1507" i="34"/>
  <c r="Z1752" i="34"/>
  <c r="Z1782" i="34"/>
  <c r="Z1831" i="34"/>
  <c r="Z1351" i="34"/>
  <c r="Z1384" i="34"/>
  <c r="Z1188" i="34"/>
  <c r="Z1227" i="34"/>
  <c r="Z1271" i="34"/>
  <c r="Z1306" i="34"/>
  <c r="Z1587" i="34"/>
  <c r="Z1623" i="34"/>
  <c r="Z1840" i="34"/>
  <c r="Z1534" i="34"/>
  <c r="Z1697" i="34"/>
  <c r="Z1753" i="34"/>
  <c r="Z1775" i="34"/>
  <c r="Z1811" i="34"/>
  <c r="Z1315" i="34"/>
  <c r="Z1389" i="34"/>
  <c r="Z1428" i="34"/>
  <c r="Z1502" i="34"/>
  <c r="Z1193" i="34"/>
  <c r="Z1228" i="34"/>
  <c r="Z1264" i="34"/>
  <c r="Z1311" i="34"/>
  <c r="Z1586" i="34"/>
  <c r="Z1841" i="34"/>
  <c r="Z1505" i="34"/>
  <c r="Z1535" i="34"/>
  <c r="Z1576" i="34"/>
  <c r="Z1780" i="34"/>
  <c r="Z1269" i="34"/>
  <c r="Z1304" i="34"/>
  <c r="Z618" i="34"/>
  <c r="Z1621" i="34"/>
  <c r="Z1510" i="34"/>
  <c r="Z1732" i="34"/>
  <c r="Z1751" i="34"/>
  <c r="Z1781" i="34"/>
  <c r="Z1569" i="34"/>
  <c r="Z1191" i="34"/>
  <c r="Z1226" i="34"/>
  <c r="Z1270" i="34"/>
  <c r="Z1309" i="34"/>
  <c r="Z1503" i="34"/>
  <c r="Z1582" i="34"/>
  <c r="Z1748" i="34"/>
  <c r="Z1778" i="34"/>
  <c r="Z1223" i="34"/>
  <c r="Z1267" i="34"/>
  <c r="Z1302" i="34"/>
  <c r="Z1619" i="34"/>
  <c r="Z1836" i="34"/>
  <c r="Z1508" i="34"/>
  <c r="Z1530" i="34"/>
  <c r="Z1583" i="34"/>
  <c r="Z1693" i="34"/>
  <c r="Z1749" i="34"/>
  <c r="Z1807" i="34"/>
  <c r="Z1356" i="34"/>
  <c r="Z1385" i="34"/>
  <c r="Z1412" i="34"/>
  <c r="Z1189" i="34"/>
  <c r="Z1224" i="34"/>
  <c r="Z1307" i="34"/>
  <c r="Z1624" i="34"/>
  <c r="Z1837" i="34"/>
  <c r="Z1531" i="34"/>
  <c r="Z1572" i="34"/>
  <c r="Z1698" i="34"/>
  <c r="Z1754" i="34"/>
  <c r="Z1776" i="34"/>
  <c r="Z1386" i="34"/>
  <c r="Z1429" i="34"/>
  <c r="Z1229" i="34"/>
  <c r="Z1265" i="34"/>
  <c r="Z1300" i="34"/>
  <c r="Z1842" i="34"/>
  <c r="Z1506" i="34"/>
  <c r="Z1536" i="34"/>
  <c r="Z1581" i="34"/>
  <c r="Z1747" i="34"/>
  <c r="Z1777" i="34"/>
  <c r="Z1430" i="34"/>
  <c r="Z1187" i="34"/>
  <c r="Z1266" i="34"/>
  <c r="Z1305" i="34"/>
  <c r="Z1414" i="34"/>
  <c r="Z1301" i="34"/>
  <c r="Z1142" i="34"/>
  <c r="Z967" i="34"/>
  <c r="Z954" i="34"/>
  <c r="Z973" i="34"/>
  <c r="Z991" i="34"/>
  <c r="Z489" i="34"/>
  <c r="Z910" i="34"/>
  <c r="Z928" i="34"/>
  <c r="Z431" i="34"/>
  <c r="Z455" i="34"/>
  <c r="Z477" i="34"/>
  <c r="Z288" i="34"/>
  <c r="Z296" i="34"/>
  <c r="Z315" i="34"/>
  <c r="Z952" i="34"/>
  <c r="Z955" i="34"/>
  <c r="Z974" i="34"/>
  <c r="Z992" i="34"/>
  <c r="Z620" i="34"/>
  <c r="Z911" i="34"/>
  <c r="Z929" i="34"/>
  <c r="Z439" i="34"/>
  <c r="Z461" i="34"/>
  <c r="Z485" i="34"/>
  <c r="Z636" i="34"/>
  <c r="Z289" i="34"/>
  <c r="Z297" i="34"/>
  <c r="Z316" i="34"/>
  <c r="Z492" i="34"/>
  <c r="Z918" i="34"/>
  <c r="Z934" i="34"/>
  <c r="Z428" i="34"/>
  <c r="Z452" i="34"/>
  <c r="Z474" i="34"/>
  <c r="Z281" i="34"/>
  <c r="Z303" i="34"/>
  <c r="Z995" i="34"/>
  <c r="Z972" i="34"/>
  <c r="Z634" i="34"/>
  <c r="Z621" i="34"/>
  <c r="Z950" i="34"/>
  <c r="Z969" i="34"/>
  <c r="Z987" i="34"/>
  <c r="Z924" i="34"/>
  <c r="Z941" i="34"/>
  <c r="Z425" i="34"/>
  <c r="Z450" i="34"/>
  <c r="Z471" i="34"/>
  <c r="Z283" i="34"/>
  <c r="Z292" i="34"/>
  <c r="Z310" i="34"/>
  <c r="Z913" i="34"/>
  <c r="Z1006" i="34"/>
  <c r="Z1002" i="34"/>
  <c r="Z1141" i="34"/>
  <c r="Z951" i="34"/>
  <c r="Z970" i="34"/>
  <c r="Z988" i="34"/>
  <c r="Z491" i="34"/>
  <c r="Z925" i="34"/>
  <c r="Z942" i="34"/>
  <c r="Z432" i="34"/>
  <c r="Z456" i="34"/>
  <c r="Z479" i="34"/>
  <c r="Z284" i="34"/>
  <c r="Z293" i="34"/>
  <c r="Z311" i="34"/>
  <c r="Z999" i="34"/>
  <c r="Z930" i="34"/>
  <c r="Z447" i="34"/>
  <c r="Z468" i="34"/>
  <c r="Z277" i="34"/>
  <c r="Z298" i="34"/>
  <c r="Z317" i="34"/>
  <c r="Z962" i="34"/>
  <c r="Z968" i="34"/>
  <c r="Z985" i="34"/>
  <c r="Z488" i="34"/>
  <c r="Z923" i="34"/>
  <c r="Z940" i="34"/>
  <c r="Z429" i="34"/>
  <c r="Z454" i="34"/>
  <c r="Z476" i="34"/>
  <c r="Z282" i="34"/>
  <c r="Z304" i="34"/>
  <c r="Z958" i="34"/>
  <c r="Z1001" i="34"/>
  <c r="Z945" i="34"/>
  <c r="Z965" i="34"/>
  <c r="Z982" i="34"/>
  <c r="Z624" i="34"/>
  <c r="Z920" i="34"/>
  <c r="Z937" i="34"/>
  <c r="Z444" i="34"/>
  <c r="Z466" i="34"/>
  <c r="Z279" i="34"/>
  <c r="Z305" i="34"/>
  <c r="Z1004" i="34"/>
  <c r="Z984" i="34"/>
  <c r="Z1000" i="34"/>
  <c r="Z949" i="34"/>
  <c r="Z997" i="34"/>
  <c r="Z998" i="34"/>
  <c r="Z947" i="34"/>
  <c r="Z966" i="34"/>
  <c r="Z983" i="34"/>
  <c r="Z921" i="34"/>
  <c r="Z938" i="34"/>
  <c r="Z426" i="34"/>
  <c r="Z451" i="34"/>
  <c r="Z473" i="34"/>
  <c r="Z280" i="34"/>
  <c r="Z307" i="34"/>
  <c r="Z979" i="34"/>
  <c r="Z926" i="34"/>
  <c r="Z943" i="34"/>
  <c r="Z441" i="34"/>
  <c r="Z463" i="34"/>
  <c r="Z486" i="34"/>
  <c r="Z294" i="34"/>
  <c r="Z312" i="34"/>
  <c r="Z948" i="34"/>
  <c r="Z908" i="34"/>
  <c r="Z964" i="34"/>
  <c r="Z980" i="34"/>
  <c r="Z919" i="34"/>
  <c r="Z935" i="34"/>
  <c r="Z423" i="34"/>
  <c r="Z448" i="34"/>
  <c r="Z470" i="34"/>
  <c r="Z989" i="34"/>
  <c r="Z996" i="34"/>
  <c r="Z944" i="34"/>
  <c r="Z960" i="34"/>
  <c r="Z977" i="34"/>
  <c r="Z494" i="34"/>
  <c r="Z915" i="34"/>
  <c r="Z932" i="34"/>
  <c r="Z438" i="34"/>
  <c r="Z460" i="34"/>
  <c r="Z483" i="34"/>
  <c r="Z635" i="34"/>
  <c r="Z301" i="34"/>
  <c r="Z320" i="34"/>
  <c r="Z971" i="34"/>
  <c r="Z994" i="34"/>
  <c r="Z961" i="34"/>
  <c r="Z978" i="34"/>
  <c r="Z625" i="34"/>
  <c r="Z916" i="34"/>
  <c r="Z933" i="34"/>
  <c r="Z445" i="34"/>
  <c r="Z467" i="34"/>
  <c r="Z302" i="34"/>
  <c r="Z321" i="34"/>
  <c r="Z957" i="34"/>
  <c r="Z922" i="34"/>
  <c r="Z939" i="34"/>
  <c r="Z435" i="34"/>
  <c r="Z457" i="34"/>
  <c r="Z480" i="34"/>
  <c r="Z285" i="34"/>
  <c r="Z290" i="34"/>
  <c r="Z308" i="34"/>
  <c r="Z993" i="34"/>
  <c r="Z1005" i="34"/>
  <c r="Z953" i="34"/>
  <c r="Z976" i="34"/>
  <c r="Z622" i="34"/>
  <c r="Z914" i="34"/>
  <c r="Z931" i="34"/>
  <c r="Z442" i="34"/>
  <c r="Z464" i="34"/>
  <c r="Z299" i="34"/>
  <c r="Z319" i="34"/>
  <c r="Z322" i="34"/>
  <c r="Z975" i="34"/>
  <c r="Z990" i="34"/>
  <c r="Z493" i="34"/>
  <c r="Z909" i="34"/>
  <c r="Z927" i="34"/>
  <c r="Z436" i="34"/>
  <c r="Z459" i="34"/>
  <c r="Z482" i="34"/>
  <c r="Z286" i="34"/>
  <c r="Z295" i="34"/>
  <c r="Z314" i="34"/>
  <c r="Z291" i="34"/>
  <c r="Z309" i="34"/>
  <c r="Z278" i="34"/>
  <c r="Z142" i="34"/>
  <c r="Z143" i="34"/>
  <c r="Z1681" i="34"/>
  <c r="Z84" i="34"/>
  <c r="Z2003" i="34"/>
  <c r="Z2004" i="34"/>
  <c r="Z2037" i="34"/>
  <c r="Z2071" i="34"/>
  <c r="Z2066" i="34"/>
  <c r="Z2070" i="34"/>
  <c r="Z2067" i="34"/>
  <c r="Z2041" i="34"/>
  <c r="Z2039" i="34"/>
  <c r="Z2069" i="34"/>
  <c r="Z2038" i="34"/>
  <c r="Z2043" i="34"/>
  <c r="Z2001" i="34"/>
  <c r="Z2068" i="34"/>
  <c r="Z2042" i="34"/>
  <c r="Z2040" i="34"/>
  <c r="Z2045" i="34"/>
  <c r="Z2103" i="34"/>
  <c r="Z2035" i="34"/>
  <c r="Z2002" i="34"/>
  <c r="Z2047" i="34"/>
  <c r="Z2028" i="34"/>
  <c r="Z1988" i="34"/>
  <c r="Z2000" i="34"/>
  <c r="Z2073" i="34"/>
  <c r="Z1894" i="34"/>
  <c r="Z1912" i="34"/>
  <c r="Z1906" i="34"/>
  <c r="Z1917" i="34"/>
  <c r="Z1952" i="34"/>
  <c r="Z1925" i="34"/>
  <c r="Z2006" i="34"/>
  <c r="Z1956" i="34"/>
  <c r="Z2012" i="34"/>
  <c r="Z1294" i="34"/>
  <c r="Z1296" i="34"/>
  <c r="Z1378" i="34"/>
  <c r="Z1380" i="34"/>
  <c r="Z1406" i="34"/>
  <c r="Z1408" i="34"/>
  <c r="Z1434" i="34"/>
  <c r="Z1436" i="34"/>
  <c r="Z1475" i="34"/>
  <c r="Z1522" i="34"/>
  <c r="Z1528" i="34"/>
  <c r="Z1634" i="34"/>
  <c r="Z1640" i="34"/>
  <c r="Z1711" i="34"/>
  <c r="Z1770" i="34"/>
  <c r="Z1772" i="34"/>
  <c r="Z1858" i="34"/>
  <c r="Z1860" i="34"/>
  <c r="Z2048" i="34"/>
  <c r="Z2075" i="34"/>
  <c r="Z1971" i="34"/>
  <c r="Z2025" i="34"/>
  <c r="Z2083" i="34"/>
  <c r="Z2096" i="34"/>
  <c r="Z2101" i="34"/>
  <c r="Z1944" i="34"/>
  <c r="Z1993" i="34"/>
  <c r="Z1895" i="34"/>
  <c r="Z1907" i="34"/>
  <c r="Z1914" i="34"/>
  <c r="Z1945" i="34"/>
  <c r="Z1965" i="34"/>
  <c r="Z1968" i="34"/>
  <c r="Z2022" i="34"/>
  <c r="Z1890" i="34"/>
  <c r="Z1998" i="34"/>
  <c r="Z2044" i="34"/>
  <c r="Z1879" i="34"/>
  <c r="Z1896" i="34"/>
  <c r="Z1950" i="34"/>
  <c r="Z1931" i="34"/>
  <c r="Z1922" i="34"/>
  <c r="Z2010" i="34"/>
  <c r="Z1220" i="34"/>
  <c r="Z1246" i="34"/>
  <c r="Z1252" i="34"/>
  <c r="Z1291" i="34"/>
  <c r="Z1293" i="34"/>
  <c r="Z1375" i="34"/>
  <c r="Z1377" i="34"/>
  <c r="Z1403" i="34"/>
  <c r="Z1405" i="34"/>
  <c r="Z1423" i="34"/>
  <c r="Z1425" i="34"/>
  <c r="Z1440" i="34"/>
  <c r="Z1672" i="34"/>
  <c r="Z1714" i="34"/>
  <c r="Z1821" i="34"/>
  <c r="Z1823" i="34"/>
  <c r="Z2050" i="34"/>
  <c r="Z2077" i="34"/>
  <c r="Z1886" i="34"/>
  <c r="Z1973" i="34"/>
  <c r="Z2064" i="34"/>
  <c r="Z2085" i="34"/>
  <c r="Z1887" i="34"/>
  <c r="Z1909" i="34"/>
  <c r="Z1959" i="34"/>
  <c r="Z2015" i="34"/>
  <c r="Z2082" i="34"/>
  <c r="Z1978" i="34"/>
  <c r="Z2024" i="34"/>
  <c r="Z2065" i="34"/>
  <c r="Z2090" i="34"/>
  <c r="Z1888" i="34"/>
  <c r="Z1983" i="34"/>
  <c r="Z2100" i="34"/>
  <c r="Z1943" i="34"/>
  <c r="Z1996" i="34"/>
  <c r="Z1902" i="34"/>
  <c r="Z1948" i="34"/>
  <c r="Z2008" i="34"/>
  <c r="Z1221" i="34"/>
  <c r="Z1247" i="34"/>
  <c r="Z1253" i="34"/>
  <c r="Z1338" i="34"/>
  <c r="Z1340" i="34"/>
  <c r="Z1346" i="34"/>
  <c r="Z1348" i="34"/>
  <c r="Z1547" i="34"/>
  <c r="Z1549" i="34"/>
  <c r="Z1571" i="34"/>
  <c r="Z1605" i="34"/>
  <c r="Z1611" i="34"/>
  <c r="Z1613" i="34"/>
  <c r="Z1709" i="34"/>
  <c r="Z1795" i="34"/>
  <c r="Z1801" i="34"/>
  <c r="Z1822" i="34"/>
  <c r="Z1824" i="34"/>
  <c r="Z1967" i="34"/>
  <c r="Z2021" i="34"/>
  <c r="Z1940" i="34"/>
  <c r="Z2036" i="34"/>
  <c r="Z1903" i="34"/>
  <c r="Z1961" i="34"/>
  <c r="Z2017" i="34"/>
  <c r="Z2053" i="34"/>
  <c r="Z2034" i="34"/>
  <c r="Z2102" i="34"/>
  <c r="Z1882" i="34"/>
  <c r="Z1980" i="34"/>
  <c r="Z1986" i="34"/>
  <c r="Z1941" i="34"/>
  <c r="Z1994" i="34"/>
  <c r="Z2091" i="34"/>
  <c r="Z1908" i="34"/>
  <c r="Z1919" i="34"/>
  <c r="Z1946" i="34"/>
  <c r="Z1927" i="34"/>
  <c r="Z1966" i="34"/>
  <c r="Z1335" i="34"/>
  <c r="Z1337" i="34"/>
  <c r="Z1343" i="34"/>
  <c r="Z1345" i="34"/>
  <c r="Z1523" i="34"/>
  <c r="Z1525" i="34"/>
  <c r="Z1552" i="34"/>
  <c r="Z1554" i="34"/>
  <c r="Z1608" i="34"/>
  <c r="Z1610" i="34"/>
  <c r="Z1616" i="34"/>
  <c r="Z1618" i="34"/>
  <c r="Z1635" i="34"/>
  <c r="Z1637" i="34"/>
  <c r="Z1765" i="34"/>
  <c r="Z1767" i="34"/>
  <c r="Z1773" i="34"/>
  <c r="Z1798" i="34"/>
  <c r="Z1800" i="34"/>
  <c r="Z1855" i="34"/>
  <c r="Z1861" i="34"/>
  <c r="Z1863" i="34"/>
  <c r="Z2046" i="34"/>
  <c r="Z1969" i="34"/>
  <c r="Z2031" i="34"/>
  <c r="Z2060" i="34"/>
  <c r="Z2104" i="34"/>
  <c r="Z1891" i="34"/>
  <c r="Z1981" i="34"/>
  <c r="Z2099" i="34"/>
  <c r="Z1942" i="34"/>
  <c r="Z1999" i="34"/>
  <c r="Z2092" i="34"/>
  <c r="Z1893" i="34"/>
  <c r="Z1905" i="34"/>
  <c r="Z1920" i="34"/>
  <c r="Z1951" i="34"/>
  <c r="Z1928" i="34"/>
  <c r="Z2005" i="34"/>
  <c r="Z1955" i="34"/>
  <c r="Z2011" i="34"/>
  <c r="Z2018" i="34"/>
  <c r="Z2055" i="34"/>
  <c r="Z2078" i="34"/>
  <c r="Z1974" i="34"/>
  <c r="Z2061" i="34"/>
  <c r="Z2086" i="34"/>
  <c r="Z1880" i="34"/>
  <c r="Z1939" i="34"/>
  <c r="Z1992" i="34"/>
  <c r="Z1898" i="34"/>
  <c r="Z1964" i="34"/>
  <c r="Z1290" i="34"/>
  <c r="Z1292" i="34"/>
  <c r="Z1374" i="34"/>
  <c r="Z1376" i="34"/>
  <c r="Z1402" i="34"/>
  <c r="Z1404" i="34"/>
  <c r="Z1422" i="34"/>
  <c r="Z1424" i="34"/>
  <c r="Z1524" i="34"/>
  <c r="Z1526" i="34"/>
  <c r="Z1636" i="34"/>
  <c r="Z1638" i="34"/>
  <c r="Z1713" i="34"/>
  <c r="Z1766" i="34"/>
  <c r="Z1768" i="34"/>
  <c r="Z1854" i="34"/>
  <c r="Z1856" i="34"/>
  <c r="Z1862" i="34"/>
  <c r="Z1864" i="34"/>
  <c r="Z2033" i="34"/>
  <c r="Z2062" i="34"/>
  <c r="Z1875" i="34"/>
  <c r="Z1889" i="34"/>
  <c r="Z1989" i="34"/>
  <c r="Z1936" i="34"/>
  <c r="Z1878" i="34"/>
  <c r="Z1913" i="34"/>
  <c r="Z1899" i="34"/>
  <c r="Z1953" i="34"/>
  <c r="Z1930" i="34"/>
  <c r="Z1957" i="34"/>
  <c r="Z2013" i="34"/>
  <c r="Z2020" i="34"/>
  <c r="Z2049" i="34"/>
  <c r="Z2080" i="34"/>
  <c r="Z1976" i="34"/>
  <c r="Z2030" i="34"/>
  <c r="Z2063" i="34"/>
  <c r="Z2088" i="34"/>
  <c r="Z2097" i="34"/>
  <c r="Z2098" i="34"/>
  <c r="Z1937" i="34"/>
  <c r="Z1990" i="34"/>
  <c r="Z1904" i="34"/>
  <c r="Z1915" i="34"/>
  <c r="Z1962" i="34"/>
  <c r="Z1248" i="34"/>
  <c r="Z1250" i="34"/>
  <c r="Z1289" i="34"/>
  <c r="Z1295" i="34"/>
  <c r="Z1373" i="34"/>
  <c r="Z1379" i="34"/>
  <c r="Z1401" i="34"/>
  <c r="Z1407" i="34"/>
  <c r="Z1421" i="34"/>
  <c r="Z1435" i="34"/>
  <c r="Z1708" i="34"/>
  <c r="Z1710" i="34"/>
  <c r="Z1712" i="34"/>
  <c r="Z1825" i="34"/>
  <c r="Z1827" i="34"/>
  <c r="Z2027" i="34"/>
  <c r="Z2056" i="34"/>
  <c r="Z1987" i="34"/>
  <c r="Z1938" i="34"/>
  <c r="Z1995" i="34"/>
  <c r="Z2072" i="34"/>
  <c r="Z1901" i="34"/>
  <c r="Z1916" i="34"/>
  <c r="Z1947" i="34"/>
  <c r="Z1924" i="34"/>
  <c r="Z2007" i="34"/>
  <c r="Z2051" i="34"/>
  <c r="Z1923" i="34"/>
  <c r="Z1970" i="34"/>
  <c r="Z2032" i="34"/>
  <c r="Z2057" i="34"/>
  <c r="Z1874" i="34"/>
  <c r="Z1911" i="34"/>
  <c r="Z1935" i="34"/>
  <c r="Z2093" i="34"/>
  <c r="Z1910" i="34"/>
  <c r="Z1921" i="34"/>
  <c r="Z1929" i="34"/>
  <c r="Z1960" i="34"/>
  <c r="Z2016" i="34"/>
  <c r="Z1249" i="34"/>
  <c r="Z1251" i="34"/>
  <c r="Z1336" i="34"/>
  <c r="Z1342" i="34"/>
  <c r="Z1344" i="34"/>
  <c r="Z1350" i="34"/>
  <c r="Z1551" i="34"/>
  <c r="Z1553" i="34"/>
  <c r="Z1607" i="34"/>
  <c r="Z1609" i="34"/>
  <c r="Z1615" i="34"/>
  <c r="Z1617" i="34"/>
  <c r="Z1707" i="34"/>
  <c r="Z1742" i="34"/>
  <c r="Z1797" i="34"/>
  <c r="Z1799" i="34"/>
  <c r="Z1820" i="34"/>
  <c r="Z1826" i="34"/>
  <c r="Z2019" i="34"/>
  <c r="Z2052" i="34"/>
  <c r="Z2079" i="34"/>
  <c r="Z2094" i="34"/>
  <c r="Z1975" i="34"/>
  <c r="Z2029" i="34"/>
  <c r="Z2058" i="34"/>
  <c r="Z2087" i="34"/>
  <c r="Z1881" i="34"/>
  <c r="Z1979" i="34"/>
  <c r="Z1985" i="34"/>
  <c r="Z1932" i="34"/>
  <c r="Z1997" i="34"/>
  <c r="Z2074" i="34"/>
  <c r="Z1918" i="34"/>
  <c r="Z1949" i="34"/>
  <c r="Z1926" i="34"/>
  <c r="Z1885" i="34"/>
  <c r="Z2009" i="34"/>
  <c r="Z2076" i="34"/>
  <c r="Z2095" i="34"/>
  <c r="Z1972" i="34"/>
  <c r="Z2026" i="34"/>
  <c r="Z2059" i="34"/>
  <c r="Z2084" i="34"/>
  <c r="Z2105" i="34"/>
  <c r="Z1933" i="34"/>
  <c r="Z1883" i="34"/>
  <c r="Z1900" i="34"/>
  <c r="Z1954" i="34"/>
  <c r="Z1958" i="34"/>
  <c r="Z2014" i="34"/>
  <c r="Z1339" i="34"/>
  <c r="Z1341" i="34"/>
  <c r="Z1347" i="34"/>
  <c r="Z1349" i="34"/>
  <c r="Z1521" i="34"/>
  <c r="Z1527" i="34"/>
  <c r="Z1529" i="34"/>
  <c r="Z1548" i="34"/>
  <c r="Z1550" i="34"/>
  <c r="Z1604" i="34"/>
  <c r="Z1606" i="34"/>
  <c r="Z1612" i="34"/>
  <c r="Z1614" i="34"/>
  <c r="Z1639" i="34"/>
  <c r="Z1769" i="34"/>
  <c r="Z1771" i="34"/>
  <c r="Z1796" i="34"/>
  <c r="Z1802" i="34"/>
  <c r="Z1857" i="34"/>
  <c r="Z1859" i="34"/>
  <c r="Z2054" i="34"/>
  <c r="Z2081" i="34"/>
  <c r="Z1977" i="34"/>
  <c r="Z2023" i="34"/>
  <c r="Z2089" i="34"/>
  <c r="Z1934" i="34"/>
  <c r="Z1991" i="34"/>
  <c r="Z1884" i="34"/>
  <c r="Z1897" i="34"/>
  <c r="Z1963" i="34"/>
  <c r="Z1761" i="34"/>
  <c r="Z1787" i="34"/>
  <c r="Z1812" i="34"/>
  <c r="Z1843" i="34"/>
  <c r="Z1596" i="34"/>
  <c r="Z1627" i="34"/>
  <c r="Z1741" i="34"/>
  <c r="Z1545" i="34"/>
  <c r="Z1594" i="34"/>
  <c r="Z1334" i="34"/>
  <c r="Z1368" i="34"/>
  <c r="Z1243" i="34"/>
  <c r="Z1282" i="34"/>
  <c r="Z1209" i="34"/>
  <c r="Z1655" i="34"/>
  <c r="Z1486" i="34"/>
  <c r="Z1468" i="34"/>
  <c r="Z1454" i="34"/>
  <c r="Z1260" i="34"/>
  <c r="Z1156" i="34"/>
  <c r="Z340" i="34"/>
  <c r="Z361" i="34"/>
  <c r="Z507" i="34"/>
  <c r="Z527" i="34"/>
  <c r="Z549" i="34"/>
  <c r="Z1019" i="34"/>
  <c r="Z1038" i="34"/>
  <c r="Z1056" i="34"/>
  <c r="Z1074" i="34"/>
  <c r="Z1087" i="34"/>
  <c r="Z1876" i="34"/>
  <c r="Z1817" i="34"/>
  <c r="Z1700" i="34"/>
  <c r="Z1516" i="34"/>
  <c r="Z1397" i="34"/>
  <c r="Z1420" i="34"/>
  <c r="Z1325" i="34"/>
  <c r="Z1206" i="34"/>
  <c r="Z1785" i="34"/>
  <c r="Z1739" i="34"/>
  <c r="Z1724" i="34"/>
  <c r="Z1662" i="34"/>
  <c r="Z1563" i="34"/>
  <c r="Z1467" i="34"/>
  <c r="Z1276" i="34"/>
  <c r="Z1263" i="34"/>
  <c r="Z1199" i="34"/>
  <c r="Z1178" i="34"/>
  <c r="Z1163" i="34"/>
  <c r="Z328" i="34"/>
  <c r="Z346" i="34"/>
  <c r="Z495" i="34"/>
  <c r="Z515" i="34"/>
  <c r="Z534" i="34"/>
  <c r="Z626" i="34"/>
  <c r="Z638" i="34"/>
  <c r="Z1025" i="34"/>
  <c r="Z1044" i="34"/>
  <c r="Z1061" i="34"/>
  <c r="Z1079" i="34"/>
  <c r="Z1088" i="34"/>
  <c r="Z1851" i="34"/>
  <c r="Z1215" i="34"/>
  <c r="Z1602" i="34"/>
  <c r="Z1633" i="34"/>
  <c r="Z1757" i="34"/>
  <c r="Z1513" i="34"/>
  <c r="Z1543" i="34"/>
  <c r="Z1592" i="34"/>
  <c r="Z1366" i="34"/>
  <c r="Z1241" i="34"/>
  <c r="Z1288" i="34"/>
  <c r="Z1330" i="34"/>
  <c r="Z1239" i="34"/>
  <c r="Z1734" i="34"/>
  <c r="Z1648" i="34"/>
  <c r="Z1492" i="34"/>
  <c r="Z1452" i="34"/>
  <c r="Z1391" i="34"/>
  <c r="Z1236" i="34"/>
  <c r="Z1154" i="34"/>
  <c r="Z338" i="34"/>
  <c r="Z358" i="34"/>
  <c r="Z505" i="34"/>
  <c r="Z525" i="34"/>
  <c r="Z546" i="34"/>
  <c r="Z1017" i="34"/>
  <c r="Z1036" i="34"/>
  <c r="Z1054" i="34"/>
  <c r="Z1072" i="34"/>
  <c r="Z1093" i="34"/>
  <c r="Z1852" i="34"/>
  <c r="Z1148" i="34"/>
  <c r="Z1815" i="34"/>
  <c r="Z1599" i="34"/>
  <c r="Z1439" i="34"/>
  <c r="Z1514" i="34"/>
  <c r="Z1544" i="34"/>
  <c r="Z1367" i="34"/>
  <c r="Z1331" i="34"/>
  <c r="Z1212" i="34"/>
  <c r="Z1656" i="34"/>
  <c r="Z1647" i="34"/>
  <c r="Z1565" i="34"/>
  <c r="Z1491" i="34"/>
  <c r="Z1469" i="34"/>
  <c r="Z1455" i="34"/>
  <c r="Z1390" i="34"/>
  <c r="Z1157" i="34"/>
  <c r="Z325" i="34"/>
  <c r="Z344" i="34"/>
  <c r="Z364" i="34"/>
  <c r="Z512" i="34"/>
  <c r="Z531" i="34"/>
  <c r="Z1022" i="34"/>
  <c r="Z1042" i="34"/>
  <c r="Z1059" i="34"/>
  <c r="Z1085" i="34"/>
  <c r="Z1877" i="34"/>
  <c r="Z1703" i="34"/>
  <c r="Z1519" i="34"/>
  <c r="Z1541" i="34"/>
  <c r="Z1590" i="34"/>
  <c r="Z1400" i="34"/>
  <c r="Z1419" i="34"/>
  <c r="Z1433" i="34"/>
  <c r="Z1328" i="34"/>
  <c r="Z1786" i="34"/>
  <c r="Z1721" i="34"/>
  <c r="Z1684" i="34"/>
  <c r="Z1659" i="34"/>
  <c r="Z1646" i="34"/>
  <c r="Z1490" i="34"/>
  <c r="Z1458" i="34"/>
  <c r="Z1415" i="34"/>
  <c r="Z1256" i="34"/>
  <c r="Z1234" i="34"/>
  <c r="Z1196" i="34"/>
  <c r="Z1160" i="34"/>
  <c r="Z336" i="34"/>
  <c r="Z356" i="34"/>
  <c r="Z503" i="34"/>
  <c r="Z523" i="34"/>
  <c r="Z543" i="34"/>
  <c r="Z1014" i="34"/>
  <c r="Z1033" i="34"/>
  <c r="Z1052" i="34"/>
  <c r="Z1070" i="34"/>
  <c r="Z1078" i="34"/>
  <c r="Z1082" i="34"/>
  <c r="Z1850" i="34"/>
  <c r="Z1147" i="34"/>
  <c r="Z1218" i="34"/>
  <c r="Z1792" i="34"/>
  <c r="Z1813" i="34"/>
  <c r="Z1632" i="34"/>
  <c r="Z1512" i="34"/>
  <c r="Z1595" i="34"/>
  <c r="Z1393" i="34"/>
  <c r="Z1416" i="34"/>
  <c r="Z1244" i="34"/>
  <c r="Z1287" i="34"/>
  <c r="Z1321" i="34"/>
  <c r="Z1485" i="34"/>
  <c r="Z1481" i="34"/>
  <c r="Z1280" i="34"/>
  <c r="Z1233" i="34"/>
  <c r="Z1203" i="34"/>
  <c r="Z1182" i="34"/>
  <c r="Z1167" i="34"/>
  <c r="Z342" i="34"/>
  <c r="Z362" i="34"/>
  <c r="Z509" i="34"/>
  <c r="Z529" i="34"/>
  <c r="Z1020" i="34"/>
  <c r="Z1040" i="34"/>
  <c r="Z1057" i="34"/>
  <c r="Z1075" i="34"/>
  <c r="Z1083" i="34"/>
  <c r="Z1847" i="34"/>
  <c r="Z1763" i="34"/>
  <c r="Z1598" i="34"/>
  <c r="Z1629" i="34"/>
  <c r="Z1539" i="34"/>
  <c r="Z1398" i="34"/>
  <c r="Z1431" i="34"/>
  <c r="Z1284" i="34"/>
  <c r="Z1326" i="34"/>
  <c r="Z1211" i="34"/>
  <c r="Z1738" i="34"/>
  <c r="Z1719" i="34"/>
  <c r="Z1682" i="34"/>
  <c r="Z1657" i="34"/>
  <c r="Z1652" i="34"/>
  <c r="Z1496" i="34"/>
  <c r="Z1484" i="34"/>
  <c r="Z1456" i="34"/>
  <c r="Z1362" i="34"/>
  <c r="Z1275" i="34"/>
  <c r="Z1177" i="34"/>
  <c r="Z1158" i="34"/>
  <c r="Z334" i="34"/>
  <c r="Z353" i="34"/>
  <c r="Z501" i="34"/>
  <c r="Z521" i="34"/>
  <c r="Z540" i="34"/>
  <c r="Z627" i="34"/>
  <c r="Z1012" i="34"/>
  <c r="Z1031" i="34"/>
  <c r="Z1049" i="34"/>
  <c r="Z1067" i="34"/>
  <c r="Z1089" i="34"/>
  <c r="Z1848" i="34"/>
  <c r="Z1764" i="34"/>
  <c r="Z1630" i="34"/>
  <c r="Z1671" i="34"/>
  <c r="Z1706" i="34"/>
  <c r="Z1540" i="34"/>
  <c r="Z1593" i="34"/>
  <c r="Z1399" i="34"/>
  <c r="Z1242" i="34"/>
  <c r="Z1285" i="34"/>
  <c r="Z1327" i="34"/>
  <c r="Z1208" i="34"/>
  <c r="Z1153" i="34"/>
  <c r="Z1737" i="34"/>
  <c r="Z1722" i="34"/>
  <c r="Z1660" i="34"/>
  <c r="Z1651" i="34"/>
  <c r="Z1495" i="34"/>
  <c r="Z1459" i="34"/>
  <c r="Z1446" i="34"/>
  <c r="Z1274" i="34"/>
  <c r="Z1257" i="34"/>
  <c r="Z1235" i="34"/>
  <c r="Z1197" i="34"/>
  <c r="Z1176" i="34"/>
  <c r="Z1161" i="34"/>
  <c r="Z339" i="34"/>
  <c r="Z360" i="34"/>
  <c r="Z506" i="34"/>
  <c r="Z526" i="34"/>
  <c r="Z547" i="34"/>
  <c r="Z628" i="34"/>
  <c r="Z1018" i="34"/>
  <c r="Z1037" i="34"/>
  <c r="Z1055" i="34"/>
  <c r="Z1073" i="34"/>
  <c r="Z1081" i="34"/>
  <c r="Z1853" i="34"/>
  <c r="Z1217" i="34"/>
  <c r="Z1699" i="34"/>
  <c r="Z1515" i="34"/>
  <c r="Z1396" i="34"/>
  <c r="Z1324" i="34"/>
  <c r="Z1736" i="34"/>
  <c r="Z1725" i="34"/>
  <c r="Z1688" i="34"/>
  <c r="Z1663" i="34"/>
  <c r="Z1650" i="34"/>
  <c r="Z1560" i="34"/>
  <c r="Z1494" i="34"/>
  <c r="Z1482" i="34"/>
  <c r="Z1360" i="34"/>
  <c r="Z1273" i="34"/>
  <c r="Z1200" i="34"/>
  <c r="Z1175" i="34"/>
  <c r="Z1164" i="34"/>
  <c r="Z331" i="34"/>
  <c r="Z350" i="34"/>
  <c r="Z499" i="34"/>
  <c r="Z519" i="34"/>
  <c r="Z538" i="34"/>
  <c r="Z1010" i="34"/>
  <c r="Z1029" i="34"/>
  <c r="Z1047" i="34"/>
  <c r="Z1065" i="34"/>
  <c r="Z1143" i="34"/>
  <c r="Z1214" i="34"/>
  <c r="Z1762" i="34"/>
  <c r="Z1788" i="34"/>
  <c r="Z1844" i="34"/>
  <c r="Z1601" i="34"/>
  <c r="Z1628" i="34"/>
  <c r="Z1546" i="34"/>
  <c r="Z1591" i="34"/>
  <c r="Z1369" i="34"/>
  <c r="Z1240" i="34"/>
  <c r="Z1283" i="34"/>
  <c r="Z1238" i="34"/>
  <c r="Z1683" i="34"/>
  <c r="Z1654" i="34"/>
  <c r="Z1645" i="34"/>
  <c r="Z1489" i="34"/>
  <c r="Z1453" i="34"/>
  <c r="Z1237" i="34"/>
  <c r="Z1155" i="34"/>
  <c r="Z337" i="34"/>
  <c r="Z357" i="34"/>
  <c r="Z504" i="34"/>
  <c r="Z524" i="34"/>
  <c r="Z544" i="34"/>
  <c r="Z1016" i="34"/>
  <c r="Z1034" i="34"/>
  <c r="Z1053" i="34"/>
  <c r="Z1071" i="34"/>
  <c r="Z1318" i="34"/>
  <c r="Z1759" i="34"/>
  <c r="Z1793" i="34"/>
  <c r="Z1818" i="34"/>
  <c r="Z1705" i="34"/>
  <c r="Z1570" i="34"/>
  <c r="Z1332" i="34"/>
  <c r="Z1394" i="34"/>
  <c r="Z1322" i="34"/>
  <c r="Z1207" i="34"/>
  <c r="Z1723" i="34"/>
  <c r="Z1686" i="34"/>
  <c r="Z1661" i="34"/>
  <c r="Z1466" i="34"/>
  <c r="Z1460" i="34"/>
  <c r="Z1279" i="34"/>
  <c r="Z1262" i="34"/>
  <c r="Z1258" i="34"/>
  <c r="Z1198" i="34"/>
  <c r="Z1181" i="34"/>
  <c r="Z1162" i="34"/>
  <c r="Z329" i="34"/>
  <c r="Z348" i="34"/>
  <c r="Z496" i="34"/>
  <c r="Z516" i="34"/>
  <c r="Z535" i="34"/>
  <c r="Z1007" i="34"/>
  <c r="Z1026" i="34"/>
  <c r="Z1045" i="34"/>
  <c r="Z1062" i="34"/>
  <c r="Z1084" i="34"/>
  <c r="Z1892" i="34"/>
  <c r="Z1760" i="34"/>
  <c r="Z1794" i="34"/>
  <c r="Z1589" i="34"/>
  <c r="Z1333" i="34"/>
  <c r="Z1395" i="34"/>
  <c r="Z1418" i="34"/>
  <c r="Z1432" i="34"/>
  <c r="Z1281" i="34"/>
  <c r="Z1323" i="34"/>
  <c r="Z1726" i="34"/>
  <c r="Z1685" i="34"/>
  <c r="Z1664" i="34"/>
  <c r="Z1361" i="34"/>
  <c r="Z1278" i="34"/>
  <c r="Z1261" i="34"/>
  <c r="Z1201" i="34"/>
  <c r="Z1180" i="34"/>
  <c r="Z1165" i="34"/>
  <c r="Z335" i="34"/>
  <c r="Z354" i="34"/>
  <c r="Z502" i="34"/>
  <c r="Z522" i="34"/>
  <c r="Z541" i="34"/>
  <c r="Z1013" i="34"/>
  <c r="Z1032" i="34"/>
  <c r="Z1050" i="34"/>
  <c r="Z1069" i="34"/>
  <c r="Z1094" i="34"/>
  <c r="Z1849" i="34"/>
  <c r="Z1149" i="34"/>
  <c r="Z1791" i="34"/>
  <c r="Z1816" i="34"/>
  <c r="Z1600" i="34"/>
  <c r="Z1631" i="34"/>
  <c r="Z1474" i="34"/>
  <c r="Z1372" i="34"/>
  <c r="Z1286" i="34"/>
  <c r="Z1320" i="34"/>
  <c r="Z1213" i="34"/>
  <c r="Z1740" i="34"/>
  <c r="Z1564" i="34"/>
  <c r="Z1464" i="34"/>
  <c r="Z1364" i="34"/>
  <c r="Z1277" i="34"/>
  <c r="Z1204" i="34"/>
  <c r="Z1179" i="34"/>
  <c r="Z326" i="34"/>
  <c r="Z345" i="34"/>
  <c r="Z366" i="34"/>
  <c r="Z513" i="34"/>
  <c r="Z533" i="34"/>
  <c r="Z637" i="34"/>
  <c r="Z1024" i="34"/>
  <c r="Z1043" i="34"/>
  <c r="Z1060" i="34"/>
  <c r="Z1091" i="34"/>
  <c r="Z1758" i="34"/>
  <c r="Z1597" i="34"/>
  <c r="Z1704" i="34"/>
  <c r="Z1756" i="34"/>
  <c r="Z1520" i="34"/>
  <c r="Z1542" i="34"/>
  <c r="Z1365" i="34"/>
  <c r="Z1329" i="34"/>
  <c r="Z1210" i="34"/>
  <c r="Z1735" i="34"/>
  <c r="Z1720" i="34"/>
  <c r="Z1687" i="34"/>
  <c r="Z1658" i="34"/>
  <c r="Z1649" i="34"/>
  <c r="Z1559" i="34"/>
  <c r="Z1493" i="34"/>
  <c r="Z1463" i="34"/>
  <c r="Z1457" i="34"/>
  <c r="Z1392" i="34"/>
  <c r="Z1363" i="34"/>
  <c r="Z1259" i="34"/>
  <c r="Z1159" i="34"/>
  <c r="Z333" i="34"/>
  <c r="Z352" i="34"/>
  <c r="Z500" i="34"/>
  <c r="Z520" i="34"/>
  <c r="Z539" i="34"/>
  <c r="Z1011" i="34"/>
  <c r="Z1030" i="34"/>
  <c r="Z1048" i="34"/>
  <c r="Z1066" i="34"/>
  <c r="Z1092" i="34"/>
  <c r="Z1219" i="34"/>
  <c r="Z1789" i="34"/>
  <c r="Z1814" i="34"/>
  <c r="Z1845" i="34"/>
  <c r="Z1701" i="34"/>
  <c r="Z1517" i="34"/>
  <c r="Z1370" i="34"/>
  <c r="Z1417" i="34"/>
  <c r="Z1245" i="34"/>
  <c r="Z1784" i="34"/>
  <c r="Z1644" i="34"/>
  <c r="Z1562" i="34"/>
  <c r="Z1488" i="34"/>
  <c r="Z1470" i="34"/>
  <c r="Z1232" i="34"/>
  <c r="Z1202" i="34"/>
  <c r="Z1166" i="34"/>
  <c r="Z324" i="34"/>
  <c r="Z343" i="34"/>
  <c r="Z363" i="34"/>
  <c r="Z510" i="34"/>
  <c r="Z530" i="34"/>
  <c r="Z1021" i="34"/>
  <c r="Z1041" i="34"/>
  <c r="Z1058" i="34"/>
  <c r="Z1076" i="34"/>
  <c r="Z1080" i="34"/>
  <c r="Z1216" i="34"/>
  <c r="Z1790" i="34"/>
  <c r="Z1819" i="34"/>
  <c r="Z1846" i="34"/>
  <c r="Z1603" i="34"/>
  <c r="Z1702" i="34"/>
  <c r="Z1518" i="34"/>
  <c r="Z1371" i="34"/>
  <c r="Z1319" i="34"/>
  <c r="Z1783" i="34"/>
  <c r="Z1689" i="34"/>
  <c r="Z1561" i="34"/>
  <c r="Z1487" i="34"/>
  <c r="Z1483" i="34"/>
  <c r="Z1465" i="34"/>
  <c r="Z1205" i="34"/>
  <c r="Z330" i="34"/>
  <c r="Z349" i="34"/>
  <c r="Z498" i="34"/>
  <c r="Z518" i="34"/>
  <c r="Z536" i="34"/>
  <c r="Z1009" i="34"/>
  <c r="Z1027" i="34"/>
  <c r="Z1046" i="34"/>
  <c r="Z1064" i="34"/>
  <c r="Z1077" i="34"/>
  <c r="Z1090" i="34"/>
  <c r="Z633" i="34"/>
  <c r="Z617" i="34"/>
  <c r="Z907" i="34"/>
  <c r="Z1140" i="34"/>
  <c r="Z560" i="34"/>
  <c r="Z22" i="34"/>
  <c r="Z576" i="34"/>
  <c r="Z581" i="34"/>
  <c r="Z34" i="34"/>
  <c r="Z28" i="34"/>
  <c r="Z870" i="34"/>
  <c r="Z884" i="34"/>
  <c r="Z397" i="34"/>
  <c r="Z668" i="34"/>
  <c r="Z203" i="34"/>
  <c r="Z104" i="34"/>
  <c r="Z164" i="34"/>
  <c r="Z693" i="34"/>
  <c r="Z107" i="34"/>
  <c r="Z100" i="34"/>
  <c r="Z703" i="34"/>
  <c r="Z813" i="34"/>
  <c r="Z147" i="34"/>
  <c r="Z155" i="34"/>
  <c r="Z150" i="34"/>
  <c r="Z53" i="34"/>
  <c r="Z58" i="34"/>
  <c r="Z1113" i="34"/>
  <c r="Z1129" i="34"/>
  <c r="Z1641" i="34"/>
  <c r="Z1449" i="34"/>
  <c r="Z1462" i="34"/>
  <c r="Z1566" i="34"/>
  <c r="Z566" i="34"/>
  <c r="Z582" i="34"/>
  <c r="Z602" i="34"/>
  <c r="Z632" i="34"/>
  <c r="Z1096" i="34"/>
  <c r="Z26" i="34"/>
  <c r="Z384" i="34"/>
  <c r="Z417" i="34"/>
  <c r="Z41" i="34"/>
  <c r="Z214" i="34"/>
  <c r="Z223" i="34"/>
  <c r="Z242" i="34"/>
  <c r="Z260" i="34"/>
  <c r="Z682" i="34"/>
  <c r="Z722" i="34"/>
  <c r="Z754" i="34"/>
  <c r="Z771" i="34"/>
  <c r="Z160" i="34"/>
  <c r="Z185" i="34"/>
  <c r="Z196" i="34"/>
  <c r="Z1104" i="34"/>
  <c r="Z59" i="34"/>
  <c r="Z1114" i="34"/>
  <c r="Z1130" i="34"/>
  <c r="Z1145" i="34"/>
  <c r="Z1441" i="34"/>
  <c r="Z1869" i="34"/>
  <c r="Z1476" i="34"/>
  <c r="Z1556" i="34"/>
  <c r="Z394" i="34"/>
  <c r="Z572" i="34"/>
  <c r="Z598" i="34"/>
  <c r="Z23" i="34"/>
  <c r="Z32" i="34"/>
  <c r="Z887" i="34"/>
  <c r="Z380" i="34"/>
  <c r="Z419" i="34"/>
  <c r="Z551" i="34"/>
  <c r="Z228" i="34"/>
  <c r="Z239" i="34"/>
  <c r="Z265" i="34"/>
  <c r="Z719" i="34"/>
  <c r="Z783" i="34"/>
  <c r="Z149" i="34"/>
  <c r="Z182" i="34"/>
  <c r="Z60" i="34"/>
  <c r="Z1115" i="34"/>
  <c r="Z1131" i="34"/>
  <c r="Z1870" i="34"/>
  <c r="Z1447" i="34"/>
  <c r="Z584" i="34"/>
  <c r="Z1098" i="34"/>
  <c r="Z33" i="34"/>
  <c r="Z386" i="34"/>
  <c r="Z400" i="34"/>
  <c r="Z404" i="34"/>
  <c r="Z552" i="34"/>
  <c r="Z43" i="34"/>
  <c r="Z216" i="34"/>
  <c r="Z229" i="34"/>
  <c r="Z373" i="34"/>
  <c r="Z604" i="34"/>
  <c r="Z647" i="34"/>
  <c r="Z688" i="34"/>
  <c r="Z725" i="34"/>
  <c r="Z748" i="34"/>
  <c r="Z773" i="34"/>
  <c r="Z788" i="34"/>
  <c r="Z145" i="34"/>
  <c r="Z151" i="34"/>
  <c r="Z162" i="34"/>
  <c r="Z187" i="34"/>
  <c r="Z198" i="34"/>
  <c r="Z209" i="34"/>
  <c r="Z61" i="34"/>
  <c r="Z1124" i="34"/>
  <c r="Z1643" i="34"/>
  <c r="Z1498" i="34"/>
  <c r="Z1675" i="34"/>
  <c r="Z596" i="34"/>
  <c r="Z1095" i="34"/>
  <c r="Z30" i="34"/>
  <c r="Z411" i="34"/>
  <c r="Z40" i="34"/>
  <c r="Z226" i="34"/>
  <c r="Z237" i="34"/>
  <c r="Z374" i="34"/>
  <c r="Z648" i="34"/>
  <c r="Z790" i="34"/>
  <c r="Z146" i="34"/>
  <c r="Z159" i="34"/>
  <c r="Z195" i="34"/>
  <c r="Z210" i="34"/>
  <c r="Z785" i="34"/>
  <c r="Z862" i="34"/>
  <c r="Z1718" i="34"/>
  <c r="Z1716" i="34"/>
  <c r="Z1866" i="34"/>
  <c r="Z1868" i="34"/>
  <c r="Z54" i="34"/>
  <c r="Z1109" i="34"/>
  <c r="Z1125" i="34"/>
  <c r="Z1144" i="34"/>
  <c r="Z1174" i="34"/>
  <c r="Z1480" i="34"/>
  <c r="Z1555" i="34"/>
  <c r="Z597" i="34"/>
  <c r="Z379" i="34"/>
  <c r="Z402" i="34"/>
  <c r="Z550" i="34"/>
  <c r="Z37" i="34"/>
  <c r="Z238" i="34"/>
  <c r="Z377" i="34"/>
  <c r="Z650" i="34"/>
  <c r="Z750" i="34"/>
  <c r="Z791" i="34"/>
  <c r="Z156" i="34"/>
  <c r="Z181" i="34"/>
  <c r="Z211" i="34"/>
  <c r="Z1872" i="34"/>
  <c r="Z57" i="34"/>
  <c r="Z1471" i="34"/>
  <c r="Z55" i="34"/>
  <c r="Z1110" i="34"/>
  <c r="Z1126" i="34"/>
  <c r="Z1222" i="34"/>
  <c r="Z1673" i="34"/>
  <c r="Z1678" i="34"/>
  <c r="Z567" i="34"/>
  <c r="Z578" i="34"/>
  <c r="Z593" i="34"/>
  <c r="Z408" i="34"/>
  <c r="Z215" i="34"/>
  <c r="Z235" i="34"/>
  <c r="Z261" i="34"/>
  <c r="Z611" i="34"/>
  <c r="Z812" i="34"/>
  <c r="Z56" i="34"/>
  <c r="Z1111" i="34"/>
  <c r="Z1127" i="34"/>
  <c r="Z1146" i="34"/>
  <c r="Z1172" i="34"/>
  <c r="Z1184" i="34"/>
  <c r="Z1254" i="34"/>
  <c r="Z1557" i="34"/>
  <c r="Z1665" i="34"/>
  <c r="Z1674" i="34"/>
  <c r="Z1680" i="34"/>
  <c r="Z395" i="34"/>
  <c r="Z573" i="34"/>
  <c r="Z599" i="34"/>
  <c r="Z24" i="34"/>
  <c r="Z29" i="34"/>
  <c r="Z889" i="34"/>
  <c r="Z382" i="34"/>
  <c r="Z415" i="34"/>
  <c r="Z420" i="34"/>
  <c r="Z39" i="34"/>
  <c r="Z240" i="34"/>
  <c r="Z367" i="34"/>
  <c r="Z720" i="34"/>
  <c r="Z784" i="34"/>
  <c r="Z861" i="34"/>
  <c r="Z158" i="34"/>
  <c r="Z183" i="34"/>
  <c r="Z194" i="34"/>
  <c r="Z1743" i="34"/>
  <c r="Z49" i="34"/>
  <c r="Z1120" i="34"/>
  <c r="Z1173" i="34"/>
  <c r="Z1426" i="34"/>
  <c r="Z1478" i="34"/>
  <c r="Z557" i="34"/>
  <c r="Z575" i="34"/>
  <c r="Z590" i="34"/>
  <c r="Z890" i="34"/>
  <c r="Z392" i="34"/>
  <c r="Z405" i="34"/>
  <c r="Z422" i="34"/>
  <c r="Z553" i="34"/>
  <c r="Z36" i="34"/>
  <c r="Z222" i="34"/>
  <c r="Z369" i="34"/>
  <c r="Z609" i="34"/>
  <c r="Z644" i="34"/>
  <c r="Z685" i="34"/>
  <c r="Z1867" i="34"/>
  <c r="Z50" i="34"/>
  <c r="Z1105" i="34"/>
  <c r="Z1121" i="34"/>
  <c r="Z1442" i="34"/>
  <c r="Z1667" i="34"/>
  <c r="Z1676" i="34"/>
  <c r="Z591" i="34"/>
  <c r="Z31" i="34"/>
  <c r="Z393" i="34"/>
  <c r="Z227" i="34"/>
  <c r="Z234" i="34"/>
  <c r="Z370" i="34"/>
  <c r="Z610" i="34"/>
  <c r="Z645" i="34"/>
  <c r="Z686" i="34"/>
  <c r="Z786" i="34"/>
  <c r="Z811" i="34"/>
  <c r="Z869" i="34"/>
  <c r="Z148" i="34"/>
  <c r="Z45" i="34"/>
  <c r="Z51" i="34"/>
  <c r="Z1106" i="34"/>
  <c r="Z1122" i="34"/>
  <c r="Z1151" i="34"/>
  <c r="Z1171" i="34"/>
  <c r="Z1443" i="34"/>
  <c r="Z1499" i="34"/>
  <c r="Z561" i="34"/>
  <c r="Z587" i="34"/>
  <c r="Z639" i="34"/>
  <c r="Z1097" i="34"/>
  <c r="Z390" i="34"/>
  <c r="Z398" i="34"/>
  <c r="Z403" i="34"/>
  <c r="Z413" i="34"/>
  <c r="Z42" i="34"/>
  <c r="Z257" i="34"/>
  <c r="Z378" i="34"/>
  <c r="Z607" i="34"/>
  <c r="Z651" i="34"/>
  <c r="Z687" i="34"/>
  <c r="Z728" i="34"/>
  <c r="Z755" i="34"/>
  <c r="Z776" i="34"/>
  <c r="Z808" i="34"/>
  <c r="Z161" i="34"/>
  <c r="Z197" i="34"/>
  <c r="Z212" i="34"/>
  <c r="Z52" i="34"/>
  <c r="Z1107" i="34"/>
  <c r="Z1123" i="34"/>
  <c r="Z1642" i="34"/>
  <c r="Z1297" i="34"/>
  <c r="Z1451" i="34"/>
  <c r="Z1497" i="34"/>
  <c r="Z569" i="34"/>
  <c r="Z594" i="34"/>
  <c r="Z35" i="34"/>
  <c r="Z225" i="34"/>
  <c r="Z236" i="34"/>
  <c r="Z262" i="34"/>
  <c r="Z612" i="34"/>
  <c r="Z756" i="34"/>
  <c r="Z804" i="34"/>
  <c r="Z1116" i="34"/>
  <c r="Z1132" i="34"/>
  <c r="Z1444" i="34"/>
  <c r="Z1448" i="34"/>
  <c r="Z1666" i="34"/>
  <c r="Z871" i="34"/>
  <c r="Z570" i="34"/>
  <c r="Z580" i="34"/>
  <c r="Z585" i="34"/>
  <c r="Z885" i="34"/>
  <c r="Z388" i="34"/>
  <c r="Z401" i="34"/>
  <c r="Z263" i="34"/>
  <c r="Z605" i="34"/>
  <c r="Z726" i="34"/>
  <c r="Z753" i="34"/>
  <c r="Z774" i="34"/>
  <c r="Z806" i="34"/>
  <c r="Z152" i="34"/>
  <c r="Z163" i="34"/>
  <c r="Z188" i="34"/>
  <c r="Z184" i="34"/>
  <c r="Z199" i="34"/>
  <c r="Z810" i="34"/>
  <c r="Z1715" i="34"/>
  <c r="Z1108" i="34"/>
  <c r="Z1730" i="34"/>
  <c r="Z46" i="34"/>
  <c r="Z1101" i="34"/>
  <c r="Z1117" i="34"/>
  <c r="Z1445" i="34"/>
  <c r="Z1150" i="34"/>
  <c r="Z1170" i="34"/>
  <c r="Z1186" i="34"/>
  <c r="Z1298" i="34"/>
  <c r="Z883" i="34"/>
  <c r="Z558" i="34"/>
  <c r="Z571" i="34"/>
  <c r="Z577" i="34"/>
  <c r="Z586" i="34"/>
  <c r="Z1100" i="34"/>
  <c r="Z886" i="34"/>
  <c r="Z389" i="34"/>
  <c r="Z407" i="34"/>
  <c r="Z412" i="34"/>
  <c r="Z554" i="34"/>
  <c r="Z264" i="34"/>
  <c r="Z606" i="34"/>
  <c r="Z690" i="34"/>
  <c r="Z727" i="34"/>
  <c r="Z775" i="34"/>
  <c r="Z782" i="34"/>
  <c r="Z807" i="34"/>
  <c r="Z189" i="34"/>
  <c r="Z200" i="34"/>
  <c r="Z1729" i="34"/>
  <c r="Z1717" i="34"/>
  <c r="Z1727" i="34"/>
  <c r="Z1871" i="34"/>
  <c r="Z47" i="34"/>
  <c r="Z1102" i="34"/>
  <c r="Z1118" i="34"/>
  <c r="Z1183" i="34"/>
  <c r="Z1299" i="34"/>
  <c r="Z1450" i="34"/>
  <c r="Z1653" i="34"/>
  <c r="Z583" i="34"/>
  <c r="Z603" i="34"/>
  <c r="Z27" i="34"/>
  <c r="Z385" i="34"/>
  <c r="Z556" i="34"/>
  <c r="Z38" i="34"/>
  <c r="Z224" i="34"/>
  <c r="Z371" i="34"/>
  <c r="Z646" i="34"/>
  <c r="Z683" i="34"/>
  <c r="Z723" i="34"/>
  <c r="Z751" i="34"/>
  <c r="Z772" i="34"/>
  <c r="Z787" i="34"/>
  <c r="Z803" i="34"/>
  <c r="Z144" i="34"/>
  <c r="Z157" i="34"/>
  <c r="Z186" i="34"/>
  <c r="Z193" i="34"/>
  <c r="Z208" i="34"/>
  <c r="Z1500" i="34"/>
  <c r="Z48" i="34"/>
  <c r="Z1103" i="34"/>
  <c r="Z1119" i="34"/>
  <c r="Z1168" i="34"/>
  <c r="Z1477" i="34"/>
  <c r="Z563" i="34"/>
  <c r="Z579" i="34"/>
  <c r="Z588" i="34"/>
  <c r="Z629" i="34"/>
  <c r="Z640" i="34"/>
  <c r="Z391" i="34"/>
  <c r="Z409" i="34"/>
  <c r="Z258" i="34"/>
  <c r="Z608" i="34"/>
  <c r="Z653" i="34"/>
  <c r="Z684" i="34"/>
  <c r="Z752" i="34"/>
  <c r="Z777" i="34"/>
  <c r="Z809" i="34"/>
  <c r="Z213" i="34"/>
  <c r="Z1728" i="34"/>
  <c r="Z1112" i="34"/>
  <c r="Z1128" i="34"/>
  <c r="Z1865" i="34"/>
  <c r="Z1169" i="34"/>
  <c r="Z1185" i="34"/>
  <c r="Z1255" i="34"/>
  <c r="Z1461" i="34"/>
  <c r="Z1558" i="34"/>
  <c r="Z564" i="34"/>
  <c r="Z600" i="34"/>
  <c r="Z631" i="34"/>
  <c r="Z1099" i="34"/>
  <c r="Z25" i="34"/>
  <c r="Z383" i="34"/>
  <c r="Z44" i="34"/>
  <c r="Z230" i="34"/>
  <c r="Z241" i="34"/>
  <c r="Z259" i="34"/>
  <c r="Z654" i="34"/>
  <c r="Z689" i="34"/>
  <c r="Z721" i="34"/>
  <c r="Z749" i="34"/>
  <c r="Z770" i="34"/>
  <c r="Z778" i="34"/>
  <c r="Z615" i="34"/>
  <c r="Z1139" i="34"/>
  <c r="Z99" i="34"/>
  <c r="Z98" i="34"/>
  <c r="Z127" i="34"/>
  <c r="Z1828" i="34"/>
  <c r="Z1668" i="34"/>
  <c r="Z1567" i="34"/>
  <c r="Z1731" i="34"/>
  <c r="Z1744" i="34"/>
  <c r="Z1152" i="34"/>
  <c r="Z65" i="34"/>
  <c r="Z1138" i="34"/>
  <c r="Z613" i="34"/>
  <c r="Z1133" i="34"/>
  <c r="Z614" i="34"/>
  <c r="Z137" i="34"/>
  <c r="Z138" i="34"/>
  <c r="Z139" i="34"/>
  <c r="Z219" i="34"/>
  <c r="Z90" i="34"/>
  <c r="Z91" i="34"/>
  <c r="K351" i="55"/>
  <c r="K239" i="55"/>
  <c r="K365" i="55"/>
  <c r="K346" i="55"/>
  <c r="K249" i="55"/>
  <c r="K344" i="55"/>
  <c r="K348" i="55"/>
  <c r="K342" i="55"/>
  <c r="K138" i="55"/>
  <c r="K137" i="55"/>
  <c r="K276" i="55"/>
  <c r="K347" i="55"/>
  <c r="K266" i="55"/>
  <c r="K238" i="55"/>
  <c r="K252" i="55"/>
  <c r="K337" i="55"/>
  <c r="K285" i="55"/>
  <c r="K220" i="55"/>
  <c r="K270" i="55"/>
  <c r="K274" i="55"/>
  <c r="K299" i="55"/>
  <c r="K293" i="55"/>
  <c r="K338" i="55"/>
  <c r="K248" i="55"/>
  <c r="K255" i="55"/>
  <c r="K379" i="55"/>
  <c r="K300" i="55"/>
  <c r="K286" i="55"/>
  <c r="K261" i="55"/>
  <c r="K234" i="55"/>
  <c r="K273" i="55"/>
  <c r="K247" i="55"/>
  <c r="K298" i="55"/>
  <c r="K245" i="55"/>
  <c r="K330" i="55"/>
  <c r="K275" i="55"/>
  <c r="K368" i="55"/>
  <c r="K332" i="55"/>
  <c r="K378" i="55"/>
  <c r="K230" i="55"/>
  <c r="K296" i="55"/>
  <c r="K345" i="55"/>
  <c r="K364" i="55"/>
  <c r="K353" i="55"/>
  <c r="K363" i="55"/>
  <c r="K319" i="55"/>
  <c r="K263" i="55"/>
  <c r="K355" i="55"/>
  <c r="K227" i="55"/>
  <c r="K235" i="55"/>
  <c r="K326" i="55"/>
  <c r="K324" i="55"/>
  <c r="K250" i="55"/>
  <c r="K279" i="55"/>
  <c r="K242" i="55"/>
  <c r="K339" i="55"/>
  <c r="K341" i="55"/>
  <c r="K288" i="55"/>
  <c r="K307" i="55"/>
  <c r="K264" i="55"/>
  <c r="K301" i="55"/>
  <c r="K334" i="55"/>
  <c r="K221" i="55"/>
  <c r="K311" i="55"/>
  <c r="K318" i="55"/>
  <c r="K303" i="55"/>
  <c r="K331" i="55"/>
  <c r="K251" i="55"/>
  <c r="K272" i="55"/>
  <c r="K222" i="55"/>
  <c r="K373" i="55"/>
  <c r="K371" i="55"/>
  <c r="K370" i="55"/>
  <c r="K257" i="55"/>
  <c r="K278" i="55"/>
  <c r="K267" i="55"/>
  <c r="K323" i="55"/>
  <c r="K320" i="55"/>
  <c r="K237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671" i="34" l="1"/>
  <c r="A671" i="34" s="1"/>
  <c r="B670" i="34"/>
  <c r="A670" i="34" s="1"/>
  <c r="B669" i="34"/>
  <c r="A669" i="34" s="1"/>
  <c r="B656" i="34"/>
  <c r="A656" i="34" s="1"/>
  <c r="B667" i="34"/>
  <c r="A667" i="34" s="1"/>
  <c r="B665" i="34"/>
  <c r="A665" i="34" s="1"/>
  <c r="B664" i="34"/>
  <c r="A664" i="34" s="1"/>
  <c r="B663" i="34"/>
  <c r="A663" i="34" s="1"/>
  <c r="B662" i="34"/>
  <c r="A662" i="34" s="1"/>
  <c r="B661" i="34"/>
  <c r="A661" i="34" s="1"/>
  <c r="B1134" i="34"/>
  <c r="A1134" i="34" s="1"/>
  <c r="B712" i="34"/>
  <c r="A712" i="34" s="1"/>
  <c r="B711" i="34"/>
  <c r="A711" i="34" s="1"/>
  <c r="B702" i="34"/>
  <c r="A702" i="34" s="1"/>
  <c r="B701" i="34"/>
  <c r="A701" i="34" s="1"/>
  <c r="B642" i="34"/>
  <c r="A642" i="34" s="1"/>
  <c r="B747" i="34"/>
  <c r="A747" i="34" s="1"/>
  <c r="B746" i="34"/>
  <c r="A746" i="34" s="1"/>
  <c r="B1135" i="34"/>
  <c r="A1135" i="34" s="1"/>
  <c r="B1136" i="34"/>
  <c r="A1136" i="34" s="1"/>
  <c r="B658" i="34"/>
  <c r="A658" i="34" s="1"/>
  <c r="B672" i="34"/>
  <c r="A672" i="34" s="1"/>
  <c r="B674" i="34"/>
  <c r="A674" i="34" s="1"/>
  <c r="B675" i="34"/>
  <c r="A675" i="34" s="1"/>
  <c r="B676" i="34"/>
  <c r="A676" i="34" s="1"/>
  <c r="B677" i="34"/>
  <c r="A677" i="34" s="1"/>
  <c r="B679" i="34"/>
  <c r="A679" i="34" s="1"/>
  <c r="B680" i="34"/>
  <c r="A680" i="34" s="1"/>
  <c r="B681" i="34"/>
  <c r="A681" i="34" s="1"/>
  <c r="B691" i="34"/>
  <c r="A691" i="34" s="1"/>
  <c r="B692" i="34"/>
  <c r="A692" i="34" s="1"/>
  <c r="B694" i="34"/>
  <c r="A694" i="34" s="1"/>
  <c r="B696" i="34"/>
  <c r="A696" i="34" s="1"/>
  <c r="B697" i="34"/>
  <c r="A697" i="34" s="1"/>
  <c r="B699" i="34"/>
  <c r="A699" i="34" s="1"/>
  <c r="B700" i="34"/>
  <c r="A700" i="34" s="1"/>
  <c r="B704" i="34"/>
  <c r="A704" i="34" s="1"/>
  <c r="B705" i="34"/>
  <c r="A705" i="34" s="1"/>
  <c r="B706" i="34"/>
  <c r="A706" i="34" s="1"/>
  <c r="B707" i="34"/>
  <c r="A707" i="34" s="1"/>
  <c r="B708" i="34"/>
  <c r="A708" i="34" s="1"/>
  <c r="B709" i="34"/>
  <c r="A709" i="34" s="1"/>
  <c r="B710" i="34"/>
  <c r="A710" i="34" s="1"/>
  <c r="B729" i="34"/>
  <c r="A729" i="34" s="1"/>
  <c r="B730" i="34"/>
  <c r="A730" i="34" s="1"/>
  <c r="B740" i="34"/>
  <c r="A740" i="34" s="1"/>
  <c r="B741" i="34"/>
  <c r="A741" i="34" s="1"/>
  <c r="B732" i="34"/>
  <c r="A732" i="34" s="1"/>
  <c r="B743" i="34"/>
  <c r="A743" i="34" s="1"/>
  <c r="B744" i="34"/>
  <c r="A744" i="34" s="1"/>
  <c r="B762" i="34"/>
  <c r="A762" i="34" s="1"/>
  <c r="B763" i="34"/>
  <c r="A763" i="34" s="1"/>
  <c r="B765" i="34"/>
  <c r="A765" i="34" s="1"/>
  <c r="B766" i="34"/>
  <c r="A766" i="34" s="1"/>
  <c r="B767" i="34"/>
  <c r="A767" i="34" s="1"/>
  <c r="B768" i="34"/>
  <c r="A768" i="34" s="1"/>
  <c r="B769" i="34"/>
  <c r="A769" i="34" s="1"/>
  <c r="B815" i="34"/>
  <c r="A815" i="34" s="1"/>
  <c r="B816" i="34"/>
  <c r="A816" i="34" s="1"/>
  <c r="B817" i="34"/>
  <c r="A817" i="34" s="1"/>
  <c r="B818" i="34"/>
  <c r="A818" i="34" s="1"/>
  <c r="B714" i="34"/>
  <c r="A714" i="34" s="1"/>
  <c r="B715" i="34"/>
  <c r="A715" i="34" s="1"/>
  <c r="B716" i="34"/>
  <c r="A716" i="34" s="1"/>
  <c r="B717" i="34"/>
  <c r="A717" i="34" s="1"/>
  <c r="B718" i="34"/>
  <c r="A718" i="34" s="1"/>
  <c r="B736" i="34"/>
  <c r="A736" i="34" s="1"/>
  <c r="B737" i="34"/>
  <c r="A737" i="34" s="1"/>
  <c r="B738" i="34"/>
  <c r="A738" i="34" s="1"/>
  <c r="B739" i="34"/>
  <c r="A739" i="34" s="1"/>
  <c r="B793" i="34"/>
  <c r="A793" i="34" s="1"/>
  <c r="B794" i="34"/>
  <c r="A794" i="34" s="1"/>
  <c r="B795" i="34"/>
  <c r="A795" i="34" s="1"/>
  <c r="B796" i="34"/>
  <c r="A796" i="34" s="1"/>
  <c r="B797" i="34"/>
  <c r="A797" i="34" s="1"/>
  <c r="B798" i="34"/>
  <c r="A798" i="34" s="1"/>
  <c r="B799" i="34"/>
  <c r="A799" i="34" s="1"/>
  <c r="B800" i="34"/>
  <c r="A800" i="34" s="1"/>
  <c r="B801" i="34"/>
  <c r="A801" i="34" s="1"/>
  <c r="B849" i="34"/>
  <c r="A849" i="34" s="1"/>
  <c r="B850" i="34"/>
  <c r="A850" i="34" s="1"/>
  <c r="B851" i="34"/>
  <c r="A851" i="34" s="1"/>
  <c r="B852" i="34"/>
  <c r="A852" i="34" s="1"/>
  <c r="B854" i="34"/>
  <c r="A854" i="34" s="1"/>
  <c r="B855" i="34"/>
  <c r="A855" i="34" s="1"/>
  <c r="B857" i="34"/>
  <c r="A857" i="34" s="1"/>
  <c r="B858" i="34"/>
  <c r="A858" i="34" s="1"/>
  <c r="B859" i="34"/>
  <c r="A859" i="34" s="1"/>
  <c r="B860" i="34"/>
  <c r="A860" i="34" s="1"/>
  <c r="B872" i="34"/>
  <c r="A872" i="34" s="1"/>
  <c r="B873" i="34"/>
  <c r="A873" i="34" s="1"/>
  <c r="B874" i="34"/>
  <c r="A874" i="34" s="1"/>
  <c r="B875" i="34"/>
  <c r="A875" i="34" s="1"/>
  <c r="B876" i="34"/>
  <c r="A876" i="34" s="1"/>
  <c r="B877" i="34"/>
  <c r="A877" i="34" s="1"/>
  <c r="B878" i="34"/>
  <c r="A878" i="34" s="1"/>
  <c r="B880" i="34"/>
  <c r="A880" i="34" s="1"/>
  <c r="B881" i="34"/>
  <c r="A881" i="34" s="1"/>
  <c r="B882" i="34"/>
  <c r="A882" i="34" s="1"/>
  <c r="B891" i="34"/>
  <c r="A891" i="34" s="1"/>
  <c r="B892" i="34"/>
  <c r="A892" i="34" s="1"/>
  <c r="B893" i="34"/>
  <c r="A893" i="34" s="1"/>
  <c r="B894" i="34"/>
  <c r="A894" i="34" s="1"/>
  <c r="B895" i="34"/>
  <c r="A895" i="34" s="1"/>
  <c r="B896" i="34"/>
  <c r="A896" i="34" s="1"/>
  <c r="B897" i="34"/>
  <c r="A897" i="34" s="1"/>
  <c r="B898" i="34"/>
  <c r="A898" i="34" s="1"/>
  <c r="B899" i="34"/>
  <c r="A899" i="34" s="1"/>
  <c r="B900" i="34"/>
  <c r="A900" i="34" s="1"/>
  <c r="B901" i="34"/>
  <c r="A901" i="34" s="1"/>
  <c r="B902" i="34"/>
  <c r="A902" i="34" s="1"/>
  <c r="B819" i="34"/>
  <c r="A819" i="34" s="1"/>
  <c r="B820" i="34"/>
  <c r="A820" i="34" s="1"/>
  <c r="B821" i="34"/>
  <c r="A821" i="34" s="1"/>
  <c r="B822" i="34"/>
  <c r="A822" i="34" s="1"/>
  <c r="B846" i="34"/>
  <c r="A846" i="34" s="1"/>
  <c r="B847" i="34"/>
  <c r="A847" i="34" s="1"/>
  <c r="B903" i="34"/>
  <c r="A903" i="34" s="1"/>
  <c r="B905" i="34"/>
  <c r="A905" i="34" s="1"/>
  <c r="B906" i="34"/>
  <c r="A906" i="34" s="1"/>
  <c r="I13" i="71"/>
  <c r="O11" i="42"/>
  <c r="N11" i="42"/>
  <c r="P14" i="34" l="1"/>
  <c r="Q14" i="34"/>
  <c r="O14" i="34"/>
  <c r="O1679" i="34"/>
  <c r="O1137" i="34"/>
  <c r="Q1873" i="34"/>
  <c r="Q1479" i="34"/>
  <c r="P1677" i="34"/>
  <c r="O1984" i="34"/>
  <c r="P1982" i="34"/>
  <c r="Q1679" i="34"/>
  <c r="O1677" i="34"/>
  <c r="Q1984" i="34"/>
  <c r="O1982" i="34"/>
  <c r="P1137" i="34"/>
  <c r="P1873" i="34"/>
  <c r="P1479" i="34"/>
  <c r="Q1677" i="34"/>
  <c r="Q1982" i="34"/>
  <c r="P1679" i="34"/>
  <c r="Q1137" i="34"/>
  <c r="O1873" i="34"/>
  <c r="O1479" i="34"/>
  <c r="P1984" i="34"/>
  <c r="O1588" i="34"/>
  <c r="O1626" i="34"/>
  <c r="O1835" i="34"/>
  <c r="P1839" i="34"/>
  <c r="P1503" i="34"/>
  <c r="P1511" i="34"/>
  <c r="P1533" i="34"/>
  <c r="O1537" i="34"/>
  <c r="O1574" i="34"/>
  <c r="Q1578" i="34"/>
  <c r="P1578" i="34"/>
  <c r="O1582" i="34"/>
  <c r="O1692" i="34"/>
  <c r="P1696" i="34"/>
  <c r="P1733" i="34"/>
  <c r="O1748" i="34"/>
  <c r="Q1752" i="34"/>
  <c r="P1752" i="34"/>
  <c r="P1774" i="34"/>
  <c r="O1778" i="34"/>
  <c r="P1782" i="34"/>
  <c r="O1806" i="34"/>
  <c r="P1810" i="34"/>
  <c r="O1831" i="34"/>
  <c r="P1351" i="34"/>
  <c r="O1355" i="34"/>
  <c r="P1359" i="34"/>
  <c r="O1384" i="34"/>
  <c r="P1388" i="34"/>
  <c r="O1411" i="34"/>
  <c r="P1427" i="34"/>
  <c r="Q1437" i="34"/>
  <c r="P1437" i="34"/>
  <c r="P1501" i="34"/>
  <c r="O1669" i="34"/>
  <c r="P1192" i="34"/>
  <c r="O1223" i="34"/>
  <c r="Q1227" i="34"/>
  <c r="P1227" i="34"/>
  <c r="O1231" i="34"/>
  <c r="O1267" i="34"/>
  <c r="P1271" i="34"/>
  <c r="P1302" i="34"/>
  <c r="P1310" i="34"/>
  <c r="Q1622" i="34"/>
  <c r="P1622" i="34"/>
  <c r="P1585" i="34"/>
  <c r="P1619" i="34"/>
  <c r="Q1832" i="34"/>
  <c r="P1832" i="34"/>
  <c r="O1836" i="34"/>
  <c r="Q1840" i="34"/>
  <c r="P1840" i="34"/>
  <c r="P1504" i="34"/>
  <c r="O1508" i="34"/>
  <c r="O1530" i="34"/>
  <c r="Q1534" i="34"/>
  <c r="P1534" i="34"/>
  <c r="O1538" i="34"/>
  <c r="P1575" i="34"/>
  <c r="P1583" i="34"/>
  <c r="P1693" i="34"/>
  <c r="O1697" i="34"/>
  <c r="P1749" i="34"/>
  <c r="O1775" i="34"/>
  <c r="P1779" i="34"/>
  <c r="O1803" i="34"/>
  <c r="P1807" i="34"/>
  <c r="O1811" i="34"/>
  <c r="P1315" i="34"/>
  <c r="O1352" i="34"/>
  <c r="P1356" i="34"/>
  <c r="Q1381" i="34"/>
  <c r="P1381" i="34"/>
  <c r="O1385" i="34"/>
  <c r="Q1389" i="34"/>
  <c r="P1389" i="34"/>
  <c r="P1412" i="34"/>
  <c r="O1428" i="34"/>
  <c r="Q1502" i="34"/>
  <c r="P1502" i="34"/>
  <c r="O1670" i="34"/>
  <c r="O1189" i="34"/>
  <c r="P1193" i="34"/>
  <c r="Q1839" i="34"/>
  <c r="Q1503" i="34"/>
  <c r="O1507" i="34"/>
  <c r="Q1511" i="34"/>
  <c r="Q1533" i="34"/>
  <c r="Q1696" i="34"/>
  <c r="Q1733" i="34"/>
  <c r="Q1774" i="34"/>
  <c r="Q1782" i="34"/>
  <c r="Q1810" i="34"/>
  <c r="Q1351" i="34"/>
  <c r="Q1359" i="34"/>
  <c r="Q1388" i="34"/>
  <c r="Q1427" i="34"/>
  <c r="Q1501" i="34"/>
  <c r="O1188" i="34"/>
  <c r="Q1192" i="34"/>
  <c r="Q1271" i="34"/>
  <c r="Q1302" i="34"/>
  <c r="O1306" i="34"/>
  <c r="Q1310" i="34"/>
  <c r="O1314" i="34"/>
  <c r="O1587" i="34"/>
  <c r="Q1585" i="34"/>
  <c r="Q1619" i="34"/>
  <c r="O1623" i="34"/>
  <c r="Q1504" i="34"/>
  <c r="Q1575" i="34"/>
  <c r="O1579" i="34"/>
  <c r="Q1583" i="34"/>
  <c r="Q1693" i="34"/>
  <c r="O1745" i="34"/>
  <c r="Q1749" i="34"/>
  <c r="O1753" i="34"/>
  <c r="Q1779" i="34"/>
  <c r="Q1807" i="34"/>
  <c r="Q1315" i="34"/>
  <c r="Q1356" i="34"/>
  <c r="Q1412" i="34"/>
  <c r="O1438" i="34"/>
  <c r="Q1193" i="34"/>
  <c r="Q1224" i="34"/>
  <c r="O1228" i="34"/>
  <c r="Q1268" i="34"/>
  <c r="Q1303" i="34"/>
  <c r="Q1311" i="34"/>
  <c r="Q1620" i="34"/>
  <c r="O1833" i="34"/>
  <c r="Q1837" i="34"/>
  <c r="O1841" i="34"/>
  <c r="Q1509" i="34"/>
  <c r="Q1531" i="34"/>
  <c r="O1535" i="34"/>
  <c r="Q1576" i="34"/>
  <c r="Q1584" i="34"/>
  <c r="Q1750" i="34"/>
  <c r="O1829" i="34"/>
  <c r="O1382" i="34"/>
  <c r="Q1386" i="34"/>
  <c r="Q1568" i="34"/>
  <c r="Q1190" i="34"/>
  <c r="Q1225" i="34"/>
  <c r="P1588" i="34"/>
  <c r="Q1626" i="34"/>
  <c r="P1626" i="34"/>
  <c r="P1835" i="34"/>
  <c r="O1839" i="34"/>
  <c r="P1507" i="34"/>
  <c r="O1533" i="34"/>
  <c r="P1537" i="34"/>
  <c r="Q1574" i="34"/>
  <c r="P1574" i="34"/>
  <c r="O1578" i="34"/>
  <c r="Q1582" i="34"/>
  <c r="P1582" i="34"/>
  <c r="P1692" i="34"/>
  <c r="O1696" i="34"/>
  <c r="Q1748" i="34"/>
  <c r="P1748" i="34"/>
  <c r="O1752" i="34"/>
  <c r="O1774" i="34"/>
  <c r="P1778" i="34"/>
  <c r="O1782" i="34"/>
  <c r="P1806" i="34"/>
  <c r="O1810" i="34"/>
  <c r="P1831" i="34"/>
  <c r="O1351" i="34"/>
  <c r="P1355" i="34"/>
  <c r="O1359" i="34"/>
  <c r="P1384" i="34"/>
  <c r="O1388" i="34"/>
  <c r="P1411" i="34"/>
  <c r="O1427" i="34"/>
  <c r="O1437" i="34"/>
  <c r="O1501" i="34"/>
  <c r="P1669" i="34"/>
  <c r="P1188" i="34"/>
  <c r="Q1223" i="34"/>
  <c r="P1223" i="34"/>
  <c r="O1227" i="34"/>
  <c r="Q1231" i="34"/>
  <c r="P1231" i="34"/>
  <c r="P1267" i="34"/>
  <c r="O1271" i="34"/>
  <c r="P1306" i="34"/>
  <c r="P1314" i="34"/>
  <c r="P1587" i="34"/>
  <c r="O1622" i="34"/>
  <c r="O1585" i="34"/>
  <c r="P1623" i="34"/>
  <c r="O1832" i="34"/>
  <c r="Q1836" i="34"/>
  <c r="P1836" i="34"/>
  <c r="O1840" i="34"/>
  <c r="O1504" i="34"/>
  <c r="P1508" i="34"/>
  <c r="Q1530" i="34"/>
  <c r="P1530" i="34"/>
  <c r="O1534" i="34"/>
  <c r="Q1538" i="34"/>
  <c r="P1538" i="34"/>
  <c r="P1579" i="34"/>
  <c r="O1693" i="34"/>
  <c r="P1697" i="34"/>
  <c r="P1745" i="34"/>
  <c r="P1753" i="34"/>
  <c r="P1775" i="34"/>
  <c r="O1779" i="34"/>
  <c r="P1803" i="34"/>
  <c r="O1807" i="34"/>
  <c r="P1811" i="34"/>
  <c r="O1315" i="34"/>
  <c r="P1352" i="34"/>
  <c r="O1356" i="34"/>
  <c r="O1381" i="34"/>
  <c r="Q1385" i="34"/>
  <c r="P1385" i="34"/>
  <c r="O1389" i="34"/>
  <c r="O1412" i="34"/>
  <c r="P1428" i="34"/>
  <c r="P1438" i="34"/>
  <c r="O1502" i="34"/>
  <c r="Q1670" i="34"/>
  <c r="P1670" i="34"/>
  <c r="P1189" i="34"/>
  <c r="Q1588" i="34"/>
  <c r="Q1835" i="34"/>
  <c r="O1503" i="34"/>
  <c r="Q1507" i="34"/>
  <c r="O1511" i="34"/>
  <c r="Q1537" i="34"/>
  <c r="Q1692" i="34"/>
  <c r="O1733" i="34"/>
  <c r="Q1778" i="34"/>
  <c r="Q1806" i="34"/>
  <c r="Q1831" i="34"/>
  <c r="Q1355" i="34"/>
  <c r="Q1384" i="34"/>
  <c r="Q1411" i="34"/>
  <c r="Q1669" i="34"/>
  <c r="Q1188" i="34"/>
  <c r="O1192" i="34"/>
  <c r="Q1267" i="34"/>
  <c r="O1302" i="34"/>
  <c r="Q1306" i="34"/>
  <c r="O1310" i="34"/>
  <c r="Q1314" i="34"/>
  <c r="Q1587" i="34"/>
  <c r="O1619" i="34"/>
  <c r="Q1623" i="34"/>
  <c r="Q1508" i="34"/>
  <c r="O1575" i="34"/>
  <c r="Q1579" i="34"/>
  <c r="O1583" i="34"/>
  <c r="Q1697" i="34"/>
  <c r="Q1745" i="34"/>
  <c r="O1749" i="34"/>
  <c r="Q1753" i="34"/>
  <c r="Q1775" i="34"/>
  <c r="Q1803" i="34"/>
  <c r="Q1811" i="34"/>
  <c r="Q1352" i="34"/>
  <c r="Q1428" i="34"/>
  <c r="Q1438" i="34"/>
  <c r="Q1189" i="34"/>
  <c r="O1224" i="34"/>
  <c r="Q1228" i="34"/>
  <c r="Q1264" i="34"/>
  <c r="Q1272" i="34"/>
  <c r="Q1307" i="34"/>
  <c r="Q1624" i="34"/>
  <c r="Q1833" i="34"/>
  <c r="O1837" i="34"/>
  <c r="Q1841" i="34"/>
  <c r="Q1505" i="34"/>
  <c r="O1531" i="34"/>
  <c r="Q1535" i="34"/>
  <c r="Q1572" i="34"/>
  <c r="Q1580" i="34"/>
  <c r="Q1746" i="34"/>
  <c r="Q1754" i="34"/>
  <c r="Q1829" i="34"/>
  <c r="Q1316" i="34"/>
  <c r="Q1382" i="34"/>
  <c r="O1386" i="34"/>
  <c r="Q1472" i="34"/>
  <c r="Q1194" i="34"/>
  <c r="Q1229" i="34"/>
  <c r="Q1304" i="34"/>
  <c r="Q1312" i="34"/>
  <c r="Q618" i="34"/>
  <c r="Q1621" i="34"/>
  <c r="Q1834" i="34"/>
  <c r="Q1842" i="34"/>
  <c r="P1268" i="34"/>
  <c r="O1303" i="34"/>
  <c r="P1311" i="34"/>
  <c r="P1624" i="34"/>
  <c r="O1509" i="34"/>
  <c r="P1576" i="34"/>
  <c r="O1584" i="34"/>
  <c r="P1776" i="34"/>
  <c r="Q1804" i="34"/>
  <c r="P1829" i="34"/>
  <c r="O1193" i="34"/>
  <c r="P1224" i="34"/>
  <c r="P1228" i="34"/>
  <c r="O1264" i="34"/>
  <c r="P1272" i="34"/>
  <c r="O1307" i="34"/>
  <c r="O1586" i="34"/>
  <c r="O1620" i="34"/>
  <c r="P1505" i="34"/>
  <c r="P1531" i="34"/>
  <c r="P1535" i="34"/>
  <c r="O1572" i="34"/>
  <c r="P1580" i="34"/>
  <c r="Q1694" i="34"/>
  <c r="P1694" i="34"/>
  <c r="O1698" i="34"/>
  <c r="O1746" i="34"/>
  <c r="P1754" i="34"/>
  <c r="Q1353" i="34"/>
  <c r="P1353" i="34"/>
  <c r="O1357" i="34"/>
  <c r="O1268" i="34"/>
  <c r="P1303" i="34"/>
  <c r="O1311" i="34"/>
  <c r="O1624" i="34"/>
  <c r="P1509" i="34"/>
  <c r="O1576" i="34"/>
  <c r="P1584" i="34"/>
  <c r="O1750" i="34"/>
  <c r="O1776" i="34"/>
  <c r="Q1780" i="34"/>
  <c r="P1780" i="34"/>
  <c r="O1804" i="34"/>
  <c r="Q1808" i="34"/>
  <c r="P1808" i="34"/>
  <c r="P1316" i="34"/>
  <c r="P1568" i="34"/>
  <c r="P1264" i="34"/>
  <c r="O1272" i="34"/>
  <c r="P1307" i="34"/>
  <c r="Q1586" i="34"/>
  <c r="P1586" i="34"/>
  <c r="P1620" i="34"/>
  <c r="P1833" i="34"/>
  <c r="P1837" i="34"/>
  <c r="P1841" i="34"/>
  <c r="O1505" i="34"/>
  <c r="P1572" i="34"/>
  <c r="O1580" i="34"/>
  <c r="O1694" i="34"/>
  <c r="Q1698" i="34"/>
  <c r="P1698" i="34"/>
  <c r="P1746" i="34"/>
  <c r="O1754" i="34"/>
  <c r="O1353" i="34"/>
  <c r="Q1357" i="34"/>
  <c r="P1357" i="34"/>
  <c r="O1409" i="34"/>
  <c r="Q1413" i="34"/>
  <c r="P1413" i="34"/>
  <c r="O1429" i="34"/>
  <c r="O1472" i="34"/>
  <c r="O1690" i="34"/>
  <c r="O1190" i="34"/>
  <c r="P1225" i="34"/>
  <c r="Q1265" i="34"/>
  <c r="P1265" i="34"/>
  <c r="O1269" i="34"/>
  <c r="O1300" i="34"/>
  <c r="P1304" i="34"/>
  <c r="O618" i="34"/>
  <c r="O1625" i="34"/>
  <c r="P1834" i="34"/>
  <c r="O1506" i="34"/>
  <c r="Q1510" i="34"/>
  <c r="P1510" i="34"/>
  <c r="P1532" i="34"/>
  <c r="O1536" i="34"/>
  <c r="P1573" i="34"/>
  <c r="O1577" i="34"/>
  <c r="P1581" i="34"/>
  <c r="P1691" i="34"/>
  <c r="Q1732" i="34"/>
  <c r="P1732" i="34"/>
  <c r="P1747" i="34"/>
  <c r="O1751" i="34"/>
  <c r="P1755" i="34"/>
  <c r="P1777" i="34"/>
  <c r="P1805" i="34"/>
  <c r="O1830" i="34"/>
  <c r="O1317" i="34"/>
  <c r="P1354" i="34"/>
  <c r="O1383" i="34"/>
  <c r="P1387" i="34"/>
  <c r="P1410" i="34"/>
  <c r="P1430" i="34"/>
  <c r="O1473" i="34"/>
  <c r="O1569" i="34"/>
  <c r="O1187" i="34"/>
  <c r="Q1191" i="34"/>
  <c r="P1191" i="34"/>
  <c r="O1195" i="34"/>
  <c r="O1226" i="34"/>
  <c r="P1230" i="34"/>
  <c r="P1266" i="34"/>
  <c r="Q1301" i="34"/>
  <c r="P1301" i="34"/>
  <c r="O1305" i="34"/>
  <c r="Q1309" i="34"/>
  <c r="P1309" i="34"/>
  <c r="O1313" i="34"/>
  <c r="P1750" i="34"/>
  <c r="Q1776" i="34"/>
  <c r="O1780" i="34"/>
  <c r="P1804" i="34"/>
  <c r="O1808" i="34"/>
  <c r="O1316" i="34"/>
  <c r="O1568" i="34"/>
  <c r="O1194" i="34"/>
  <c r="P1229" i="34"/>
  <c r="P1308" i="34"/>
  <c r="P1382" i="34"/>
  <c r="Q1409" i="34"/>
  <c r="P1429" i="34"/>
  <c r="P1690" i="34"/>
  <c r="O1308" i="34"/>
  <c r="O1838" i="34"/>
  <c r="P1577" i="34"/>
  <c r="Q1270" i="34"/>
  <c r="Q1429" i="34"/>
  <c r="Q1690" i="34"/>
  <c r="P1269" i="34"/>
  <c r="Q1300" i="34"/>
  <c r="O1312" i="34"/>
  <c r="Q1625" i="34"/>
  <c r="O1510" i="34"/>
  <c r="Q1577" i="34"/>
  <c r="Q1691" i="34"/>
  <c r="O1695" i="34"/>
  <c r="O1732" i="34"/>
  <c r="O1777" i="34"/>
  <c r="Q1781" i="34"/>
  <c r="P1317" i="34"/>
  <c r="O1354" i="34"/>
  <c r="Q1358" i="34"/>
  <c r="Q1387" i="34"/>
  <c r="P1414" i="34"/>
  <c r="O1430" i="34"/>
  <c r="P1187" i="34"/>
  <c r="O1230" i="34"/>
  <c r="Q1305" i="34"/>
  <c r="O1413" i="34"/>
  <c r="O1225" i="34"/>
  <c r="O1229" i="34"/>
  <c r="Q1269" i="34"/>
  <c r="Q1308" i="34"/>
  <c r="P618" i="34"/>
  <c r="O1621" i="34"/>
  <c r="P1838" i="34"/>
  <c r="O1842" i="34"/>
  <c r="P1506" i="34"/>
  <c r="Q1532" i="34"/>
  <c r="P1536" i="34"/>
  <c r="O1573" i="34"/>
  <c r="Q1581" i="34"/>
  <c r="P1695" i="34"/>
  <c r="Q1747" i="34"/>
  <c r="P1751" i="34"/>
  <c r="O1755" i="34"/>
  <c r="Q1805" i="34"/>
  <c r="O1809" i="34"/>
  <c r="P1830" i="34"/>
  <c r="Q1317" i="34"/>
  <c r="O1410" i="34"/>
  <c r="Q1414" i="34"/>
  <c r="P1569" i="34"/>
  <c r="Q1187" i="34"/>
  <c r="P1195" i="34"/>
  <c r="Q1226" i="34"/>
  <c r="Q1266" i="34"/>
  <c r="O1270" i="34"/>
  <c r="O1301" i="34"/>
  <c r="Q1313" i="34"/>
  <c r="P1409" i="34"/>
  <c r="P1472" i="34"/>
  <c r="P1190" i="34"/>
  <c r="P1194" i="34"/>
  <c r="O1265" i="34"/>
  <c r="P1312" i="34"/>
  <c r="Q1838" i="34"/>
  <c r="Q1506" i="34"/>
  <c r="Q1536" i="34"/>
  <c r="O1691" i="34"/>
  <c r="Q1695" i="34"/>
  <c r="Q1751" i="34"/>
  <c r="Q1777" i="34"/>
  <c r="O1781" i="34"/>
  <c r="P1809" i="34"/>
  <c r="Q1830" i="34"/>
  <c r="Q1354" i="34"/>
  <c r="O1358" i="34"/>
  <c r="P1383" i="34"/>
  <c r="O1387" i="34"/>
  <c r="Q1430" i="34"/>
  <c r="P1473" i="34"/>
  <c r="Q1569" i="34"/>
  <c r="Q1195" i="34"/>
  <c r="Q1230" i="34"/>
  <c r="P1270" i="34"/>
  <c r="O1309" i="34"/>
  <c r="P1386" i="34"/>
  <c r="P1300" i="34"/>
  <c r="O1304" i="34"/>
  <c r="P1621" i="34"/>
  <c r="P1625" i="34"/>
  <c r="O1834" i="34"/>
  <c r="P1842" i="34"/>
  <c r="O1532" i="34"/>
  <c r="Q1573" i="34"/>
  <c r="O1581" i="34"/>
  <c r="O1747" i="34"/>
  <c r="Q1755" i="34"/>
  <c r="P1781" i="34"/>
  <c r="O1805" i="34"/>
  <c r="Q1809" i="34"/>
  <c r="P1358" i="34"/>
  <c r="Q1383" i="34"/>
  <c r="Q1410" i="34"/>
  <c r="O1414" i="34"/>
  <c r="Q1473" i="34"/>
  <c r="O1191" i="34"/>
  <c r="O1266" i="34"/>
  <c r="P1305" i="34"/>
  <c r="P1226" i="34"/>
  <c r="P1313" i="34"/>
  <c r="O1142" i="34"/>
  <c r="P967" i="34"/>
  <c r="O989" i="34"/>
  <c r="P621" i="34"/>
  <c r="P996" i="34"/>
  <c r="P944" i="34"/>
  <c r="O958" i="34"/>
  <c r="P1001" i="34"/>
  <c r="Q945" i="34"/>
  <c r="P945" i="34"/>
  <c r="O950" i="34"/>
  <c r="Q954" i="34"/>
  <c r="P954" i="34"/>
  <c r="O960" i="34"/>
  <c r="Q965" i="34"/>
  <c r="P965" i="34"/>
  <c r="O969" i="34"/>
  <c r="Q973" i="34"/>
  <c r="P973" i="34"/>
  <c r="O977" i="34"/>
  <c r="Q982" i="34"/>
  <c r="P982" i="34"/>
  <c r="O987" i="34"/>
  <c r="Q991" i="34"/>
  <c r="P991" i="34"/>
  <c r="P494" i="34"/>
  <c r="Q910" i="34"/>
  <c r="P910" i="34"/>
  <c r="O915" i="34"/>
  <c r="Q920" i="34"/>
  <c r="P920" i="34"/>
  <c r="O924" i="34"/>
  <c r="Q928" i="34"/>
  <c r="P928" i="34"/>
  <c r="O932" i="34"/>
  <c r="Q937" i="34"/>
  <c r="P937" i="34"/>
  <c r="O941" i="34"/>
  <c r="P425" i="34"/>
  <c r="P438" i="34"/>
  <c r="P450" i="34"/>
  <c r="P460" i="34"/>
  <c r="P471" i="34"/>
  <c r="P483" i="34"/>
  <c r="P635" i="34"/>
  <c r="P279" i="34"/>
  <c r="P288" i="34"/>
  <c r="O292" i="34"/>
  <c r="Q296" i="34"/>
  <c r="P296" i="34"/>
  <c r="O301" i="34"/>
  <c r="Q305" i="34"/>
  <c r="P305" i="34"/>
  <c r="O310" i="34"/>
  <c r="Q315" i="34"/>
  <c r="P315" i="34"/>
  <c r="O320" i="34"/>
  <c r="Q1004" i="34"/>
  <c r="P1004" i="34"/>
  <c r="P952" i="34"/>
  <c r="O971" i="34"/>
  <c r="P984" i="34"/>
  <c r="O913" i="34"/>
  <c r="O949" i="34"/>
  <c r="P997" i="34"/>
  <c r="O1006" i="34"/>
  <c r="P994" i="34"/>
  <c r="O998" i="34"/>
  <c r="P1002" i="34"/>
  <c r="O1141" i="34"/>
  <c r="P951" i="34"/>
  <c r="P961" i="34"/>
  <c r="P970" i="34"/>
  <c r="P978" i="34"/>
  <c r="P988" i="34"/>
  <c r="O491" i="34"/>
  <c r="P620" i="34"/>
  <c r="O625" i="34"/>
  <c r="P916" i="34"/>
  <c r="P925" i="34"/>
  <c r="P933" i="34"/>
  <c r="P942" i="34"/>
  <c r="P426" i="34"/>
  <c r="O432" i="34"/>
  <c r="P439" i="34"/>
  <c r="O445" i="34"/>
  <c r="P451" i="34"/>
  <c r="O456" i="34"/>
  <c r="P461" i="34"/>
  <c r="O467" i="34"/>
  <c r="P473" i="34"/>
  <c r="O479" i="34"/>
  <c r="P485" i="34"/>
  <c r="Q636" i="34"/>
  <c r="P636" i="34"/>
  <c r="P280" i="34"/>
  <c r="O284" i="34"/>
  <c r="P289" i="34"/>
  <c r="P293" i="34"/>
  <c r="P302" i="34"/>
  <c r="P311" i="34"/>
  <c r="P321" i="34"/>
  <c r="O999" i="34"/>
  <c r="O957" i="34"/>
  <c r="P979" i="34"/>
  <c r="Q967" i="34"/>
  <c r="Q621" i="34"/>
  <c r="Q996" i="34"/>
  <c r="Q944" i="34"/>
  <c r="Q1001" i="34"/>
  <c r="O489" i="34"/>
  <c r="Q494" i="34"/>
  <c r="O624" i="34"/>
  <c r="Q425" i="34"/>
  <c r="O431" i="34"/>
  <c r="Q438" i="34"/>
  <c r="O444" i="34"/>
  <c r="Q450" i="34"/>
  <c r="O455" i="34"/>
  <c r="Q460" i="34"/>
  <c r="O466" i="34"/>
  <c r="Q471" i="34"/>
  <c r="O477" i="34"/>
  <c r="Q483" i="34"/>
  <c r="Q635" i="34"/>
  <c r="Q279" i="34"/>
  <c r="O283" i="34"/>
  <c r="Q288" i="34"/>
  <c r="Q952" i="34"/>
  <c r="Q984" i="34"/>
  <c r="O1000" i="34"/>
  <c r="Q997" i="34"/>
  <c r="Q994" i="34"/>
  <c r="Q1002" i="34"/>
  <c r="O947" i="34"/>
  <c r="Q951" i="34"/>
  <c r="O955" i="34"/>
  <c r="Q961" i="34"/>
  <c r="O966" i="34"/>
  <c r="Q970" i="34"/>
  <c r="O974" i="34"/>
  <c r="Q978" i="34"/>
  <c r="O983" i="34"/>
  <c r="Q988" i="34"/>
  <c r="O992" i="34"/>
  <c r="Q620" i="34"/>
  <c r="O911" i="34"/>
  <c r="Q916" i="34"/>
  <c r="O921" i="34"/>
  <c r="Q925" i="34"/>
  <c r="O929" i="34"/>
  <c r="Q933" i="34"/>
  <c r="O938" i="34"/>
  <c r="Q942" i="34"/>
  <c r="Q426" i="34"/>
  <c r="Q439" i="34"/>
  <c r="Q451" i="34"/>
  <c r="Q461" i="34"/>
  <c r="Q473" i="34"/>
  <c r="Q485" i="34"/>
  <c r="Q280" i="34"/>
  <c r="Q289" i="34"/>
  <c r="Q293" i="34"/>
  <c r="O297" i="34"/>
  <c r="Q302" i="34"/>
  <c r="O307" i="34"/>
  <c r="Q311" i="34"/>
  <c r="O316" i="34"/>
  <c r="Q321" i="34"/>
  <c r="Q979" i="34"/>
  <c r="Q918" i="34"/>
  <c r="Q926" i="34"/>
  <c r="Q934" i="34"/>
  <c r="Q943" i="34"/>
  <c r="Q435" i="34"/>
  <c r="Q447" i="34"/>
  <c r="Q457" i="34"/>
  <c r="P1142" i="34"/>
  <c r="O967" i="34"/>
  <c r="P989" i="34"/>
  <c r="O621" i="34"/>
  <c r="O944" i="34"/>
  <c r="P958" i="34"/>
  <c r="O1001" i="34"/>
  <c r="O945" i="34"/>
  <c r="Q950" i="34"/>
  <c r="P950" i="34"/>
  <c r="O954" i="34"/>
  <c r="Q960" i="34"/>
  <c r="P960" i="34"/>
  <c r="O965" i="34"/>
  <c r="Q969" i="34"/>
  <c r="P969" i="34"/>
  <c r="O973" i="34"/>
  <c r="Q977" i="34"/>
  <c r="P977" i="34"/>
  <c r="O982" i="34"/>
  <c r="Q987" i="34"/>
  <c r="P987" i="34"/>
  <c r="O991" i="34"/>
  <c r="P489" i="34"/>
  <c r="P624" i="34"/>
  <c r="O910" i="34"/>
  <c r="Q915" i="34"/>
  <c r="P915" i="34"/>
  <c r="O920" i="34"/>
  <c r="Q924" i="34"/>
  <c r="P924" i="34"/>
  <c r="O928" i="34"/>
  <c r="Q932" i="34"/>
  <c r="P932" i="34"/>
  <c r="O937" i="34"/>
  <c r="Q941" i="34"/>
  <c r="P941" i="34"/>
  <c r="P431" i="34"/>
  <c r="P444" i="34"/>
  <c r="P455" i="34"/>
  <c r="P466" i="34"/>
  <c r="P477" i="34"/>
  <c r="O635" i="34"/>
  <c r="P283" i="34"/>
  <c r="Q292" i="34"/>
  <c r="P292" i="34"/>
  <c r="O296" i="34"/>
  <c r="Q301" i="34"/>
  <c r="P301" i="34"/>
  <c r="O305" i="34"/>
  <c r="Q310" i="34"/>
  <c r="P310" i="34"/>
  <c r="O315" i="34"/>
  <c r="Q320" i="34"/>
  <c r="P320" i="34"/>
  <c r="O1004" i="34"/>
  <c r="O952" i="34"/>
  <c r="P971" i="34"/>
  <c r="O984" i="34"/>
  <c r="P913" i="34"/>
  <c r="P1000" i="34"/>
  <c r="P949" i="34"/>
  <c r="O997" i="34"/>
  <c r="P1006" i="34"/>
  <c r="O994" i="34"/>
  <c r="P998" i="34"/>
  <c r="O1002" i="34"/>
  <c r="P1141" i="34"/>
  <c r="P947" i="34"/>
  <c r="P955" i="34"/>
  <c r="P966" i="34"/>
  <c r="P974" i="34"/>
  <c r="P983" i="34"/>
  <c r="P992" i="34"/>
  <c r="P491" i="34"/>
  <c r="O620" i="34"/>
  <c r="P625" i="34"/>
  <c r="P911" i="34"/>
  <c r="P921" i="34"/>
  <c r="P929" i="34"/>
  <c r="P938" i="34"/>
  <c r="O426" i="34"/>
  <c r="P432" i="34"/>
  <c r="O439" i="34"/>
  <c r="P445" i="34"/>
  <c r="Q1142" i="34"/>
  <c r="Q989" i="34"/>
  <c r="O996" i="34"/>
  <c r="Q958" i="34"/>
  <c r="Q489" i="34"/>
  <c r="O494" i="34"/>
  <c r="Q624" i="34"/>
  <c r="O425" i="34"/>
  <c r="Q431" i="34"/>
  <c r="O438" i="34"/>
  <c r="Q444" i="34"/>
  <c r="O450" i="34"/>
  <c r="Q455" i="34"/>
  <c r="O460" i="34"/>
  <c r="Q466" i="34"/>
  <c r="O471" i="34"/>
  <c r="Q477" i="34"/>
  <c r="O483" i="34"/>
  <c r="O279" i="34"/>
  <c r="Q283" i="34"/>
  <c r="O288" i="34"/>
  <c r="Q971" i="34"/>
  <c r="Q913" i="34"/>
  <c r="Q1000" i="34"/>
  <c r="Q949" i="34"/>
  <c r="Q1006" i="34"/>
  <c r="Q998" i="34"/>
  <c r="Q1141" i="34"/>
  <c r="Q947" i="34"/>
  <c r="O951" i="34"/>
  <c r="Q955" i="34"/>
  <c r="O961" i="34"/>
  <c r="Q966" i="34"/>
  <c r="O970" i="34"/>
  <c r="Q974" i="34"/>
  <c r="O978" i="34"/>
  <c r="Q983" i="34"/>
  <c r="O988" i="34"/>
  <c r="Q992" i="34"/>
  <c r="Q491" i="34"/>
  <c r="Q625" i="34"/>
  <c r="Q911" i="34"/>
  <c r="O916" i="34"/>
  <c r="Q921" i="34"/>
  <c r="O925" i="34"/>
  <c r="Q929" i="34"/>
  <c r="O933" i="34"/>
  <c r="Q938" i="34"/>
  <c r="O942" i="34"/>
  <c r="Q432" i="34"/>
  <c r="Q445" i="34"/>
  <c r="Q456" i="34"/>
  <c r="Q467" i="34"/>
  <c r="Q479" i="34"/>
  <c r="Q284" i="34"/>
  <c r="O293" i="34"/>
  <c r="Q297" i="34"/>
  <c r="O302" i="34"/>
  <c r="Q307" i="34"/>
  <c r="O311" i="34"/>
  <c r="Q316" i="34"/>
  <c r="O321" i="34"/>
  <c r="Q957" i="34"/>
  <c r="Q492" i="34"/>
  <c r="Q922" i="34"/>
  <c r="Q930" i="34"/>
  <c r="Q939" i="34"/>
  <c r="Q428" i="34"/>
  <c r="Q441" i="34"/>
  <c r="Q452" i="34"/>
  <c r="Q463" i="34"/>
  <c r="Q474" i="34"/>
  <c r="Q486" i="34"/>
  <c r="Q281" i="34"/>
  <c r="Q290" i="34"/>
  <c r="Q298" i="34"/>
  <c r="Q308" i="34"/>
  <c r="Q317" i="34"/>
  <c r="Q962" i="34"/>
  <c r="Q993" i="34"/>
  <c r="O1005" i="34"/>
  <c r="Q964" i="34"/>
  <c r="Q972" i="34"/>
  <c r="P297" i="34"/>
  <c r="O290" i="34"/>
  <c r="P322" i="34"/>
  <c r="P948" i="34"/>
  <c r="O908" i="34"/>
  <c r="Q309" i="34"/>
  <c r="Q488" i="34"/>
  <c r="P909" i="34"/>
  <c r="O923" i="34"/>
  <c r="O931" i="34"/>
  <c r="O940" i="34"/>
  <c r="P429" i="34"/>
  <c r="P442" i="34"/>
  <c r="Q454" i="34"/>
  <c r="Q464" i="34"/>
  <c r="P476" i="34"/>
  <c r="P278" i="34"/>
  <c r="P286" i="34"/>
  <c r="P295" i="34"/>
  <c r="O309" i="34"/>
  <c r="O451" i="34"/>
  <c r="O461" i="34"/>
  <c r="O473" i="34"/>
  <c r="O485" i="34"/>
  <c r="O280" i="34"/>
  <c r="O289" i="34"/>
  <c r="Q999" i="34"/>
  <c r="P918" i="34"/>
  <c r="O926" i="34"/>
  <c r="P934" i="34"/>
  <c r="O943" i="34"/>
  <c r="P435" i="34"/>
  <c r="O447" i="34"/>
  <c r="P457" i="34"/>
  <c r="O468" i="34"/>
  <c r="P474" i="34"/>
  <c r="P277" i="34"/>
  <c r="O281" i="34"/>
  <c r="Q285" i="34"/>
  <c r="O294" i="34"/>
  <c r="P298" i="34"/>
  <c r="P312" i="34"/>
  <c r="O317" i="34"/>
  <c r="Q322" i="34"/>
  <c r="Q948" i="34"/>
  <c r="O975" i="34"/>
  <c r="P993" i="34"/>
  <c r="P953" i="34"/>
  <c r="O964" i="34"/>
  <c r="Q968" i="34"/>
  <c r="O976" i="34"/>
  <c r="P980" i="34"/>
  <c r="P990" i="34"/>
  <c r="O493" i="34"/>
  <c r="P622" i="34"/>
  <c r="P919" i="34"/>
  <c r="O423" i="34"/>
  <c r="Q442" i="34"/>
  <c r="O459" i="34"/>
  <c r="O470" i="34"/>
  <c r="O482" i="34"/>
  <c r="Q282" i="34"/>
  <c r="O299" i="34"/>
  <c r="P314" i="34"/>
  <c r="P456" i="34"/>
  <c r="P467" i="34"/>
  <c r="P479" i="34"/>
  <c r="O636" i="34"/>
  <c r="P284" i="34"/>
  <c r="P316" i="34"/>
  <c r="O979" i="34"/>
  <c r="O492" i="34"/>
  <c r="P922" i="34"/>
  <c r="O930" i="34"/>
  <c r="P939" i="34"/>
  <c r="O428" i="34"/>
  <c r="P441" i="34"/>
  <c r="O452" i="34"/>
  <c r="P463" i="34"/>
  <c r="P480" i="34"/>
  <c r="O486" i="34"/>
  <c r="Q277" i="34"/>
  <c r="O285" i="34"/>
  <c r="P290" i="34"/>
  <c r="P303" i="34"/>
  <c r="O308" i="34"/>
  <c r="Q312" i="34"/>
  <c r="O322" i="34"/>
  <c r="O995" i="34"/>
  <c r="O948" i="34"/>
  <c r="P962" i="34"/>
  <c r="P908" i="34"/>
  <c r="P1005" i="34"/>
  <c r="Q953" i="34"/>
  <c r="O968" i="34"/>
  <c r="P972" i="34"/>
  <c r="Q980" i="34"/>
  <c r="Q990" i="34"/>
  <c r="Q909" i="34"/>
  <c r="Q919" i="34"/>
  <c r="Q927" i="34"/>
  <c r="Q935" i="34"/>
  <c r="Q295" i="34"/>
  <c r="Q304" i="34"/>
  <c r="Q314" i="34"/>
  <c r="P307" i="34"/>
  <c r="P957" i="34"/>
  <c r="O918" i="34"/>
  <c r="P926" i="34"/>
  <c r="O934" i="34"/>
  <c r="P943" i="34"/>
  <c r="O435" i="34"/>
  <c r="P447" i="34"/>
  <c r="O457" i="34"/>
  <c r="P468" i="34"/>
  <c r="O474" i="34"/>
  <c r="Q480" i="34"/>
  <c r="O277" i="34"/>
  <c r="P281" i="34"/>
  <c r="P294" i="34"/>
  <c r="O298" i="34"/>
  <c r="Q303" i="34"/>
  <c r="O312" i="34"/>
  <c r="P317" i="34"/>
  <c r="P975" i="34"/>
  <c r="O993" i="34"/>
  <c r="Q908" i="34"/>
  <c r="Q1005" i="34"/>
  <c r="O953" i="34"/>
  <c r="P964" i="34"/>
  <c r="P976" i="34"/>
  <c r="O980" i="34"/>
  <c r="P985" i="34"/>
  <c r="O990" i="34"/>
  <c r="O488" i="34"/>
  <c r="Q493" i="34"/>
  <c r="P493" i="34"/>
  <c r="O622" i="34"/>
  <c r="O909" i="34"/>
  <c r="P914" i="34"/>
  <c r="O919" i="34"/>
  <c r="P923" i="34"/>
  <c r="O927" i="34"/>
  <c r="P931" i="34"/>
  <c r="O935" i="34"/>
  <c r="P940" i="34"/>
  <c r="Q423" i="34"/>
  <c r="P423" i="34"/>
  <c r="O429" i="34"/>
  <c r="Q436" i="34"/>
  <c r="P436" i="34"/>
  <c r="O442" i="34"/>
  <c r="Q448" i="34"/>
  <c r="P448" i="34"/>
  <c r="O454" i="34"/>
  <c r="Q459" i="34"/>
  <c r="P459" i="34"/>
  <c r="O464" i="34"/>
  <c r="Q470" i="34"/>
  <c r="P470" i="34"/>
  <c r="O476" i="34"/>
  <c r="Q482" i="34"/>
  <c r="P482" i="34"/>
  <c r="P634" i="34"/>
  <c r="Q278" i="34"/>
  <c r="O278" i="34"/>
  <c r="P282" i="34"/>
  <c r="Q286" i="34"/>
  <c r="O286" i="34"/>
  <c r="P291" i="34"/>
  <c r="O295" i="34"/>
  <c r="P299" i="34"/>
  <c r="O304" i="34"/>
  <c r="P309" i="34"/>
  <c r="O314" i="34"/>
  <c r="P319" i="34"/>
  <c r="P999" i="34"/>
  <c r="P492" i="34"/>
  <c r="O922" i="34"/>
  <c r="P930" i="34"/>
  <c r="O939" i="34"/>
  <c r="P428" i="34"/>
  <c r="O441" i="34"/>
  <c r="P452" i="34"/>
  <c r="O463" i="34"/>
  <c r="Q468" i="34"/>
  <c r="O480" i="34"/>
  <c r="P486" i="34"/>
  <c r="P285" i="34"/>
  <c r="Q294" i="34"/>
  <c r="O303" i="34"/>
  <c r="P308" i="34"/>
  <c r="Q995" i="34"/>
  <c r="P995" i="34"/>
  <c r="O962" i="34"/>
  <c r="Q975" i="34"/>
  <c r="P968" i="34"/>
  <c r="O972" i="34"/>
  <c r="Q976" i="34"/>
  <c r="Q985" i="34"/>
  <c r="Q914" i="34"/>
  <c r="Q923" i="34"/>
  <c r="Q931" i="34"/>
  <c r="Q940" i="34"/>
  <c r="Q634" i="34"/>
  <c r="Q291" i="34"/>
  <c r="Q299" i="34"/>
  <c r="Q319" i="34"/>
  <c r="O985" i="34"/>
  <c r="P488" i="34"/>
  <c r="Q622" i="34"/>
  <c r="O914" i="34"/>
  <c r="P927" i="34"/>
  <c r="P935" i="34"/>
  <c r="Q429" i="34"/>
  <c r="O436" i="34"/>
  <c r="O448" i="34"/>
  <c r="P454" i="34"/>
  <c r="P464" i="34"/>
  <c r="Q476" i="34"/>
  <c r="O634" i="34"/>
  <c r="O282" i="34"/>
  <c r="O291" i="34"/>
  <c r="P304" i="34"/>
  <c r="O319" i="34"/>
  <c r="P142" i="34"/>
  <c r="P143" i="34"/>
  <c r="Q142" i="34"/>
  <c r="O142" i="34"/>
  <c r="O143" i="34"/>
  <c r="Q143" i="34"/>
  <c r="Q1681" i="34"/>
  <c r="O1681" i="34"/>
  <c r="P1681" i="34"/>
  <c r="Q84" i="34"/>
  <c r="P84" i="34"/>
  <c r="O84" i="34"/>
  <c r="O2003" i="34"/>
  <c r="P2035" i="34"/>
  <c r="O2043" i="34"/>
  <c r="P2067" i="34"/>
  <c r="P2041" i="34"/>
  <c r="P2039" i="34"/>
  <c r="Q2068" i="34"/>
  <c r="P2068" i="34"/>
  <c r="O2002" i="34"/>
  <c r="P2042" i="34"/>
  <c r="Q2040" i="34"/>
  <c r="P2040" i="34"/>
  <c r="Q2004" i="34"/>
  <c r="P2004" i="34"/>
  <c r="O2071" i="34"/>
  <c r="P2066" i="34"/>
  <c r="P2069" i="34"/>
  <c r="P2103" i="34"/>
  <c r="O2038" i="34"/>
  <c r="P2070" i="34"/>
  <c r="Q2035" i="34"/>
  <c r="Q2067" i="34"/>
  <c r="O2001" i="34"/>
  <c r="Q2041" i="34"/>
  <c r="Q2039" i="34"/>
  <c r="Q2042" i="34"/>
  <c r="O2045" i="34"/>
  <c r="O2037" i="34"/>
  <c r="Q2066" i="34"/>
  <c r="Q2069" i="34"/>
  <c r="Q2103" i="34"/>
  <c r="Q2070" i="34"/>
  <c r="P2003" i="34"/>
  <c r="O2035" i="34"/>
  <c r="P2043" i="34"/>
  <c r="O2067" i="34"/>
  <c r="P2001" i="34"/>
  <c r="O2039" i="34"/>
  <c r="O2068" i="34"/>
  <c r="P2002" i="34"/>
  <c r="O2042" i="34"/>
  <c r="O2040" i="34"/>
  <c r="P2045" i="34"/>
  <c r="O2004" i="34"/>
  <c r="P2037" i="34"/>
  <c r="P2071" i="34"/>
  <c r="O2066" i="34"/>
  <c r="O2103" i="34"/>
  <c r="P2038" i="34"/>
  <c r="O2070" i="34"/>
  <c r="Q2003" i="34"/>
  <c r="Q2043" i="34"/>
  <c r="Q2001" i="34"/>
  <c r="O2041" i="34"/>
  <c r="Q2002" i="34"/>
  <c r="Q2045" i="34"/>
  <c r="Q2037" i="34"/>
  <c r="Q2071" i="34"/>
  <c r="O2069" i="34"/>
  <c r="Q2038" i="34"/>
  <c r="P2018" i="34"/>
  <c r="O2047" i="34"/>
  <c r="P2051" i="34"/>
  <c r="O2055" i="34"/>
  <c r="P2078" i="34"/>
  <c r="O2082" i="34"/>
  <c r="P1923" i="34"/>
  <c r="O1970" i="34"/>
  <c r="P1974" i="34"/>
  <c r="O1978" i="34"/>
  <c r="O2024" i="34"/>
  <c r="Q2028" i="34"/>
  <c r="P2028" i="34"/>
  <c r="O2032" i="34"/>
  <c r="P2057" i="34"/>
  <c r="P2065" i="34"/>
  <c r="P2086" i="34"/>
  <c r="O2090" i="34"/>
  <c r="O1911" i="34"/>
  <c r="P1983" i="34"/>
  <c r="Q1939" i="34"/>
  <c r="Q2073" i="34"/>
  <c r="O2093" i="34"/>
  <c r="Q1902" i="34"/>
  <c r="Q1910" i="34"/>
  <c r="Q1917" i="34"/>
  <c r="O1921" i="34"/>
  <c r="Q1925" i="34"/>
  <c r="O1929" i="34"/>
  <c r="Q1221" i="34"/>
  <c r="Q1249" i="34"/>
  <c r="Q1253" i="34"/>
  <c r="Q1290" i="34"/>
  <c r="Q1292" i="34"/>
  <c r="Q1294" i="34"/>
  <c r="Q1296" i="34"/>
  <c r="O1338" i="34"/>
  <c r="O1342" i="34"/>
  <c r="O1346" i="34"/>
  <c r="O1350" i="34"/>
  <c r="Q1374" i="34"/>
  <c r="Q1376" i="34"/>
  <c r="Q1378" i="34"/>
  <c r="Q1380" i="34"/>
  <c r="Q1402" i="34"/>
  <c r="Q1404" i="34"/>
  <c r="Q1406" i="34"/>
  <c r="Q1408" i="34"/>
  <c r="Q1422" i="34"/>
  <c r="Q1424" i="34"/>
  <c r="Q1434" i="34"/>
  <c r="Q1436" i="34"/>
  <c r="O1547" i="34"/>
  <c r="O1551" i="34"/>
  <c r="O1571" i="34"/>
  <c r="O1607" i="34"/>
  <c r="O1611" i="34"/>
  <c r="O1615" i="34"/>
  <c r="Q1707" i="34"/>
  <c r="O1709" i="34"/>
  <c r="Q1711" i="34"/>
  <c r="Q1713" i="34"/>
  <c r="Q1742" i="34"/>
  <c r="O1797" i="34"/>
  <c r="O1801" i="34"/>
  <c r="Q1822" i="34"/>
  <c r="Q1826" i="34"/>
  <c r="Q2075" i="34"/>
  <c r="Q2094" i="34"/>
  <c r="Q1971" i="34"/>
  <c r="O2021" i="34"/>
  <c r="Q2025" i="34"/>
  <c r="O2029" i="34"/>
  <c r="Q2033" i="34"/>
  <c r="Q2058" i="34"/>
  <c r="Q2083" i="34"/>
  <c r="Q2018" i="34"/>
  <c r="Q2051" i="34"/>
  <c r="Q2078" i="34"/>
  <c r="Q1923" i="34"/>
  <c r="Q1974" i="34"/>
  <c r="Q2057" i="34"/>
  <c r="O2061" i="34"/>
  <c r="Q2065" i="34"/>
  <c r="Q2086" i="34"/>
  <c r="P1874" i="34"/>
  <c r="O1880" i="34"/>
  <c r="Q1888" i="34"/>
  <c r="P1888" i="34"/>
  <c r="Q1911" i="34"/>
  <c r="O1983" i="34"/>
  <c r="Q1988" i="34"/>
  <c r="P1988" i="34"/>
  <c r="P2100" i="34"/>
  <c r="P1935" i="34"/>
  <c r="O1939" i="34"/>
  <c r="P1943" i="34"/>
  <c r="Q1992" i="34"/>
  <c r="P1992" i="34"/>
  <c r="O1996" i="34"/>
  <c r="Q2000" i="34"/>
  <c r="P2000" i="34"/>
  <c r="P2093" i="34"/>
  <c r="P1894" i="34"/>
  <c r="Q1912" i="34"/>
  <c r="P1912" i="34"/>
  <c r="P1898" i="34"/>
  <c r="O1902" i="34"/>
  <c r="P1906" i="34"/>
  <c r="O1910" i="34"/>
  <c r="P1921" i="34"/>
  <c r="O1948" i="34"/>
  <c r="Q1952" i="34"/>
  <c r="P1952" i="34"/>
  <c r="P1929" i="34"/>
  <c r="P2006" i="34"/>
  <c r="Q1956" i="34"/>
  <c r="P1956" i="34"/>
  <c r="O1960" i="34"/>
  <c r="Q1964" i="34"/>
  <c r="P1964" i="34"/>
  <c r="O2008" i="34"/>
  <c r="Q2012" i="34"/>
  <c r="P2012" i="34"/>
  <c r="O2016" i="34"/>
  <c r="O1221" i="34"/>
  <c r="O1247" i="34"/>
  <c r="O1249" i="34"/>
  <c r="O1251" i="34"/>
  <c r="O1253" i="34"/>
  <c r="O1292" i="34"/>
  <c r="O1296" i="34"/>
  <c r="P1336" i="34"/>
  <c r="P1338" i="34"/>
  <c r="P1340" i="34"/>
  <c r="P1342" i="34"/>
  <c r="P1344" i="34"/>
  <c r="P1346" i="34"/>
  <c r="P1348" i="34"/>
  <c r="P1350" i="34"/>
  <c r="O1376" i="34"/>
  <c r="O1380" i="34"/>
  <c r="O1404" i="34"/>
  <c r="O1408" i="34"/>
  <c r="O1424" i="34"/>
  <c r="O1436" i="34"/>
  <c r="P1475" i="34"/>
  <c r="Q1522" i="34"/>
  <c r="P1522" i="34"/>
  <c r="P1524" i="34"/>
  <c r="Q1526" i="34"/>
  <c r="P1526" i="34"/>
  <c r="P1528" i="34"/>
  <c r="P1547" i="34"/>
  <c r="P1549" i="34"/>
  <c r="P1551" i="34"/>
  <c r="P1553" i="34"/>
  <c r="P1571" i="34"/>
  <c r="P1605" i="34"/>
  <c r="P1607" i="34"/>
  <c r="P1609" i="34"/>
  <c r="P1611" i="34"/>
  <c r="P1613" i="34"/>
  <c r="P1615" i="34"/>
  <c r="P1617" i="34"/>
  <c r="Q1634" i="34"/>
  <c r="P1634" i="34"/>
  <c r="P1636" i="34"/>
  <c r="Q1638" i="34"/>
  <c r="P1638" i="34"/>
  <c r="P1640" i="34"/>
  <c r="P1707" i="34"/>
  <c r="P1709" i="34"/>
  <c r="O1711" i="34"/>
  <c r="O1742" i="34"/>
  <c r="P1766" i="34"/>
  <c r="Q1768" i="34"/>
  <c r="P1768" i="34"/>
  <c r="P1770" i="34"/>
  <c r="Q1772" i="34"/>
  <c r="P1772" i="34"/>
  <c r="P1795" i="34"/>
  <c r="P1797" i="34"/>
  <c r="P1799" i="34"/>
  <c r="P1801" i="34"/>
  <c r="O1820" i="34"/>
  <c r="O1822" i="34"/>
  <c r="O1824" i="34"/>
  <c r="O1826" i="34"/>
  <c r="P1854" i="34"/>
  <c r="Q1856" i="34"/>
  <c r="P1856" i="34"/>
  <c r="P1858" i="34"/>
  <c r="Q1860" i="34"/>
  <c r="P1860" i="34"/>
  <c r="P1862" i="34"/>
  <c r="Q1864" i="34"/>
  <c r="P1864" i="34"/>
  <c r="O2018" i="34"/>
  <c r="P2047" i="34"/>
  <c r="O2051" i="34"/>
  <c r="P2055" i="34"/>
  <c r="O2078" i="34"/>
  <c r="P2082" i="34"/>
  <c r="O1923" i="34"/>
  <c r="P1970" i="34"/>
  <c r="O1974" i="34"/>
  <c r="P1978" i="34"/>
  <c r="Q2024" i="34"/>
  <c r="P2024" i="34"/>
  <c r="O2028" i="34"/>
  <c r="Q2032" i="34"/>
  <c r="P2032" i="34"/>
  <c r="P2061" i="34"/>
  <c r="O2086" i="34"/>
  <c r="P2090" i="34"/>
  <c r="Q1874" i="34"/>
  <c r="Q1983" i="34"/>
  <c r="Q2100" i="34"/>
  <c r="Q1935" i="34"/>
  <c r="Q1943" i="34"/>
  <c r="O2073" i="34"/>
  <c r="Q2093" i="34"/>
  <c r="Q1894" i="34"/>
  <c r="Q1898" i="34"/>
  <c r="Q1906" i="34"/>
  <c r="O1917" i="34"/>
  <c r="Q1921" i="34"/>
  <c r="O1925" i="34"/>
  <c r="Q1929" i="34"/>
  <c r="Q2006" i="34"/>
  <c r="O1290" i="34"/>
  <c r="O1294" i="34"/>
  <c r="Q1336" i="34"/>
  <c r="Q1338" i="34"/>
  <c r="Q1340" i="34"/>
  <c r="Q1342" i="34"/>
  <c r="Q1344" i="34"/>
  <c r="Q1346" i="34"/>
  <c r="Q1348" i="34"/>
  <c r="Q1350" i="34"/>
  <c r="O1374" i="34"/>
  <c r="O1378" i="34"/>
  <c r="O1402" i="34"/>
  <c r="O1406" i="34"/>
  <c r="O1422" i="34"/>
  <c r="O1434" i="34"/>
  <c r="Q1475" i="34"/>
  <c r="Q1524" i="34"/>
  <c r="Q1528" i="34"/>
  <c r="Q1547" i="34"/>
  <c r="Q1549" i="34"/>
  <c r="Q1551" i="34"/>
  <c r="Q1553" i="34"/>
  <c r="Q1571" i="34"/>
  <c r="Q1605" i="34"/>
  <c r="Q1607" i="34"/>
  <c r="Q1609" i="34"/>
  <c r="Q1611" i="34"/>
  <c r="Q1613" i="34"/>
  <c r="Q1615" i="34"/>
  <c r="Q1617" i="34"/>
  <c r="Q1636" i="34"/>
  <c r="Q1640" i="34"/>
  <c r="O1707" i="34"/>
  <c r="O1713" i="34"/>
  <c r="Q1766" i="34"/>
  <c r="Q1770" i="34"/>
  <c r="Q1795" i="34"/>
  <c r="Q1797" i="34"/>
  <c r="Q1799" i="34"/>
  <c r="Q1801" i="34"/>
  <c r="Q1854" i="34"/>
  <c r="Q1858" i="34"/>
  <c r="Q1862" i="34"/>
  <c r="Q2019" i="34"/>
  <c r="Q2079" i="34"/>
  <c r="Q1967" i="34"/>
  <c r="Q1975" i="34"/>
  <c r="Q2021" i="34"/>
  <c r="O2025" i="34"/>
  <c r="Q2029" i="34"/>
  <c r="O2033" i="34"/>
  <c r="Q2062" i="34"/>
  <c r="Q2087" i="34"/>
  <c r="Q2047" i="34"/>
  <c r="Q2055" i="34"/>
  <c r="Q2082" i="34"/>
  <c r="Q1970" i="34"/>
  <c r="Q1978" i="34"/>
  <c r="O2057" i="34"/>
  <c r="Q2061" i="34"/>
  <c r="O2065" i="34"/>
  <c r="Q2090" i="34"/>
  <c r="O1874" i="34"/>
  <c r="Q1880" i="34"/>
  <c r="P1880" i="34"/>
  <c r="O1888" i="34"/>
  <c r="P1911" i="34"/>
  <c r="O1988" i="34"/>
  <c r="O2100" i="34"/>
  <c r="O1935" i="34"/>
  <c r="P1939" i="34"/>
  <c r="O1943" i="34"/>
  <c r="O1992" i="34"/>
  <c r="Q1996" i="34"/>
  <c r="P1996" i="34"/>
  <c r="O2000" i="34"/>
  <c r="P2073" i="34"/>
  <c r="O1894" i="34"/>
  <c r="O1912" i="34"/>
  <c r="O1898" i="34"/>
  <c r="P1902" i="34"/>
  <c r="O1906" i="34"/>
  <c r="P1910" i="34"/>
  <c r="P1917" i="34"/>
  <c r="Q1948" i="34"/>
  <c r="P1948" i="34"/>
  <c r="O1952" i="34"/>
  <c r="P1925" i="34"/>
  <c r="O2006" i="34"/>
  <c r="O1956" i="34"/>
  <c r="Q1960" i="34"/>
  <c r="P1960" i="34"/>
  <c r="O1964" i="34"/>
  <c r="Q2008" i="34"/>
  <c r="P2008" i="34"/>
  <c r="O2012" i="34"/>
  <c r="Q2016" i="34"/>
  <c r="P2016" i="34"/>
  <c r="P1221" i="34"/>
  <c r="Q1247" i="34"/>
  <c r="P1247" i="34"/>
  <c r="P1249" i="34"/>
  <c r="Q1251" i="34"/>
  <c r="P1251" i="34"/>
  <c r="P1253" i="34"/>
  <c r="P1290" i="34"/>
  <c r="P1292" i="34"/>
  <c r="P1294" i="34"/>
  <c r="P1296" i="34"/>
  <c r="O1336" i="34"/>
  <c r="O1340" i="34"/>
  <c r="O1344" i="34"/>
  <c r="O1348" i="34"/>
  <c r="P1374" i="34"/>
  <c r="P1376" i="34"/>
  <c r="P1378" i="34"/>
  <c r="P1380" i="34"/>
  <c r="P1402" i="34"/>
  <c r="P1404" i="34"/>
  <c r="P1406" i="34"/>
  <c r="P1408" i="34"/>
  <c r="P1422" i="34"/>
  <c r="P1424" i="34"/>
  <c r="P1434" i="34"/>
  <c r="P1436" i="34"/>
  <c r="O1475" i="34"/>
  <c r="O1522" i="34"/>
  <c r="O1524" i="34"/>
  <c r="O1526" i="34"/>
  <c r="O1528" i="34"/>
  <c r="O1549" i="34"/>
  <c r="O1553" i="34"/>
  <c r="O1605" i="34"/>
  <c r="O1609" i="34"/>
  <c r="O1613" i="34"/>
  <c r="O1617" i="34"/>
  <c r="O1634" i="34"/>
  <c r="O1636" i="34"/>
  <c r="O1638" i="34"/>
  <c r="O1640" i="34"/>
  <c r="Q1709" i="34"/>
  <c r="P1711" i="34"/>
  <c r="P1713" i="34"/>
  <c r="P1742" i="34"/>
  <c r="O1766" i="34"/>
  <c r="O1768" i="34"/>
  <c r="O1770" i="34"/>
  <c r="O1772" i="34"/>
  <c r="O1795" i="34"/>
  <c r="O1799" i="34"/>
  <c r="Q1820" i="34"/>
  <c r="P1820" i="34"/>
  <c r="P1822" i="34"/>
  <c r="Q1824" i="34"/>
  <c r="P1824" i="34"/>
  <c r="P1826" i="34"/>
  <c r="O1854" i="34"/>
  <c r="O1856" i="34"/>
  <c r="O1858" i="34"/>
  <c r="O1860" i="34"/>
  <c r="O1862" i="34"/>
  <c r="O1864" i="34"/>
  <c r="Q2048" i="34"/>
  <c r="P2048" i="34"/>
  <c r="O2052" i="34"/>
  <c r="O2075" i="34"/>
  <c r="P2094" i="34"/>
  <c r="O1971" i="34"/>
  <c r="P2058" i="34"/>
  <c r="O2083" i="34"/>
  <c r="O2096" i="34"/>
  <c r="P1875" i="34"/>
  <c r="P1889" i="34"/>
  <c r="Q1979" i="34"/>
  <c r="Q1985" i="34"/>
  <c r="O1989" i="34"/>
  <c r="O1993" i="34"/>
  <c r="Q1997" i="34"/>
  <c r="Q1878" i="34"/>
  <c r="O1913" i="34"/>
  <c r="Q1903" i="34"/>
  <c r="Q1914" i="34"/>
  <c r="O1945" i="34"/>
  <c r="Q1949" i="34"/>
  <c r="O1953" i="34"/>
  <c r="Q1930" i="34"/>
  <c r="Q1885" i="34"/>
  <c r="O1957" i="34"/>
  <c r="Q1961" i="34"/>
  <c r="O1965" i="34"/>
  <c r="Q2009" i="34"/>
  <c r="O2013" i="34"/>
  <c r="Q2017" i="34"/>
  <c r="O2049" i="34"/>
  <c r="Q2053" i="34"/>
  <c r="Q2095" i="34"/>
  <c r="Q2022" i="34"/>
  <c r="Q2030" i="34"/>
  <c r="Q2059" i="34"/>
  <c r="O2097" i="34"/>
  <c r="O2102" i="34"/>
  <c r="Q1882" i="34"/>
  <c r="O1980" i="34"/>
  <c r="P1986" i="34"/>
  <c r="O2098" i="34"/>
  <c r="Q2098" i="34"/>
  <c r="Q1933" i="34"/>
  <c r="O1937" i="34"/>
  <c r="Q1941" i="34"/>
  <c r="Q1990" i="34"/>
  <c r="Q1998" i="34"/>
  <c r="Q2091" i="34"/>
  <c r="Q1883" i="34"/>
  <c r="Q1919" i="34"/>
  <c r="Q1950" i="34"/>
  <c r="Q1927" i="34"/>
  <c r="Q1922" i="34"/>
  <c r="Q1962" i="34"/>
  <c r="Q2010" i="34"/>
  <c r="O1220" i="34"/>
  <c r="O1248" i="34"/>
  <c r="O1252" i="34"/>
  <c r="Q1291" i="34"/>
  <c r="Q1295" i="34"/>
  <c r="Q1375" i="34"/>
  <c r="Q1379" i="34"/>
  <c r="Q1403" i="34"/>
  <c r="Q1407" i="34"/>
  <c r="Q1423" i="34"/>
  <c r="Q1435" i="34"/>
  <c r="Q1521" i="34"/>
  <c r="Q1523" i="34"/>
  <c r="Q1525" i="34"/>
  <c r="Q1527" i="34"/>
  <c r="Q1529" i="34"/>
  <c r="Q1635" i="34"/>
  <c r="Q1637" i="34"/>
  <c r="Q1639" i="34"/>
  <c r="Q1672" i="34"/>
  <c r="Q1710" i="34"/>
  <c r="Q1714" i="34"/>
  <c r="Q1765" i="34"/>
  <c r="Q1767" i="34"/>
  <c r="Q1769" i="34"/>
  <c r="Q1771" i="34"/>
  <c r="Q1773" i="34"/>
  <c r="O1821" i="34"/>
  <c r="O1825" i="34"/>
  <c r="Q1855" i="34"/>
  <c r="Q1857" i="34"/>
  <c r="Q1859" i="34"/>
  <c r="Q1861" i="34"/>
  <c r="Q1863" i="34"/>
  <c r="P2019" i="34"/>
  <c r="O2079" i="34"/>
  <c r="P1967" i="34"/>
  <c r="O1975" i="34"/>
  <c r="P2062" i="34"/>
  <c r="O2087" i="34"/>
  <c r="Q1875" i="34"/>
  <c r="O1881" i="34"/>
  <c r="Q1889" i="34"/>
  <c r="P1989" i="34"/>
  <c r="O2101" i="34"/>
  <c r="Q1932" i="34"/>
  <c r="P1932" i="34"/>
  <c r="O1936" i="34"/>
  <c r="Q1940" i="34"/>
  <c r="P1940" i="34"/>
  <c r="O1944" i="34"/>
  <c r="P1993" i="34"/>
  <c r="Q2036" i="34"/>
  <c r="P2036" i="34"/>
  <c r="P2074" i="34"/>
  <c r="O1878" i="34"/>
  <c r="P1895" i="34"/>
  <c r="P1913" i="34"/>
  <c r="P1899" i="34"/>
  <c r="O1903" i="34"/>
  <c r="P1907" i="34"/>
  <c r="O1914" i="34"/>
  <c r="P1918" i="34"/>
  <c r="P1945" i="34"/>
  <c r="P1953" i="34"/>
  <c r="P1926" i="34"/>
  <c r="O1930" i="34"/>
  <c r="P1957" i="34"/>
  <c r="P1965" i="34"/>
  <c r="P2013" i="34"/>
  <c r="O2020" i="34"/>
  <c r="P2049" i="34"/>
  <c r="Q2076" i="34"/>
  <c r="P2076" i="34"/>
  <c r="O2080" i="34"/>
  <c r="O2095" i="34"/>
  <c r="O1968" i="34"/>
  <c r="Q1972" i="34"/>
  <c r="P1972" i="34"/>
  <c r="O1976" i="34"/>
  <c r="O2022" i="34"/>
  <c r="P2026" i="34"/>
  <c r="O2030" i="34"/>
  <c r="P2034" i="34"/>
  <c r="O2059" i="34"/>
  <c r="P2063" i="34"/>
  <c r="Q2084" i="34"/>
  <c r="P2084" i="34"/>
  <c r="O2088" i="34"/>
  <c r="P2097" i="34"/>
  <c r="P2102" i="34"/>
  <c r="O1882" i="34"/>
  <c r="P1890" i="34"/>
  <c r="Q1980" i="34"/>
  <c r="Q1986" i="34"/>
  <c r="Q2105" i="34"/>
  <c r="P2105" i="34"/>
  <c r="P1937" i="34"/>
  <c r="O1990" i="34"/>
  <c r="P1994" i="34"/>
  <c r="O1998" i="34"/>
  <c r="O2044" i="34"/>
  <c r="O2091" i="34"/>
  <c r="P1879" i="34"/>
  <c r="O1883" i="34"/>
  <c r="O1896" i="34"/>
  <c r="Q1900" i="34"/>
  <c r="P1900" i="34"/>
  <c r="O1904" i="34"/>
  <c r="Q1908" i="34"/>
  <c r="P1908" i="34"/>
  <c r="P1915" i="34"/>
  <c r="O1919" i="34"/>
  <c r="P1946" i="34"/>
  <c r="O1950" i="34"/>
  <c r="P1954" i="34"/>
  <c r="O1927" i="34"/>
  <c r="P1931" i="34"/>
  <c r="O1922" i="34"/>
  <c r="P1958" i="34"/>
  <c r="O1962" i="34"/>
  <c r="P1966" i="34"/>
  <c r="O2010" i="34"/>
  <c r="P2014" i="34"/>
  <c r="P1220" i="34"/>
  <c r="P1246" i="34"/>
  <c r="P1248" i="34"/>
  <c r="P1250" i="34"/>
  <c r="P1252" i="34"/>
  <c r="O1289" i="34"/>
  <c r="O1291" i="34"/>
  <c r="O1293" i="34"/>
  <c r="O1295" i="34"/>
  <c r="P1335" i="34"/>
  <c r="Q1337" i="34"/>
  <c r="P1337" i="34"/>
  <c r="P1339" i="34"/>
  <c r="Q1341" i="34"/>
  <c r="P1341" i="34"/>
  <c r="P1343" i="34"/>
  <c r="Q1345" i="34"/>
  <c r="P1345" i="34"/>
  <c r="P1347" i="34"/>
  <c r="Q1349" i="34"/>
  <c r="P1349" i="34"/>
  <c r="O1373" i="34"/>
  <c r="O1375" i="34"/>
  <c r="O1377" i="34"/>
  <c r="O1379" i="34"/>
  <c r="O1401" i="34"/>
  <c r="O1403" i="34"/>
  <c r="O1405" i="34"/>
  <c r="O1407" i="34"/>
  <c r="O1421" i="34"/>
  <c r="O1423" i="34"/>
  <c r="O1425" i="34"/>
  <c r="O1435" i="34"/>
  <c r="P1440" i="34"/>
  <c r="O1521" i="34"/>
  <c r="O2048" i="34"/>
  <c r="Q2052" i="34"/>
  <c r="P2052" i="34"/>
  <c r="P2075" i="34"/>
  <c r="O2094" i="34"/>
  <c r="P1971" i="34"/>
  <c r="P2021" i="34"/>
  <c r="P2025" i="34"/>
  <c r="P2029" i="34"/>
  <c r="P2033" i="34"/>
  <c r="O2058" i="34"/>
  <c r="P2083" i="34"/>
  <c r="Q2096" i="34"/>
  <c r="P2096" i="34"/>
  <c r="O1875" i="34"/>
  <c r="P1881" i="34"/>
  <c r="P1979" i="34"/>
  <c r="O1985" i="34"/>
  <c r="Q1989" i="34"/>
  <c r="Q1993" i="34"/>
  <c r="O1997" i="34"/>
  <c r="Q2074" i="34"/>
  <c r="Q1895" i="34"/>
  <c r="Q1913" i="34"/>
  <c r="Q1899" i="34"/>
  <c r="Q1907" i="34"/>
  <c r="Q1918" i="34"/>
  <c r="Q1945" i="34"/>
  <c r="O1949" i="34"/>
  <c r="Q1953" i="34"/>
  <c r="Q1926" i="34"/>
  <c r="O1885" i="34"/>
  <c r="Q1957" i="34"/>
  <c r="O1961" i="34"/>
  <c r="Q1965" i="34"/>
  <c r="O2009" i="34"/>
  <c r="Q2013" i="34"/>
  <c r="O2017" i="34"/>
  <c r="Q2049" i="34"/>
  <c r="O2053" i="34"/>
  <c r="Q2026" i="34"/>
  <c r="Q2034" i="34"/>
  <c r="Q2063" i="34"/>
  <c r="Q2097" i="34"/>
  <c r="Q2102" i="34"/>
  <c r="Q1890" i="34"/>
  <c r="O1986" i="34"/>
  <c r="P2098" i="34"/>
  <c r="O1933" i="34"/>
  <c r="Q1937" i="34"/>
  <c r="O1941" i="34"/>
  <c r="Q1994" i="34"/>
  <c r="Q1879" i="34"/>
  <c r="Q1915" i="34"/>
  <c r="Q1946" i="34"/>
  <c r="Q1954" i="34"/>
  <c r="Q1931" i="34"/>
  <c r="Q1958" i="34"/>
  <c r="Q1966" i="34"/>
  <c r="Q2014" i="34"/>
  <c r="Q1220" i="34"/>
  <c r="Q1246" i="34"/>
  <c r="Q1248" i="34"/>
  <c r="Q1250" i="34"/>
  <c r="Q1252" i="34"/>
  <c r="Q1335" i="34"/>
  <c r="Q1339" i="34"/>
  <c r="Q1343" i="34"/>
  <c r="Q1347" i="34"/>
  <c r="Q1440" i="34"/>
  <c r="O1523" i="34"/>
  <c r="O1527" i="34"/>
  <c r="Q1548" i="34"/>
  <c r="Q1552" i="34"/>
  <c r="Q1604" i="34"/>
  <c r="Q1608" i="34"/>
  <c r="Q1612" i="34"/>
  <c r="Q1616" i="34"/>
  <c r="O1635" i="34"/>
  <c r="O1639" i="34"/>
  <c r="O1765" i="34"/>
  <c r="O1769" i="34"/>
  <c r="O1773" i="34"/>
  <c r="Q1798" i="34"/>
  <c r="Q1802" i="34"/>
  <c r="Q1821" i="34"/>
  <c r="Q1823" i="34"/>
  <c r="Q1825" i="34"/>
  <c r="Q1827" i="34"/>
  <c r="O1857" i="34"/>
  <c r="O1861" i="34"/>
  <c r="O2019" i="34"/>
  <c r="P2079" i="34"/>
  <c r="O1967" i="34"/>
  <c r="P1975" i="34"/>
  <c r="O2062" i="34"/>
  <c r="P2087" i="34"/>
  <c r="Q1881" i="34"/>
  <c r="O1889" i="34"/>
  <c r="O1979" i="34"/>
  <c r="P1985" i="34"/>
  <c r="Q2101" i="34"/>
  <c r="P2101" i="34"/>
  <c r="O1932" i="34"/>
  <c r="Q1936" i="34"/>
  <c r="P1936" i="34"/>
  <c r="O1940" i="34"/>
  <c r="Q1944" i="34"/>
  <c r="P1944" i="34"/>
  <c r="P1997" i="34"/>
  <c r="O2036" i="34"/>
  <c r="O2074" i="34"/>
  <c r="P1878" i="34"/>
  <c r="O1895" i="34"/>
  <c r="O1899" i="34"/>
  <c r="P1903" i="34"/>
  <c r="O1907" i="34"/>
  <c r="P1914" i="34"/>
  <c r="O1918" i="34"/>
  <c r="P1949" i="34"/>
  <c r="O1926" i="34"/>
  <c r="P1930" i="34"/>
  <c r="P1885" i="34"/>
  <c r="P1961" i="34"/>
  <c r="P2009" i="34"/>
  <c r="P2017" i="34"/>
  <c r="Q2020" i="34"/>
  <c r="P2020" i="34"/>
  <c r="P2053" i="34"/>
  <c r="O2076" i="34"/>
  <c r="Q2080" i="34"/>
  <c r="P2080" i="34"/>
  <c r="P2095" i="34"/>
  <c r="Q1968" i="34"/>
  <c r="P1968" i="34"/>
  <c r="O1972" i="34"/>
  <c r="Q1976" i="34"/>
  <c r="P1976" i="34"/>
  <c r="P2022" i="34"/>
  <c r="O2026" i="34"/>
  <c r="P2030" i="34"/>
  <c r="O2034" i="34"/>
  <c r="P2059" i="34"/>
  <c r="O2063" i="34"/>
  <c r="O2084" i="34"/>
  <c r="Q2088" i="34"/>
  <c r="P2088" i="34"/>
  <c r="P1882" i="34"/>
  <c r="O1890" i="34"/>
  <c r="P1980" i="34"/>
  <c r="O2105" i="34"/>
  <c r="P1933" i="34"/>
  <c r="P1941" i="34"/>
  <c r="P1990" i="34"/>
  <c r="O1994" i="34"/>
  <c r="P1998" i="34"/>
  <c r="Q2044" i="34"/>
  <c r="P2044" i="34"/>
  <c r="P2091" i="34"/>
  <c r="O1879" i="34"/>
  <c r="P1883" i="34"/>
  <c r="Q1896" i="34"/>
  <c r="P1896" i="34"/>
  <c r="O1900" i="34"/>
  <c r="Q1904" i="34"/>
  <c r="P1904" i="34"/>
  <c r="O1908" i="34"/>
  <c r="O1915" i="34"/>
  <c r="P1919" i="34"/>
  <c r="O1946" i="34"/>
  <c r="P1950" i="34"/>
  <c r="O1954" i="34"/>
  <c r="P1927" i="34"/>
  <c r="O1931" i="34"/>
  <c r="P1922" i="34"/>
  <c r="O1958" i="34"/>
  <c r="P1962" i="34"/>
  <c r="O1966" i="34"/>
  <c r="P2010" i="34"/>
  <c r="O2014" i="34"/>
  <c r="O1246" i="34"/>
  <c r="O1250" i="34"/>
  <c r="Q1289" i="34"/>
  <c r="P1289" i="34"/>
  <c r="P1291" i="34"/>
  <c r="Q1293" i="34"/>
  <c r="P1293" i="34"/>
  <c r="P1295" i="34"/>
  <c r="O1335" i="34"/>
  <c r="O1337" i="34"/>
  <c r="O1339" i="34"/>
  <c r="O1341" i="34"/>
  <c r="O1343" i="34"/>
  <c r="O1345" i="34"/>
  <c r="O1347" i="34"/>
  <c r="O1349" i="34"/>
  <c r="Q1373" i="34"/>
  <c r="P1373" i="34"/>
  <c r="P1375" i="34"/>
  <c r="Q1377" i="34"/>
  <c r="P1377" i="34"/>
  <c r="P1379" i="34"/>
  <c r="Q1401" i="34"/>
  <c r="P1401" i="34"/>
  <c r="P1403" i="34"/>
  <c r="Q1405" i="34"/>
  <c r="P1405" i="34"/>
  <c r="P1407" i="34"/>
  <c r="Q1421" i="34"/>
  <c r="P1421" i="34"/>
  <c r="P1423" i="34"/>
  <c r="Q1425" i="34"/>
  <c r="P1425" i="34"/>
  <c r="P1435" i="34"/>
  <c r="O1440" i="34"/>
  <c r="P1521" i="34"/>
  <c r="P1523" i="34"/>
  <c r="P1525" i="34"/>
  <c r="P1527" i="34"/>
  <c r="P1529" i="34"/>
  <c r="O1548" i="34"/>
  <c r="O1550" i="34"/>
  <c r="O1552" i="34"/>
  <c r="O1554" i="34"/>
  <c r="O1604" i="34"/>
  <c r="O1606" i="34"/>
  <c r="O1608" i="34"/>
  <c r="O1610" i="34"/>
  <c r="O1612" i="34"/>
  <c r="O1614" i="34"/>
  <c r="O1616" i="34"/>
  <c r="O1618" i="34"/>
  <c r="P1635" i="34"/>
  <c r="P1637" i="34"/>
  <c r="P1639" i="34"/>
  <c r="P1672" i="34"/>
  <c r="O1708" i="34"/>
  <c r="P1708" i="34"/>
  <c r="P1710" i="34"/>
  <c r="Q1712" i="34"/>
  <c r="P1712" i="34"/>
  <c r="P1714" i="34"/>
  <c r="P1765" i="34"/>
  <c r="P1767" i="34"/>
  <c r="P1769" i="34"/>
  <c r="P1771" i="34"/>
  <c r="P1773" i="34"/>
  <c r="O1796" i="34"/>
  <c r="O1798" i="34"/>
  <c r="O1800" i="34"/>
  <c r="O1802" i="34"/>
  <c r="O1823" i="34"/>
  <c r="O1827" i="34"/>
  <c r="P1855" i="34"/>
  <c r="P1857" i="34"/>
  <c r="P1859" i="34"/>
  <c r="P1861" i="34"/>
  <c r="P1863" i="34"/>
  <c r="O1529" i="34"/>
  <c r="Q1550" i="34"/>
  <c r="P1554" i="34"/>
  <c r="P1608" i="34"/>
  <c r="Q1614" i="34"/>
  <c r="P1618" i="34"/>
  <c r="O1672" i="34"/>
  <c r="O1710" i="34"/>
  <c r="O1714" i="34"/>
  <c r="P1827" i="34"/>
  <c r="O2050" i="34"/>
  <c r="P2077" i="34"/>
  <c r="O2031" i="34"/>
  <c r="Q2060" i="34"/>
  <c r="P2060" i="34"/>
  <c r="P2085" i="34"/>
  <c r="O1891" i="34"/>
  <c r="P2099" i="34"/>
  <c r="O1942" i="34"/>
  <c r="P1999" i="34"/>
  <c r="O2092" i="34"/>
  <c r="O1884" i="34"/>
  <c r="P1916" i="34"/>
  <c r="O1947" i="34"/>
  <c r="Q1924" i="34"/>
  <c r="O1928" i="34"/>
  <c r="O1959" i="34"/>
  <c r="O2007" i="34"/>
  <c r="O2015" i="34"/>
  <c r="O1963" i="34"/>
  <c r="O1525" i="34"/>
  <c r="P1548" i="34"/>
  <c r="Q1554" i="34"/>
  <c r="P1606" i="34"/>
  <c r="P1612" i="34"/>
  <c r="Q1618" i="34"/>
  <c r="O1637" i="34"/>
  <c r="Q1708" i="34"/>
  <c r="O1712" i="34"/>
  <c r="Q1796" i="34"/>
  <c r="P1800" i="34"/>
  <c r="O1863" i="34"/>
  <c r="Q2046" i="34"/>
  <c r="Q2054" i="34"/>
  <c r="Q2077" i="34"/>
  <c r="O2081" i="34"/>
  <c r="O1969" i="34"/>
  <c r="Q1973" i="34"/>
  <c r="O1977" i="34"/>
  <c r="Q2027" i="34"/>
  <c r="Q2085" i="34"/>
  <c r="O2089" i="34"/>
  <c r="P2104" i="34"/>
  <c r="Q1887" i="34"/>
  <c r="P1987" i="34"/>
  <c r="O2099" i="34"/>
  <c r="Q1938" i="34"/>
  <c r="Q1991" i="34"/>
  <c r="Q1999" i="34"/>
  <c r="Q1893" i="34"/>
  <c r="Q1897" i="34"/>
  <c r="O1901" i="34"/>
  <c r="Q1905" i="34"/>
  <c r="O1909" i="34"/>
  <c r="Q1951" i="34"/>
  <c r="Q2005" i="34"/>
  <c r="Q1955" i="34"/>
  <c r="P1552" i="34"/>
  <c r="Q1606" i="34"/>
  <c r="P1610" i="34"/>
  <c r="P1616" i="34"/>
  <c r="O1771" i="34"/>
  <c r="Q1800" i="34"/>
  <c r="O1859" i="34"/>
  <c r="O2046" i="34"/>
  <c r="P2050" i="34"/>
  <c r="O2054" i="34"/>
  <c r="P2081" i="34"/>
  <c r="P1886" i="34"/>
  <c r="P1969" i="34"/>
  <c r="P1977" i="34"/>
  <c r="P2023" i="34"/>
  <c r="O2027" i="34"/>
  <c r="P2031" i="34"/>
  <c r="Q2056" i="34"/>
  <c r="P2056" i="34"/>
  <c r="O2060" i="34"/>
  <c r="Q2064" i="34"/>
  <c r="P2064" i="34"/>
  <c r="P2089" i="34"/>
  <c r="Q2104" i="34"/>
  <c r="P1891" i="34"/>
  <c r="P1981" i="34"/>
  <c r="Q1987" i="34"/>
  <c r="Q2099" i="34"/>
  <c r="P1934" i="34"/>
  <c r="O1938" i="34"/>
  <c r="P1942" i="34"/>
  <c r="O1991" i="34"/>
  <c r="P1995" i="34"/>
  <c r="O1999" i="34"/>
  <c r="O2072" i="34"/>
  <c r="Q2092" i="34"/>
  <c r="P2092" i="34"/>
  <c r="Q1884" i="34"/>
  <c r="P1884" i="34"/>
  <c r="P1901" i="34"/>
  <c r="P1909" i="34"/>
  <c r="O1916" i="34"/>
  <c r="Q1920" i="34"/>
  <c r="P1920" i="34"/>
  <c r="P1947" i="34"/>
  <c r="O1951" i="34"/>
  <c r="O1924" i="34"/>
  <c r="Q1928" i="34"/>
  <c r="P1928" i="34"/>
  <c r="O1955" i="34"/>
  <c r="P1959" i="34"/>
  <c r="P2007" i="34"/>
  <c r="O2011" i="34"/>
  <c r="P1550" i="34"/>
  <c r="P1604" i="34"/>
  <c r="Q1610" i="34"/>
  <c r="P1614" i="34"/>
  <c r="O1767" i="34"/>
  <c r="P1798" i="34"/>
  <c r="P1821" i="34"/>
  <c r="P1825" i="34"/>
  <c r="O1855" i="34"/>
  <c r="Q2050" i="34"/>
  <c r="O2077" i="34"/>
  <c r="Q2081" i="34"/>
  <c r="Q1886" i="34"/>
  <c r="Q1969" i="34"/>
  <c r="O1973" i="34"/>
  <c r="Q1977" i="34"/>
  <c r="Q2023" i="34"/>
  <c r="Q2031" i="34"/>
  <c r="O2085" i="34"/>
  <c r="Q2089" i="34"/>
  <c r="O2104" i="34"/>
  <c r="P1887" i="34"/>
  <c r="Q1891" i="34"/>
  <c r="O1981" i="34"/>
  <c r="O1987" i="34"/>
  <c r="Q1934" i="34"/>
  <c r="Q1942" i="34"/>
  <c r="Q1995" i="34"/>
  <c r="O1893" i="34"/>
  <c r="O1897" i="34"/>
  <c r="Q1901" i="34"/>
  <c r="O1905" i="34"/>
  <c r="Q1909" i="34"/>
  <c r="Q1947" i="34"/>
  <c r="O2005" i="34"/>
  <c r="Q1959" i="34"/>
  <c r="Q2007" i="34"/>
  <c r="Q2015" i="34"/>
  <c r="P1796" i="34"/>
  <c r="P1802" i="34"/>
  <c r="P1823" i="34"/>
  <c r="P2046" i="34"/>
  <c r="P2054" i="34"/>
  <c r="O1886" i="34"/>
  <c r="P1973" i="34"/>
  <c r="O2023" i="34"/>
  <c r="P2027" i="34"/>
  <c r="O2056" i="34"/>
  <c r="O2064" i="34"/>
  <c r="O1887" i="34"/>
  <c r="Q1981" i="34"/>
  <c r="O1934" i="34"/>
  <c r="P1938" i="34"/>
  <c r="P1991" i="34"/>
  <c r="O1995" i="34"/>
  <c r="Q2072" i="34"/>
  <c r="P2072" i="34"/>
  <c r="P1893" i="34"/>
  <c r="P1897" i="34"/>
  <c r="P1905" i="34"/>
  <c r="Q1916" i="34"/>
  <c r="O1920" i="34"/>
  <c r="P1951" i="34"/>
  <c r="P1924" i="34"/>
  <c r="P2005" i="34"/>
  <c r="P1955" i="34"/>
  <c r="P1963" i="34"/>
  <c r="P2011" i="34"/>
  <c r="Q1963" i="34"/>
  <c r="Q2011" i="34"/>
  <c r="P2015" i="34"/>
  <c r="P1877" i="34"/>
  <c r="O1849" i="34"/>
  <c r="Q1853" i="34"/>
  <c r="Q1149" i="34"/>
  <c r="Q1761" i="34"/>
  <c r="Q1787" i="34"/>
  <c r="Q1843" i="34"/>
  <c r="Q1600" i="34"/>
  <c r="Q1627" i="34"/>
  <c r="O1631" i="34"/>
  <c r="Q1699" i="34"/>
  <c r="O1703" i="34"/>
  <c r="Q1741" i="34"/>
  <c r="O1474" i="34"/>
  <c r="Q1515" i="34"/>
  <c r="O1519" i="34"/>
  <c r="Q1545" i="34"/>
  <c r="Q1334" i="34"/>
  <c r="Q1368" i="34"/>
  <c r="Q1396" i="34"/>
  <c r="Q1419" i="34"/>
  <c r="Q1282" i="34"/>
  <c r="O1286" i="34"/>
  <c r="Q1324" i="34"/>
  <c r="Q1786" i="34"/>
  <c r="Q1213" i="34"/>
  <c r="Q1725" i="34"/>
  <c r="O1721" i="34"/>
  <c r="Q1684" i="34"/>
  <c r="Q1663" i="34"/>
  <c r="O1659" i="34"/>
  <c r="Q1655" i="34"/>
  <c r="Q1564" i="34"/>
  <c r="O1482" i="34"/>
  <c r="Q1468" i="34"/>
  <c r="O1458" i="34"/>
  <c r="Q1454" i="34"/>
  <c r="Q1415" i="34"/>
  <c r="Q1360" i="34"/>
  <c r="O1260" i="34"/>
  <c r="O1256" i="34"/>
  <c r="O1204" i="34"/>
  <c r="Q1200" i="34"/>
  <c r="O1196" i="34"/>
  <c r="Q1164" i="34"/>
  <c r="O1160" i="34"/>
  <c r="Q1156" i="34"/>
  <c r="O326" i="34"/>
  <c r="Q331" i="34"/>
  <c r="O336" i="34"/>
  <c r="Q340" i="34"/>
  <c r="O345" i="34"/>
  <c r="Q350" i="34"/>
  <c r="O356" i="34"/>
  <c r="Q361" i="34"/>
  <c r="O366" i="34"/>
  <c r="Q499" i="34"/>
  <c r="O503" i="34"/>
  <c r="Q507" i="34"/>
  <c r="O513" i="34"/>
  <c r="Q519" i="34"/>
  <c r="O523" i="34"/>
  <c r="Q527" i="34"/>
  <c r="O533" i="34"/>
  <c r="Q538" i="34"/>
  <c r="O543" i="34"/>
  <c r="Q549" i="34"/>
  <c r="O637" i="34"/>
  <c r="Q1010" i="34"/>
  <c r="O1014" i="34"/>
  <c r="Q1019" i="34"/>
  <c r="O1024" i="34"/>
  <c r="Q1029" i="34"/>
  <c r="O1033" i="34"/>
  <c r="Q1038" i="34"/>
  <c r="O1043" i="34"/>
  <c r="Q1047" i="34"/>
  <c r="O1052" i="34"/>
  <c r="Q1056" i="34"/>
  <c r="O1060" i="34"/>
  <c r="Q1065" i="34"/>
  <c r="O1070" i="34"/>
  <c r="Q1074" i="34"/>
  <c r="Q1078" i="34"/>
  <c r="Q1850" i="34"/>
  <c r="Q1214" i="34"/>
  <c r="Q1758" i="34"/>
  <c r="O1813" i="34"/>
  <c r="Q1817" i="34"/>
  <c r="Q1601" i="34"/>
  <c r="Q1632" i="34"/>
  <c r="Q1704" i="34"/>
  <c r="Q1512" i="34"/>
  <c r="Q1520" i="34"/>
  <c r="Q1591" i="34"/>
  <c r="O1595" i="34"/>
  <c r="Q1420" i="34"/>
  <c r="Q1240" i="34"/>
  <c r="O1244" i="34"/>
  <c r="Q1287" i="34"/>
  <c r="Q1206" i="34"/>
  <c r="Q1238" i="34"/>
  <c r="Q1785" i="34"/>
  <c r="Q1739" i="34"/>
  <c r="O1687" i="34"/>
  <c r="Q1683" i="34"/>
  <c r="Q1645" i="34"/>
  <c r="Q1563" i="34"/>
  <c r="O1559" i="34"/>
  <c r="Q1489" i="34"/>
  <c r="Q1463" i="34"/>
  <c r="Q1363" i="34"/>
  <c r="Q1276" i="34"/>
  <c r="Q1233" i="34"/>
  <c r="Q1178" i="34"/>
  <c r="Q333" i="34"/>
  <c r="Q342" i="34"/>
  <c r="Q352" i="34"/>
  <c r="Q362" i="34"/>
  <c r="Q500" i="34"/>
  <c r="Q509" i="34"/>
  <c r="Q520" i="34"/>
  <c r="Q529" i="34"/>
  <c r="Q539" i="34"/>
  <c r="Q626" i="34"/>
  <c r="Q1011" i="34"/>
  <c r="Q1020" i="34"/>
  <c r="Q1030" i="34"/>
  <c r="Q1040" i="34"/>
  <c r="Q1048" i="34"/>
  <c r="Q1057" i="34"/>
  <c r="Q1066" i="34"/>
  <c r="Q1075" i="34"/>
  <c r="O1083" i="34"/>
  <c r="Q1088" i="34"/>
  <c r="O1092" i="34"/>
  <c r="Q1877" i="34"/>
  <c r="P1849" i="34"/>
  <c r="O1149" i="34"/>
  <c r="P1217" i="34"/>
  <c r="O1787" i="34"/>
  <c r="P1791" i="34"/>
  <c r="Q1812" i="34"/>
  <c r="P1812" i="34"/>
  <c r="O1816" i="34"/>
  <c r="O1843" i="34"/>
  <c r="P1596" i="34"/>
  <c r="O1600" i="34"/>
  <c r="P1631" i="34"/>
  <c r="P1703" i="34"/>
  <c r="P1474" i="34"/>
  <c r="P1519" i="34"/>
  <c r="P1541" i="34"/>
  <c r="O1545" i="34"/>
  <c r="O1590" i="34"/>
  <c r="Q1594" i="34"/>
  <c r="P1594" i="34"/>
  <c r="O1368" i="34"/>
  <c r="P1372" i="34"/>
  <c r="O1396" i="34"/>
  <c r="P1400" i="34"/>
  <c r="O1419" i="34"/>
  <c r="O1433" i="34"/>
  <c r="Q1243" i="34"/>
  <c r="P1243" i="34"/>
  <c r="P1286" i="34"/>
  <c r="P1320" i="34"/>
  <c r="O1324" i="34"/>
  <c r="P1328" i="34"/>
  <c r="O1786" i="34"/>
  <c r="P1209" i="34"/>
  <c r="O1213" i="34"/>
  <c r="O1740" i="34"/>
  <c r="Q1736" i="34"/>
  <c r="P1736" i="34"/>
  <c r="P1721" i="34"/>
  <c r="P1688" i="34"/>
  <c r="O1684" i="34"/>
  <c r="P1659" i="34"/>
  <c r="Q1650" i="34"/>
  <c r="P1650" i="34"/>
  <c r="O1646" i="34"/>
  <c r="O1564" i="34"/>
  <c r="P1560" i="34"/>
  <c r="Q1494" i="34"/>
  <c r="P1494" i="34"/>
  <c r="O1490" i="34"/>
  <c r="Q1486" i="34"/>
  <c r="P1486" i="34"/>
  <c r="O1468" i="34"/>
  <c r="P1464" i="34"/>
  <c r="P1458" i="34"/>
  <c r="O1415" i="34"/>
  <c r="P1364" i="34"/>
  <c r="O1360" i="34"/>
  <c r="O1277" i="34"/>
  <c r="Q1273" i="34"/>
  <c r="P1273" i="34"/>
  <c r="P1256" i="34"/>
  <c r="P1234" i="34"/>
  <c r="P1204" i="34"/>
  <c r="P1196" i="34"/>
  <c r="O1179" i="34"/>
  <c r="Q1175" i="34"/>
  <c r="P1175" i="34"/>
  <c r="P1160" i="34"/>
  <c r="P326" i="34"/>
  <c r="P336" i="34"/>
  <c r="P345" i="34"/>
  <c r="P356" i="34"/>
  <c r="P366" i="34"/>
  <c r="P503" i="34"/>
  <c r="P513" i="34"/>
  <c r="P523" i="34"/>
  <c r="P533" i="34"/>
  <c r="P543" i="34"/>
  <c r="P637" i="34"/>
  <c r="P1014" i="34"/>
  <c r="P1024" i="34"/>
  <c r="P1033" i="34"/>
  <c r="P1043" i="34"/>
  <c r="P1052" i="34"/>
  <c r="P1060" i="34"/>
  <c r="P1070" i="34"/>
  <c r="P1078" i="34"/>
  <c r="O1082" i="34"/>
  <c r="Q1087" i="34"/>
  <c r="P1087" i="34"/>
  <c r="O1091" i="34"/>
  <c r="Q1143" i="34"/>
  <c r="P1143" i="34"/>
  <c r="Q1876" i="34"/>
  <c r="P1876" i="34"/>
  <c r="O1850" i="34"/>
  <c r="O1147" i="34"/>
  <c r="O1214" i="34"/>
  <c r="P1218" i="34"/>
  <c r="O1758" i="34"/>
  <c r="P1762" i="34"/>
  <c r="Q1788" i="34"/>
  <c r="P1788" i="34"/>
  <c r="O1792" i="34"/>
  <c r="P1813" i="34"/>
  <c r="Q1844" i="34"/>
  <c r="P1844" i="34"/>
  <c r="P1597" i="34"/>
  <c r="O1601" i="34"/>
  <c r="P1628" i="34"/>
  <c r="O1632" i="34"/>
  <c r="P1700" i="34"/>
  <c r="O1704" i="34"/>
  <c r="O1756" i="34"/>
  <c r="O1512" i="34"/>
  <c r="P1516" i="34"/>
  <c r="O1520" i="34"/>
  <c r="O1542" i="34"/>
  <c r="Q1546" i="34"/>
  <c r="P1546" i="34"/>
  <c r="P1595" i="34"/>
  <c r="O1365" i="34"/>
  <c r="Q1369" i="34"/>
  <c r="P1369" i="34"/>
  <c r="O1393" i="34"/>
  <c r="Q1397" i="34"/>
  <c r="P1397" i="34"/>
  <c r="P1416" i="34"/>
  <c r="O1420" i="34"/>
  <c r="P1244" i="34"/>
  <c r="P1283" i="34"/>
  <c r="O1287" i="34"/>
  <c r="O1321" i="34"/>
  <c r="Q1325" i="34"/>
  <c r="P1325" i="34"/>
  <c r="O1329" i="34"/>
  <c r="O1206" i="34"/>
  <c r="P1210" i="34"/>
  <c r="O1238" i="34"/>
  <c r="O1739" i="34"/>
  <c r="P1735" i="34"/>
  <c r="Q1724" i="34"/>
  <c r="P1724" i="34"/>
  <c r="O1720" i="34"/>
  <c r="P1687" i="34"/>
  <c r="Q1662" i="34"/>
  <c r="P1662" i="34"/>
  <c r="O1658" i="34"/>
  <c r="Q1654" i="34"/>
  <c r="P1654" i="34"/>
  <c r="P1649" i="34"/>
  <c r="O1645" i="34"/>
  <c r="P1559" i="34"/>
  <c r="P1493" i="34"/>
  <c r="O1489" i="34"/>
  <c r="P1485" i="34"/>
  <c r="Q1481" i="34"/>
  <c r="P1481" i="34"/>
  <c r="P1467" i="34"/>
  <c r="O1463" i="34"/>
  <c r="O1457" i="34"/>
  <c r="Q1453" i="34"/>
  <c r="P1453" i="34"/>
  <c r="P1392" i="34"/>
  <c r="O1363" i="34"/>
  <c r="P1280" i="34"/>
  <c r="O1276" i="34"/>
  <c r="P1263" i="34"/>
  <c r="Q1259" i="34"/>
  <c r="P1259" i="34"/>
  <c r="P1237" i="34"/>
  <c r="O1233" i="34"/>
  <c r="O1203" i="34"/>
  <c r="Q1849" i="34"/>
  <c r="O1853" i="34"/>
  <c r="Q1217" i="34"/>
  <c r="O1761" i="34"/>
  <c r="Q1791" i="34"/>
  <c r="Q1596" i="34"/>
  <c r="O1627" i="34"/>
  <c r="Q1631" i="34"/>
  <c r="O1699" i="34"/>
  <c r="Q1703" i="34"/>
  <c r="O1741" i="34"/>
  <c r="Q1474" i="34"/>
  <c r="O1515" i="34"/>
  <c r="Q1519" i="34"/>
  <c r="Q1541" i="34"/>
  <c r="O1334" i="34"/>
  <c r="Q1372" i="34"/>
  <c r="Q1400" i="34"/>
  <c r="O1282" i="34"/>
  <c r="Q1286" i="34"/>
  <c r="Q1320" i="34"/>
  <c r="Q1328" i="34"/>
  <c r="Q1209" i="34"/>
  <c r="O1725" i="34"/>
  <c r="Q1721" i="34"/>
  <c r="Q1688" i="34"/>
  <c r="O1663" i="34"/>
  <c r="Q1659" i="34"/>
  <c r="O1655" i="34"/>
  <c r="Q1560" i="34"/>
  <c r="Q1482" i="34"/>
  <c r="Q1464" i="34"/>
  <c r="Q1458" i="34"/>
  <c r="O1454" i="34"/>
  <c r="Q1364" i="34"/>
  <c r="Q1260" i="34"/>
  <c r="Q1256" i="34"/>
  <c r="Q1234" i="34"/>
  <c r="Q1204" i="34"/>
  <c r="O1200" i="34"/>
  <c r="Q1196" i="34"/>
  <c r="O1164" i="34"/>
  <c r="Q1160" i="34"/>
  <c r="O1156" i="34"/>
  <c r="Q326" i="34"/>
  <c r="O331" i="34"/>
  <c r="Q336" i="34"/>
  <c r="O340" i="34"/>
  <c r="Q345" i="34"/>
  <c r="O350" i="34"/>
  <c r="Q356" i="34"/>
  <c r="O361" i="34"/>
  <c r="Q366" i="34"/>
  <c r="O499" i="34"/>
  <c r="Q503" i="34"/>
  <c r="O507" i="34"/>
  <c r="Q513" i="34"/>
  <c r="O519" i="34"/>
  <c r="Q523" i="34"/>
  <c r="O527" i="34"/>
  <c r="Q533" i="34"/>
  <c r="O538" i="34"/>
  <c r="Q543" i="34"/>
  <c r="O549" i="34"/>
  <c r="Q637" i="34"/>
  <c r="O1010" i="34"/>
  <c r="Q1014" i="34"/>
  <c r="O1019" i="34"/>
  <c r="Q1024" i="34"/>
  <c r="O1029" i="34"/>
  <c r="Q1033" i="34"/>
  <c r="O1038" i="34"/>
  <c r="Q1043" i="34"/>
  <c r="O1047" i="34"/>
  <c r="Q1052" i="34"/>
  <c r="O1056" i="34"/>
  <c r="Q1060" i="34"/>
  <c r="O1065" i="34"/>
  <c r="Q1070" i="34"/>
  <c r="O1074" i="34"/>
  <c r="O1078" i="34"/>
  <c r="Q1218" i="34"/>
  <c r="Q1762" i="34"/>
  <c r="Q1813" i="34"/>
  <c r="O1817" i="34"/>
  <c r="Q1597" i="34"/>
  <c r="Q1628" i="34"/>
  <c r="Q1700" i="34"/>
  <c r="Q1516" i="34"/>
  <c r="O1591" i="34"/>
  <c r="Q1595" i="34"/>
  <c r="Q1416" i="34"/>
  <c r="O1240" i="34"/>
  <c r="Q1244" i="34"/>
  <c r="Q1283" i="34"/>
  <c r="Q1210" i="34"/>
  <c r="O1785" i="34"/>
  <c r="Q1735" i="34"/>
  <c r="Q1687" i="34"/>
  <c r="O1683" i="34"/>
  <c r="Q1649" i="34"/>
  <c r="O1563" i="34"/>
  <c r="Q1559" i="34"/>
  <c r="Q1493" i="34"/>
  <c r="O1485" i="34"/>
  <c r="Q1467" i="34"/>
  <c r="Q1392" i="34"/>
  <c r="Q1280" i="34"/>
  <c r="Q1263" i="34"/>
  <c r="Q1237" i="34"/>
  <c r="Q1182" i="34"/>
  <c r="Q328" i="34"/>
  <c r="Q337" i="34"/>
  <c r="Q346" i="34"/>
  <c r="Q357" i="34"/>
  <c r="Q495" i="34"/>
  <c r="Q504" i="34"/>
  <c r="Q515" i="34"/>
  <c r="Q524" i="34"/>
  <c r="Q534" i="34"/>
  <c r="Q544" i="34"/>
  <c r="Q638" i="34"/>
  <c r="Q1016" i="34"/>
  <c r="Q1025" i="34"/>
  <c r="Q1034" i="34"/>
  <c r="Q1044" i="34"/>
  <c r="Q1053" i="34"/>
  <c r="Q1061" i="34"/>
  <c r="Q1071" i="34"/>
  <c r="P1079" i="34"/>
  <c r="Q1083" i="34"/>
  <c r="O1088" i="34"/>
  <c r="Q1092" i="34"/>
  <c r="O1877" i="34"/>
  <c r="P1853" i="34"/>
  <c r="P1149" i="34"/>
  <c r="O1217" i="34"/>
  <c r="P1761" i="34"/>
  <c r="P1787" i="34"/>
  <c r="O1791" i="34"/>
  <c r="O1812" i="34"/>
  <c r="Q1816" i="34"/>
  <c r="P1816" i="34"/>
  <c r="P1843" i="34"/>
  <c r="O1596" i="34"/>
  <c r="P1600" i="34"/>
  <c r="P1627" i="34"/>
  <c r="P1699" i="34"/>
  <c r="P1741" i="34"/>
  <c r="P1515" i="34"/>
  <c r="O1541" i="34"/>
  <c r="P1545" i="34"/>
  <c r="Q1590" i="34"/>
  <c r="P1590" i="34"/>
  <c r="O1594" i="34"/>
  <c r="P1334" i="34"/>
  <c r="P1368" i="34"/>
  <c r="O1372" i="34"/>
  <c r="P1396" i="34"/>
  <c r="O1400" i="34"/>
  <c r="P1419" i="34"/>
  <c r="Q1433" i="34"/>
  <c r="P1433" i="34"/>
  <c r="O1243" i="34"/>
  <c r="P1282" i="34"/>
  <c r="O1320" i="34"/>
  <c r="P1324" i="34"/>
  <c r="O1328" i="34"/>
  <c r="P1786" i="34"/>
  <c r="O1209" i="34"/>
  <c r="P1213" i="34"/>
  <c r="Q1740" i="34"/>
  <c r="P1740" i="34"/>
  <c r="O1736" i="34"/>
  <c r="P1725" i="34"/>
  <c r="O1688" i="34"/>
  <c r="P1684" i="34"/>
  <c r="P1663" i="34"/>
  <c r="P1655" i="34"/>
  <c r="O1650" i="34"/>
  <c r="Q1646" i="34"/>
  <c r="P1646" i="34"/>
  <c r="P1564" i="34"/>
  <c r="O1560" i="34"/>
  <c r="O1494" i="34"/>
  <c r="Q1490" i="34"/>
  <c r="P1490" i="34"/>
  <c r="O1486" i="34"/>
  <c r="P1482" i="34"/>
  <c r="P1468" i="34"/>
  <c r="O1464" i="34"/>
  <c r="P1454" i="34"/>
  <c r="P1415" i="34"/>
  <c r="O1364" i="34"/>
  <c r="P1360" i="34"/>
  <c r="Q1277" i="34"/>
  <c r="P1277" i="34"/>
  <c r="O1273" i="34"/>
  <c r="P1260" i="34"/>
  <c r="O1234" i="34"/>
  <c r="P1200" i="34"/>
  <c r="Q1179" i="34"/>
  <c r="P1179" i="34"/>
  <c r="O1175" i="34"/>
  <c r="P1164" i="34"/>
  <c r="P1156" i="34"/>
  <c r="P331" i="34"/>
  <c r="P340" i="34"/>
  <c r="P350" i="34"/>
  <c r="P361" i="34"/>
  <c r="P499" i="34"/>
  <c r="P507" i="34"/>
  <c r="P519" i="34"/>
  <c r="P527" i="34"/>
  <c r="P538" i="34"/>
  <c r="P549" i="34"/>
  <c r="P1010" i="34"/>
  <c r="P1019" i="34"/>
  <c r="P1029" i="34"/>
  <c r="P1038" i="34"/>
  <c r="P1047" i="34"/>
  <c r="P1056" i="34"/>
  <c r="P1065" i="34"/>
  <c r="P1074" i="34"/>
  <c r="Q1082" i="34"/>
  <c r="P1082" i="34"/>
  <c r="O1087" i="34"/>
  <c r="Q1091" i="34"/>
  <c r="P1091" i="34"/>
  <c r="O1143" i="34"/>
  <c r="O1876" i="34"/>
  <c r="P1850" i="34"/>
  <c r="Q1147" i="34"/>
  <c r="P1147" i="34"/>
  <c r="P1214" i="34"/>
  <c r="O1218" i="34"/>
  <c r="P1758" i="34"/>
  <c r="O1762" i="34"/>
  <c r="O1788" i="34"/>
  <c r="Q1792" i="34"/>
  <c r="P1792" i="34"/>
  <c r="P1817" i="34"/>
  <c r="O1844" i="34"/>
  <c r="O1597" i="34"/>
  <c r="P1601" i="34"/>
  <c r="O1628" i="34"/>
  <c r="P1632" i="34"/>
  <c r="O1700" i="34"/>
  <c r="P1704" i="34"/>
  <c r="Q1756" i="34"/>
  <c r="P1756" i="34"/>
  <c r="P1512" i="34"/>
  <c r="O1516" i="34"/>
  <c r="P1520" i="34"/>
  <c r="Q1542" i="34"/>
  <c r="P1542" i="34"/>
  <c r="O1546" i="34"/>
  <c r="P1591" i="34"/>
  <c r="Q1365" i="34"/>
  <c r="P1365" i="34"/>
  <c r="O1369" i="34"/>
  <c r="Q1393" i="34"/>
  <c r="P1393" i="34"/>
  <c r="O1397" i="34"/>
  <c r="O1416" i="34"/>
  <c r="P1420" i="34"/>
  <c r="P1240" i="34"/>
  <c r="O1283" i="34"/>
  <c r="P1287" i="34"/>
  <c r="Q1321" i="34"/>
  <c r="P1321" i="34"/>
  <c r="O1325" i="34"/>
  <c r="Q1329" i="34"/>
  <c r="P1329" i="34"/>
  <c r="P1206" i="34"/>
  <c r="O1210" i="34"/>
  <c r="P1238" i="34"/>
  <c r="P1785" i="34"/>
  <c r="P1739" i="34"/>
  <c r="O1735" i="34"/>
  <c r="O1724" i="34"/>
  <c r="Q1720" i="34"/>
  <c r="P1720" i="34"/>
  <c r="P1683" i="34"/>
  <c r="O1662" i="34"/>
  <c r="Q1658" i="34"/>
  <c r="P1658" i="34"/>
  <c r="O1654" i="34"/>
  <c r="O1649" i="34"/>
  <c r="P1645" i="34"/>
  <c r="P1563" i="34"/>
  <c r="O1493" i="34"/>
  <c r="P1489" i="34"/>
  <c r="Q1485" i="34"/>
  <c r="O1481" i="34"/>
  <c r="O1467" i="34"/>
  <c r="P1463" i="34"/>
  <c r="Q1457" i="34"/>
  <c r="P1457" i="34"/>
  <c r="O1453" i="34"/>
  <c r="O1392" i="34"/>
  <c r="P1363" i="34"/>
  <c r="O1280" i="34"/>
  <c r="P1276" i="34"/>
  <c r="O1263" i="34"/>
  <c r="O1259" i="34"/>
  <c r="O1237" i="34"/>
  <c r="P1233" i="34"/>
  <c r="Q1203" i="34"/>
  <c r="P1203" i="34"/>
  <c r="O1199" i="34"/>
  <c r="O1182" i="34"/>
  <c r="O1167" i="34"/>
  <c r="Q1163" i="34"/>
  <c r="P1163" i="34"/>
  <c r="O1159" i="34"/>
  <c r="Q1155" i="34"/>
  <c r="P1155" i="34"/>
  <c r="P328" i="34"/>
  <c r="O337" i="34"/>
  <c r="P346" i="34"/>
  <c r="O357" i="34"/>
  <c r="P495" i="34"/>
  <c r="O504" i="34"/>
  <c r="P515" i="34"/>
  <c r="O524" i="34"/>
  <c r="P534" i="34"/>
  <c r="O544" i="34"/>
  <c r="P638" i="34"/>
  <c r="O1016" i="34"/>
  <c r="P1025" i="34"/>
  <c r="O1034" i="34"/>
  <c r="P1044" i="34"/>
  <c r="O1053" i="34"/>
  <c r="P1061" i="34"/>
  <c r="O1071" i="34"/>
  <c r="Q1079" i="34"/>
  <c r="O1847" i="34"/>
  <c r="P1851" i="34"/>
  <c r="P1318" i="34"/>
  <c r="O1215" i="34"/>
  <c r="Q1219" i="34"/>
  <c r="P1219" i="34"/>
  <c r="P1759" i="34"/>
  <c r="O1763" i="34"/>
  <c r="P1793" i="34"/>
  <c r="P1814" i="34"/>
  <c r="O1818" i="34"/>
  <c r="Q1598" i="34"/>
  <c r="P1598" i="34"/>
  <c r="O1602" i="34"/>
  <c r="O1629" i="34"/>
  <c r="P1633" i="34"/>
  <c r="O1701" i="34"/>
  <c r="P1705" i="34"/>
  <c r="P1757" i="34"/>
  <c r="P1513" i="34"/>
  <c r="O1517" i="34"/>
  <c r="P1543" i="34"/>
  <c r="O1570" i="34"/>
  <c r="O1592" i="34"/>
  <c r="P1332" i="34"/>
  <c r="P1366" i="34"/>
  <c r="P1394" i="34"/>
  <c r="Q1417" i="34"/>
  <c r="P1417" i="34"/>
  <c r="P1431" i="34"/>
  <c r="O1241" i="34"/>
  <c r="P1245" i="34"/>
  <c r="O1284" i="34"/>
  <c r="P1288" i="34"/>
  <c r="P1322" i="34"/>
  <c r="P1330" i="34"/>
  <c r="O1207" i="34"/>
  <c r="Q1211" i="34"/>
  <c r="P1211" i="34"/>
  <c r="O1239" i="34"/>
  <c r="Q1784" i="34"/>
  <c r="P1784" i="34"/>
  <c r="P1738" i="34"/>
  <c r="O1734" i="34"/>
  <c r="P1723" i="34"/>
  <c r="O1719" i="34"/>
  <c r="O1686" i="34"/>
  <c r="Q1682" i="34"/>
  <c r="P1682" i="34"/>
  <c r="P1661" i="34"/>
  <c r="O1657" i="34"/>
  <c r="P1652" i="34"/>
  <c r="O1648" i="34"/>
  <c r="P1644" i="34"/>
  <c r="Q1562" i="34"/>
  <c r="P1562" i="34"/>
  <c r="P1496" i="34"/>
  <c r="O1492" i="34"/>
  <c r="P1488" i="34"/>
  <c r="Q1484" i="34"/>
  <c r="P1484" i="34"/>
  <c r="P1466" i="34"/>
  <c r="P1460" i="34"/>
  <c r="O1456" i="34"/>
  <c r="P1452" i="34"/>
  <c r="O1391" i="34"/>
  <c r="O1279" i="34"/>
  <c r="P1275" i="34"/>
  <c r="P1262" i="34"/>
  <c r="P1236" i="34"/>
  <c r="O1202" i="34"/>
  <c r="P1198" i="34"/>
  <c r="O1181" i="34"/>
  <c r="P1177" i="34"/>
  <c r="O1166" i="34"/>
  <c r="P1162" i="34"/>
  <c r="O1158" i="34"/>
  <c r="P1154" i="34"/>
  <c r="O324" i="34"/>
  <c r="P329" i="34"/>
  <c r="O334" i="34"/>
  <c r="P338" i="34"/>
  <c r="O343" i="34"/>
  <c r="P348" i="34"/>
  <c r="O353" i="34"/>
  <c r="P358" i="34"/>
  <c r="O363" i="34"/>
  <c r="P496" i="34"/>
  <c r="O501" i="34"/>
  <c r="P505" i="34"/>
  <c r="O510" i="34"/>
  <c r="P516" i="34"/>
  <c r="O521" i="34"/>
  <c r="P525" i="34"/>
  <c r="O530" i="34"/>
  <c r="P535" i="34"/>
  <c r="O540" i="34"/>
  <c r="P546" i="34"/>
  <c r="Q627" i="34"/>
  <c r="P627" i="34"/>
  <c r="P1007" i="34"/>
  <c r="O1012" i="34"/>
  <c r="P1017" i="34"/>
  <c r="O1021" i="34"/>
  <c r="P1026" i="34"/>
  <c r="O1031" i="34"/>
  <c r="P1036" i="34"/>
  <c r="O1041" i="34"/>
  <c r="P1045" i="34"/>
  <c r="O1049" i="34"/>
  <c r="P1054" i="34"/>
  <c r="O1058" i="34"/>
  <c r="P1062" i="34"/>
  <c r="O1067" i="34"/>
  <c r="P1072" i="34"/>
  <c r="O1076" i="34"/>
  <c r="P1080" i="34"/>
  <c r="O1084" i="34"/>
  <c r="P1089" i="34"/>
  <c r="O1093" i="34"/>
  <c r="O1892" i="34"/>
  <c r="P1848" i="34"/>
  <c r="P1148" i="34"/>
  <c r="Q1764" i="34"/>
  <c r="O1794" i="34"/>
  <c r="O1819" i="34"/>
  <c r="P1630" i="34"/>
  <c r="P1702" i="34"/>
  <c r="O1439" i="34"/>
  <c r="Q1518" i="34"/>
  <c r="P1540" i="34"/>
  <c r="P1589" i="34"/>
  <c r="O1367" i="34"/>
  <c r="O1395" i="34"/>
  <c r="P1418" i="34"/>
  <c r="O1242" i="34"/>
  <c r="P1285" i="34"/>
  <c r="O1323" i="34"/>
  <c r="O1331" i="34"/>
  <c r="P1153" i="34"/>
  <c r="P1722" i="34"/>
  <c r="P1685" i="34"/>
  <c r="P1660" i="34"/>
  <c r="P1647" i="34"/>
  <c r="O1561" i="34"/>
  <c r="P1483" i="34"/>
  <c r="Q1465" i="34"/>
  <c r="P1459" i="34"/>
  <c r="O1361" i="34"/>
  <c r="P1257" i="34"/>
  <c r="P1235" i="34"/>
  <c r="O1201" i="34"/>
  <c r="P1180" i="34"/>
  <c r="O1157" i="34"/>
  <c r="Q330" i="34"/>
  <c r="Q339" i="34"/>
  <c r="O344" i="34"/>
  <c r="P349" i="34"/>
  <c r="Q360" i="34"/>
  <c r="O364" i="34"/>
  <c r="P498" i="34"/>
  <c r="Q506" i="34"/>
  <c r="O512" i="34"/>
  <c r="P518" i="34"/>
  <c r="Q526" i="34"/>
  <c r="Q536" i="34"/>
  <c r="O541" i="34"/>
  <c r="P547" i="34"/>
  <c r="P1009" i="34"/>
  <c r="Q1018" i="34"/>
  <c r="O1022" i="34"/>
  <c r="P1027" i="34"/>
  <c r="Q1037" i="34"/>
  <c r="O1042" i="34"/>
  <c r="P1046" i="34"/>
  <c r="Q1055" i="34"/>
  <c r="Q1064" i="34"/>
  <c r="O1069" i="34"/>
  <c r="P1073" i="34"/>
  <c r="O1081" i="34"/>
  <c r="O1090" i="34"/>
  <c r="P1022" i="34"/>
  <c r="O1055" i="34"/>
  <c r="Q1069" i="34"/>
  <c r="Q1077" i="34"/>
  <c r="P1090" i="34"/>
  <c r="O1178" i="34"/>
  <c r="P333" i="34"/>
  <c r="O342" i="34"/>
  <c r="P352" i="34"/>
  <c r="O362" i="34"/>
  <c r="P500" i="34"/>
  <c r="O509" i="34"/>
  <c r="P520" i="34"/>
  <c r="O529" i="34"/>
  <c r="P539" i="34"/>
  <c r="O626" i="34"/>
  <c r="P1011" i="34"/>
  <c r="O1020" i="34"/>
  <c r="P1030" i="34"/>
  <c r="O1040" i="34"/>
  <c r="P1048" i="34"/>
  <c r="O1057" i="34"/>
  <c r="P1066" i="34"/>
  <c r="O1075" i="34"/>
  <c r="Q1851" i="34"/>
  <c r="Q1318" i="34"/>
  <c r="Q1759" i="34"/>
  <c r="O1789" i="34"/>
  <c r="Q1793" i="34"/>
  <c r="Q1814" i="34"/>
  <c r="O1845" i="34"/>
  <c r="Q1633" i="34"/>
  <c r="Q1705" i="34"/>
  <c r="Q1757" i="34"/>
  <c r="Q1513" i="34"/>
  <c r="O1539" i="34"/>
  <c r="Q1543" i="34"/>
  <c r="Q1332" i="34"/>
  <c r="Q1366" i="34"/>
  <c r="O1370" i="34"/>
  <c r="Q1394" i="34"/>
  <c r="O1398" i="34"/>
  <c r="Q1431" i="34"/>
  <c r="Q1245" i="34"/>
  <c r="Q1288" i="34"/>
  <c r="Q1322" i="34"/>
  <c r="O1326" i="34"/>
  <c r="Q1330" i="34"/>
  <c r="Q1738" i="34"/>
  <c r="Q1723" i="34"/>
  <c r="Q1661" i="34"/>
  <c r="Q1652" i="34"/>
  <c r="Q1644" i="34"/>
  <c r="Q1496" i="34"/>
  <c r="Q1488" i="34"/>
  <c r="O1470" i="34"/>
  <c r="Q1466" i="34"/>
  <c r="Q1460" i="34"/>
  <c r="Q1452" i="34"/>
  <c r="O1362" i="34"/>
  <c r="Q1275" i="34"/>
  <c r="Q1262" i="34"/>
  <c r="O1258" i="34"/>
  <c r="Q1236" i="34"/>
  <c r="O1232" i="34"/>
  <c r="Q1198" i="34"/>
  <c r="Q1177" i="34"/>
  <c r="Q1162" i="34"/>
  <c r="Q1154" i="34"/>
  <c r="Q329" i="34"/>
  <c r="Q338" i="34"/>
  <c r="Q348" i="34"/>
  <c r="Q358" i="34"/>
  <c r="Q496" i="34"/>
  <c r="Q505" i="34"/>
  <c r="Q516" i="34"/>
  <c r="Q525" i="34"/>
  <c r="Q535" i="34"/>
  <c r="Q546" i="34"/>
  <c r="Q1007" i="34"/>
  <c r="Q1017" i="34"/>
  <c r="Q1026" i="34"/>
  <c r="Q1036" i="34"/>
  <c r="Q1045" i="34"/>
  <c r="Q1054" i="34"/>
  <c r="Q1062" i="34"/>
  <c r="Q1072" i="34"/>
  <c r="Q1080" i="34"/>
  <c r="Q1089" i="34"/>
  <c r="Q1148" i="34"/>
  <c r="O1216" i="34"/>
  <c r="Q1790" i="34"/>
  <c r="Q1815" i="34"/>
  <c r="Q1846" i="34"/>
  <c r="Q1599" i="34"/>
  <c r="O1603" i="34"/>
  <c r="O1671" i="34"/>
  <c r="Q1540" i="34"/>
  <c r="Q1589" i="34"/>
  <c r="Q1371" i="34"/>
  <c r="Q1399" i="34"/>
  <c r="Q1418" i="34"/>
  <c r="Q1432" i="34"/>
  <c r="Q1319" i="34"/>
  <c r="Q1327" i="34"/>
  <c r="O1208" i="34"/>
  <c r="Q1212" i="34"/>
  <c r="Q1153" i="34"/>
  <c r="O1737" i="34"/>
  <c r="Q1722" i="34"/>
  <c r="Q1685" i="34"/>
  <c r="Q1660" i="34"/>
  <c r="O1651" i="34"/>
  <c r="Q1647" i="34"/>
  <c r="Q1565" i="34"/>
  <c r="O1495" i="34"/>
  <c r="Q1491" i="34"/>
  <c r="O1487" i="34"/>
  <c r="Q1459" i="34"/>
  <c r="O1446" i="34"/>
  <c r="Q1390" i="34"/>
  <c r="Q1278" i="34"/>
  <c r="O1274" i="34"/>
  <c r="Q1257" i="34"/>
  <c r="Q1205" i="34"/>
  <c r="Q1197" i="34"/>
  <c r="Q1180" i="34"/>
  <c r="O1176" i="34"/>
  <c r="Q1161" i="34"/>
  <c r="O628" i="34"/>
  <c r="Q1085" i="34"/>
  <c r="Q1094" i="34"/>
  <c r="P1469" i="34"/>
  <c r="P1261" i="34"/>
  <c r="O1235" i="34"/>
  <c r="O1205" i="34"/>
  <c r="P1201" i="34"/>
  <c r="P1176" i="34"/>
  <c r="O1161" i="34"/>
  <c r="Q325" i="34"/>
  <c r="O330" i="34"/>
  <c r="Q335" i="34"/>
  <c r="O339" i="34"/>
  <c r="P344" i="34"/>
  <c r="Q354" i="34"/>
  <c r="Q364" i="34"/>
  <c r="O498" i="34"/>
  <c r="Q502" i="34"/>
  <c r="O506" i="34"/>
  <c r="P512" i="34"/>
  <c r="Q522" i="34"/>
  <c r="O526" i="34"/>
  <c r="P531" i="34"/>
  <c r="O536" i="34"/>
  <c r="P541" i="34"/>
  <c r="P628" i="34"/>
  <c r="P1013" i="34"/>
  <c r="O1018" i="34"/>
  <c r="O1027" i="34"/>
  <c r="P1032" i="34"/>
  <c r="P1042" i="34"/>
  <c r="P1050" i="34"/>
  <c r="P1059" i="34"/>
  <c r="P1069" i="34"/>
  <c r="P1081" i="34"/>
  <c r="Q1199" i="34"/>
  <c r="P1199" i="34"/>
  <c r="P1182" i="34"/>
  <c r="Q1167" i="34"/>
  <c r="P1167" i="34"/>
  <c r="O1163" i="34"/>
  <c r="Q1159" i="34"/>
  <c r="P1159" i="34"/>
  <c r="O1155" i="34"/>
  <c r="O328" i="34"/>
  <c r="P337" i="34"/>
  <c r="O346" i="34"/>
  <c r="P357" i="34"/>
  <c r="O495" i="34"/>
  <c r="P504" i="34"/>
  <c r="O515" i="34"/>
  <c r="P524" i="34"/>
  <c r="O534" i="34"/>
  <c r="P544" i="34"/>
  <c r="O638" i="34"/>
  <c r="P1016" i="34"/>
  <c r="O1025" i="34"/>
  <c r="P1034" i="34"/>
  <c r="O1044" i="34"/>
  <c r="P1053" i="34"/>
  <c r="O1061" i="34"/>
  <c r="P1071" i="34"/>
  <c r="O1079" i="34"/>
  <c r="P1847" i="34"/>
  <c r="O1851" i="34"/>
  <c r="Q1215" i="34"/>
  <c r="P1215" i="34"/>
  <c r="O1219" i="34"/>
  <c r="O1759" i="34"/>
  <c r="P1763" i="34"/>
  <c r="P1789" i="34"/>
  <c r="O1814" i="34"/>
  <c r="P1818" i="34"/>
  <c r="P1845" i="34"/>
  <c r="O1598" i="34"/>
  <c r="Q1602" i="34"/>
  <c r="P1602" i="34"/>
  <c r="P1629" i="34"/>
  <c r="O1633" i="34"/>
  <c r="P1701" i="34"/>
  <c r="O1705" i="34"/>
  <c r="O1513" i="34"/>
  <c r="P1517" i="34"/>
  <c r="P1539" i="34"/>
  <c r="Q1570" i="34"/>
  <c r="P1570" i="34"/>
  <c r="P1592" i="34"/>
  <c r="O1332" i="34"/>
  <c r="P1370" i="34"/>
  <c r="P1398" i="34"/>
  <c r="O1417" i="34"/>
  <c r="O1431" i="34"/>
  <c r="P1241" i="34"/>
  <c r="O1245" i="34"/>
  <c r="P1284" i="34"/>
  <c r="O1288" i="34"/>
  <c r="P1326" i="34"/>
  <c r="Q1207" i="34"/>
  <c r="P1207" i="34"/>
  <c r="O1211" i="34"/>
  <c r="Q1239" i="34"/>
  <c r="P1239" i="34"/>
  <c r="O1784" i="34"/>
  <c r="O1738" i="34"/>
  <c r="P1734" i="34"/>
  <c r="O1723" i="34"/>
  <c r="P1719" i="34"/>
  <c r="Q1686" i="34"/>
  <c r="P1686" i="34"/>
  <c r="O1682" i="34"/>
  <c r="O1661" i="34"/>
  <c r="P1657" i="34"/>
  <c r="O1652" i="34"/>
  <c r="P1648" i="34"/>
  <c r="O1644" i="34"/>
  <c r="O1562" i="34"/>
  <c r="O1496" i="34"/>
  <c r="P1492" i="34"/>
  <c r="O1488" i="34"/>
  <c r="P1470" i="34"/>
  <c r="O1460" i="34"/>
  <c r="P1456" i="34"/>
  <c r="O1452" i="34"/>
  <c r="P1391" i="34"/>
  <c r="P1362" i="34"/>
  <c r="P1279" i="34"/>
  <c r="O1275" i="34"/>
  <c r="P1258" i="34"/>
  <c r="P1232" i="34"/>
  <c r="P1202" i="34"/>
  <c r="O1198" i="34"/>
  <c r="P1181" i="34"/>
  <c r="O1177" i="34"/>
  <c r="P1166" i="34"/>
  <c r="O1162" i="34"/>
  <c r="P1158" i="34"/>
  <c r="O1154" i="34"/>
  <c r="P324" i="34"/>
  <c r="O329" i="34"/>
  <c r="P334" i="34"/>
  <c r="O338" i="34"/>
  <c r="P343" i="34"/>
  <c r="O348" i="34"/>
  <c r="P353" i="34"/>
  <c r="O358" i="34"/>
  <c r="P363" i="34"/>
  <c r="O496" i="34"/>
  <c r="P501" i="34"/>
  <c r="O505" i="34"/>
  <c r="P510" i="34"/>
  <c r="O516" i="34"/>
  <c r="P521" i="34"/>
  <c r="O525" i="34"/>
  <c r="P530" i="34"/>
  <c r="O535" i="34"/>
  <c r="P540" i="34"/>
  <c r="O546" i="34"/>
  <c r="O627" i="34"/>
  <c r="O1007" i="34"/>
  <c r="P1012" i="34"/>
  <c r="O1017" i="34"/>
  <c r="P1021" i="34"/>
  <c r="O1026" i="34"/>
  <c r="P1031" i="34"/>
  <c r="O1036" i="34"/>
  <c r="P1041" i="34"/>
  <c r="O1045" i="34"/>
  <c r="P1049" i="34"/>
  <c r="O1054" i="34"/>
  <c r="P1058" i="34"/>
  <c r="O1062" i="34"/>
  <c r="P1067" i="34"/>
  <c r="O1072" i="34"/>
  <c r="P1076" i="34"/>
  <c r="O1080" i="34"/>
  <c r="P1084" i="34"/>
  <c r="O1089" i="34"/>
  <c r="P1093" i="34"/>
  <c r="Q1892" i="34"/>
  <c r="P1892" i="34"/>
  <c r="O1848" i="34"/>
  <c r="Q1852" i="34"/>
  <c r="P1852" i="34"/>
  <c r="P1216" i="34"/>
  <c r="Q1760" i="34"/>
  <c r="P1760" i="34"/>
  <c r="O1764" i="34"/>
  <c r="O1790" i="34"/>
  <c r="P1794" i="34"/>
  <c r="O1815" i="34"/>
  <c r="P1819" i="34"/>
  <c r="O1846" i="34"/>
  <c r="P1603" i="34"/>
  <c r="O1630" i="34"/>
  <c r="P1671" i="34"/>
  <c r="O1702" i="34"/>
  <c r="Q1706" i="34"/>
  <c r="P1706" i="34"/>
  <c r="P1439" i="34"/>
  <c r="Q1514" i="34"/>
  <c r="P1514" i="34"/>
  <c r="O1518" i="34"/>
  <c r="O1540" i="34"/>
  <c r="P1544" i="34"/>
  <c r="O1589" i="34"/>
  <c r="P1593" i="34"/>
  <c r="Q1333" i="34"/>
  <c r="P1333" i="34"/>
  <c r="P1367" i="34"/>
  <c r="O1371" i="34"/>
  <c r="P1395" i="34"/>
  <c r="O1399" i="34"/>
  <c r="O1432" i="34"/>
  <c r="P1242" i="34"/>
  <c r="Q1281" i="34"/>
  <c r="P1281" i="34"/>
  <c r="O1285" i="34"/>
  <c r="O1319" i="34"/>
  <c r="P1323" i="34"/>
  <c r="O1327" i="34"/>
  <c r="P1331" i="34"/>
  <c r="P1208" i="34"/>
  <c r="O1153" i="34"/>
  <c r="P1783" i="34"/>
  <c r="P1737" i="34"/>
  <c r="P1726" i="34"/>
  <c r="O1722" i="34"/>
  <c r="P1689" i="34"/>
  <c r="O1685" i="34"/>
  <c r="P1664" i="34"/>
  <c r="O1660" i="34"/>
  <c r="P1656" i="34"/>
  <c r="P1651" i="34"/>
  <c r="O1565" i="34"/>
  <c r="P1561" i="34"/>
  <c r="P1495" i="34"/>
  <c r="P1487" i="34"/>
  <c r="Q1483" i="34"/>
  <c r="Q1469" i="34"/>
  <c r="O1465" i="34"/>
  <c r="O1459" i="34"/>
  <c r="P1455" i="34"/>
  <c r="P1446" i="34"/>
  <c r="Q1361" i="34"/>
  <c r="P1361" i="34"/>
  <c r="P1274" i="34"/>
  <c r="O1257" i="34"/>
  <c r="O1197" i="34"/>
  <c r="P1165" i="34"/>
  <c r="P1157" i="34"/>
  <c r="P325" i="34"/>
  <c r="P335" i="34"/>
  <c r="Q344" i="34"/>
  <c r="O349" i="34"/>
  <c r="P354" i="34"/>
  <c r="O360" i="34"/>
  <c r="P364" i="34"/>
  <c r="P502" i="34"/>
  <c r="Q512" i="34"/>
  <c r="O518" i="34"/>
  <c r="P522" i="34"/>
  <c r="Q531" i="34"/>
  <c r="Q541" i="34"/>
  <c r="O547" i="34"/>
  <c r="O1009" i="34"/>
  <c r="Q1022" i="34"/>
  <c r="Q1032" i="34"/>
  <c r="O1046" i="34"/>
  <c r="Q1059" i="34"/>
  <c r="P1077" i="34"/>
  <c r="P1178" i="34"/>
  <c r="O333" i="34"/>
  <c r="P342" i="34"/>
  <c r="O352" i="34"/>
  <c r="P362" i="34"/>
  <c r="O500" i="34"/>
  <c r="P509" i="34"/>
  <c r="O520" i="34"/>
  <c r="P529" i="34"/>
  <c r="O539" i="34"/>
  <c r="P626" i="34"/>
  <c r="O1011" i="34"/>
  <c r="P1020" i="34"/>
  <c r="O1030" i="34"/>
  <c r="P1040" i="34"/>
  <c r="O1048" i="34"/>
  <c r="P1057" i="34"/>
  <c r="O1066" i="34"/>
  <c r="P1075" i="34"/>
  <c r="P1083" i="34"/>
  <c r="P1088" i="34"/>
  <c r="P1092" i="34"/>
  <c r="Q1847" i="34"/>
  <c r="O1318" i="34"/>
  <c r="Q1763" i="34"/>
  <c r="Q1789" i="34"/>
  <c r="O1793" i="34"/>
  <c r="Q1818" i="34"/>
  <c r="Q1845" i="34"/>
  <c r="Q1629" i="34"/>
  <c r="Q1701" i="34"/>
  <c r="O1757" i="34"/>
  <c r="Q1517" i="34"/>
  <c r="Q1539" i="34"/>
  <c r="O1543" i="34"/>
  <c r="Q1592" i="34"/>
  <c r="O1366" i="34"/>
  <c r="Q1370" i="34"/>
  <c r="O1394" i="34"/>
  <c r="Q1398" i="34"/>
  <c r="Q1241" i="34"/>
  <c r="Q1284" i="34"/>
  <c r="O1322" i="34"/>
  <c r="Q1326" i="34"/>
  <c r="O1330" i="34"/>
  <c r="Q1734" i="34"/>
  <c r="Q1719" i="34"/>
  <c r="Q1657" i="34"/>
  <c r="Q1648" i="34"/>
  <c r="Q1492" i="34"/>
  <c r="O1484" i="34"/>
  <c r="Q1470" i="34"/>
  <c r="O1466" i="34"/>
  <c r="Q1456" i="34"/>
  <c r="Q1391" i="34"/>
  <c r="Q1362" i="34"/>
  <c r="Q1279" i="34"/>
  <c r="O1262" i="34"/>
  <c r="Q1258" i="34"/>
  <c r="O1236" i="34"/>
  <c r="Q1232" i="34"/>
  <c r="Q1202" i="34"/>
  <c r="Q1181" i="34"/>
  <c r="Q1166" i="34"/>
  <c r="Q1158" i="34"/>
  <c r="Q324" i="34"/>
  <c r="Q334" i="34"/>
  <c r="Q343" i="34"/>
  <c r="Q353" i="34"/>
  <c r="Q363" i="34"/>
  <c r="Q501" i="34"/>
  <c r="Q510" i="34"/>
  <c r="Q521" i="34"/>
  <c r="Q530" i="34"/>
  <c r="Q540" i="34"/>
  <c r="Q1012" i="34"/>
  <c r="Q1021" i="34"/>
  <c r="Q1031" i="34"/>
  <c r="Q1041" i="34"/>
  <c r="Q1049" i="34"/>
  <c r="Q1058" i="34"/>
  <c r="Q1067" i="34"/>
  <c r="Q1076" i="34"/>
  <c r="Q1084" i="34"/>
  <c r="Q1093" i="34"/>
  <c r="O1148" i="34"/>
  <c r="Q1216" i="34"/>
  <c r="Q1794" i="34"/>
  <c r="Q1819" i="34"/>
  <c r="O1599" i="34"/>
  <c r="Q1603" i="34"/>
  <c r="Q1671" i="34"/>
  <c r="Q1439" i="34"/>
  <c r="Q1544" i="34"/>
  <c r="Q1593" i="34"/>
  <c r="Q1367" i="34"/>
  <c r="Q1395" i="34"/>
  <c r="O1418" i="34"/>
  <c r="Q1242" i="34"/>
  <c r="Q1323" i="34"/>
  <c r="Q1331" i="34"/>
  <c r="Q1208" i="34"/>
  <c r="O1212" i="34"/>
  <c r="Q1783" i="34"/>
  <c r="Q1737" i="34"/>
  <c r="Q1726" i="34"/>
  <c r="Q1689" i="34"/>
  <c r="Q1664" i="34"/>
  <c r="Q1656" i="34"/>
  <c r="Q1651" i="34"/>
  <c r="O1647" i="34"/>
  <c r="Q1561" i="34"/>
  <c r="Q1495" i="34"/>
  <c r="O1491" i="34"/>
  <c r="Q1487" i="34"/>
  <c r="Q1455" i="34"/>
  <c r="Q1446" i="34"/>
  <c r="O1390" i="34"/>
  <c r="O1278" i="34"/>
  <c r="Q1274" i="34"/>
  <c r="Q1261" i="34"/>
  <c r="Q1201" i="34"/>
  <c r="O1180" i="34"/>
  <c r="Q1176" i="34"/>
  <c r="Q1165" i="34"/>
  <c r="Q1157" i="34"/>
  <c r="Q628" i="34"/>
  <c r="Q1081" i="34"/>
  <c r="Q1090" i="34"/>
  <c r="Q1848" i="34"/>
  <c r="O1852" i="34"/>
  <c r="O1760" i="34"/>
  <c r="P1764" i="34"/>
  <c r="P1790" i="34"/>
  <c r="P1815" i="34"/>
  <c r="P1846" i="34"/>
  <c r="P1599" i="34"/>
  <c r="Q1630" i="34"/>
  <c r="Q1702" i="34"/>
  <c r="O1706" i="34"/>
  <c r="O1514" i="34"/>
  <c r="P1518" i="34"/>
  <c r="O1544" i="34"/>
  <c r="O1593" i="34"/>
  <c r="O1333" i="34"/>
  <c r="P1371" i="34"/>
  <c r="P1399" i="34"/>
  <c r="P1432" i="34"/>
  <c r="O1281" i="34"/>
  <c r="Q1285" i="34"/>
  <c r="P1319" i="34"/>
  <c r="P1327" i="34"/>
  <c r="P1212" i="34"/>
  <c r="O1783" i="34"/>
  <c r="O1726" i="34"/>
  <c r="O1689" i="34"/>
  <c r="O1664" i="34"/>
  <c r="O1656" i="34"/>
  <c r="P1565" i="34"/>
  <c r="P1491" i="34"/>
  <c r="O1483" i="34"/>
  <c r="O1469" i="34"/>
  <c r="P1465" i="34"/>
  <c r="O1455" i="34"/>
  <c r="P1390" i="34"/>
  <c r="P1278" i="34"/>
  <c r="O1261" i="34"/>
  <c r="Q1235" i="34"/>
  <c r="P1205" i="34"/>
  <c r="P1197" i="34"/>
  <c r="O1165" i="34"/>
  <c r="P1161" i="34"/>
  <c r="O325" i="34"/>
  <c r="P330" i="34"/>
  <c r="O335" i="34"/>
  <c r="P339" i="34"/>
  <c r="Q349" i="34"/>
  <c r="O354" i="34"/>
  <c r="P360" i="34"/>
  <c r="Q498" i="34"/>
  <c r="O502" i="34"/>
  <c r="P506" i="34"/>
  <c r="Q518" i="34"/>
  <c r="O522" i="34"/>
  <c r="P526" i="34"/>
  <c r="O531" i="34"/>
  <c r="P536" i="34"/>
  <c r="Q547" i="34"/>
  <c r="Q1009" i="34"/>
  <c r="O1013" i="34"/>
  <c r="P1018" i="34"/>
  <c r="Q1027" i="34"/>
  <c r="O1032" i="34"/>
  <c r="P1037" i="34"/>
  <c r="Q1046" i="34"/>
  <c r="O1050" i="34"/>
  <c r="P1055" i="34"/>
  <c r="O1059" i="34"/>
  <c r="P1064" i="34"/>
  <c r="Q1073" i="34"/>
  <c r="O1077" i="34"/>
  <c r="P1085" i="34"/>
  <c r="P1094" i="34"/>
  <c r="Q1013" i="34"/>
  <c r="O1037" i="34"/>
  <c r="Q1042" i="34"/>
  <c r="Q1050" i="34"/>
  <c r="O1064" i="34"/>
  <c r="O1073" i="34"/>
  <c r="O1085" i="34"/>
  <c r="O1094" i="34"/>
  <c r="P1140" i="34"/>
  <c r="O617" i="34"/>
  <c r="P907" i="34"/>
  <c r="Q1140" i="34"/>
  <c r="Q907" i="34"/>
  <c r="O633" i="34"/>
  <c r="Q617" i="34"/>
  <c r="P617" i="34"/>
  <c r="P633" i="34"/>
  <c r="O1140" i="34"/>
  <c r="O907" i="34"/>
  <c r="Q633" i="34"/>
  <c r="Q28" i="34"/>
  <c r="P28" i="34"/>
  <c r="O576" i="34"/>
  <c r="P581" i="34"/>
  <c r="O560" i="34"/>
  <c r="O34" i="34"/>
  <c r="P22" i="34"/>
  <c r="Q581" i="34"/>
  <c r="Q22" i="34"/>
  <c r="Q560" i="34"/>
  <c r="P34" i="34"/>
  <c r="O28" i="34"/>
  <c r="Q576" i="34"/>
  <c r="P576" i="34"/>
  <c r="P560" i="34"/>
  <c r="O22" i="34"/>
  <c r="O581" i="34"/>
  <c r="Q34" i="34"/>
  <c r="P870" i="34"/>
  <c r="P884" i="34"/>
  <c r="P397" i="34"/>
  <c r="Q870" i="34"/>
  <c r="Q884" i="34"/>
  <c r="Q397" i="34"/>
  <c r="O884" i="34"/>
  <c r="O870" i="34"/>
  <c r="O397" i="34"/>
  <c r="Q703" i="34"/>
  <c r="P703" i="34"/>
  <c r="O668" i="34"/>
  <c r="O203" i="34"/>
  <c r="Q813" i="34"/>
  <c r="P813" i="34"/>
  <c r="O100" i="34"/>
  <c r="Q693" i="34"/>
  <c r="O104" i="34"/>
  <c r="Q164" i="34"/>
  <c r="Q203" i="34"/>
  <c r="O813" i="34"/>
  <c r="P100" i="34"/>
  <c r="Q104" i="34"/>
  <c r="P107" i="34"/>
  <c r="O703" i="34"/>
  <c r="P164" i="34"/>
  <c r="P668" i="34"/>
  <c r="P203" i="34"/>
  <c r="Q100" i="34"/>
  <c r="O693" i="34"/>
  <c r="P104" i="34"/>
  <c r="O164" i="34"/>
  <c r="Q668" i="34"/>
  <c r="Q107" i="34"/>
  <c r="P693" i="34"/>
  <c r="O107" i="34"/>
  <c r="Q155" i="34"/>
  <c r="P155" i="34"/>
  <c r="O147" i="34"/>
  <c r="O150" i="34"/>
  <c r="O155" i="34"/>
  <c r="Q147" i="34"/>
  <c r="P147" i="34"/>
  <c r="P150" i="34"/>
  <c r="Q150" i="34"/>
  <c r="O1718" i="34"/>
  <c r="P1715" i="34"/>
  <c r="O1867" i="34"/>
  <c r="P1108" i="34"/>
  <c r="O1716" i="34"/>
  <c r="O1730" i="34"/>
  <c r="Q46" i="34"/>
  <c r="Q54" i="34"/>
  <c r="Q1101" i="34"/>
  <c r="Q1109" i="34"/>
  <c r="Q1117" i="34"/>
  <c r="Q1125" i="34"/>
  <c r="O1144" i="34"/>
  <c r="Q1641" i="34"/>
  <c r="Q1174" i="34"/>
  <c r="O1186" i="34"/>
  <c r="P1298" i="34"/>
  <c r="Q1449" i="34"/>
  <c r="P1449" i="34"/>
  <c r="P1480" i="34"/>
  <c r="O1555" i="34"/>
  <c r="P1667" i="34"/>
  <c r="Q883" i="34"/>
  <c r="Q558" i="34"/>
  <c r="Q577" i="34"/>
  <c r="Q582" i="34"/>
  <c r="Q591" i="34"/>
  <c r="Q602" i="34"/>
  <c r="O1096" i="34"/>
  <c r="Q1100" i="34"/>
  <c r="Q26" i="34"/>
  <c r="Q384" i="34"/>
  <c r="Q393" i="34"/>
  <c r="O402" i="34"/>
  <c r="Q37" i="34"/>
  <c r="O41" i="34"/>
  <c r="Q223" i="34"/>
  <c r="Q234" i="34"/>
  <c r="Q242" i="34"/>
  <c r="Q610" i="34"/>
  <c r="Q686" i="34"/>
  <c r="Q690" i="34"/>
  <c r="Q722" i="34"/>
  <c r="Q750" i="34"/>
  <c r="Q771" i="34"/>
  <c r="Q811" i="34"/>
  <c r="O148" i="34"/>
  <c r="Q156" i="34"/>
  <c r="O160" i="34"/>
  <c r="Q185" i="34"/>
  <c r="O196" i="34"/>
  <c r="Q200" i="34"/>
  <c r="P1729" i="34"/>
  <c r="P57" i="34"/>
  <c r="P1717" i="34"/>
  <c r="P1727" i="34"/>
  <c r="P1871" i="34"/>
  <c r="Q1471" i="34"/>
  <c r="Q51" i="34"/>
  <c r="Q59" i="34"/>
  <c r="Q1106" i="34"/>
  <c r="Q1114" i="34"/>
  <c r="Q1122" i="34"/>
  <c r="Q1130" i="34"/>
  <c r="Q1869" i="34"/>
  <c r="Q1183" i="34"/>
  <c r="P1183" i="34"/>
  <c r="Q1222" i="34"/>
  <c r="Q1443" i="34"/>
  <c r="Q1450" i="34"/>
  <c r="Q1499" i="34"/>
  <c r="Q1673" i="34"/>
  <c r="O394" i="34"/>
  <c r="P567" i="34"/>
  <c r="O578" i="34"/>
  <c r="P583" i="34"/>
  <c r="O587" i="34"/>
  <c r="P593" i="34"/>
  <c r="O598" i="34"/>
  <c r="P603" i="34"/>
  <c r="O639" i="34"/>
  <c r="P1097" i="34"/>
  <c r="O23" i="34"/>
  <c r="P27" i="34"/>
  <c r="Q32" i="34"/>
  <c r="P32" i="34"/>
  <c r="O380" i="34"/>
  <c r="P385" i="34"/>
  <c r="O390" i="34"/>
  <c r="P398" i="34"/>
  <c r="Q403" i="34"/>
  <c r="O408" i="34"/>
  <c r="O413" i="34"/>
  <c r="P551" i="34"/>
  <c r="O38" i="34"/>
  <c r="P42" i="34"/>
  <c r="Q215" i="34"/>
  <c r="P215" i="34"/>
  <c r="Q224" i="34"/>
  <c r="Q228" i="34"/>
  <c r="P228" i="34"/>
  <c r="P235" i="34"/>
  <c r="O239" i="34"/>
  <c r="P261" i="34"/>
  <c r="P371" i="34"/>
  <c r="O607" i="34"/>
  <c r="P611" i="34"/>
  <c r="P646" i="34"/>
  <c r="P683" i="34"/>
  <c r="P687" i="34"/>
  <c r="O719" i="34"/>
  <c r="P723" i="34"/>
  <c r="O728" i="34"/>
  <c r="O751" i="34"/>
  <c r="Q755" i="34"/>
  <c r="P755" i="34"/>
  <c r="P772" i="34"/>
  <c r="O776" i="34"/>
  <c r="P787" i="34"/>
  <c r="O808" i="34"/>
  <c r="P812" i="34"/>
  <c r="P144" i="34"/>
  <c r="P149" i="34"/>
  <c r="O157" i="34"/>
  <c r="P161" i="34"/>
  <c r="O182" i="34"/>
  <c r="P186" i="34"/>
  <c r="O193" i="34"/>
  <c r="P197" i="34"/>
  <c r="P208" i="34"/>
  <c r="O1500" i="34"/>
  <c r="O48" i="34"/>
  <c r="Q52" i="34"/>
  <c r="P52" i="34"/>
  <c r="O56" i="34"/>
  <c r="Q60" i="34"/>
  <c r="P60" i="34"/>
  <c r="O1103" i="34"/>
  <c r="Q1107" i="34"/>
  <c r="P1107" i="34"/>
  <c r="O1111" i="34"/>
  <c r="Q1115" i="34"/>
  <c r="P1115" i="34"/>
  <c r="O1119" i="34"/>
  <c r="Q1123" i="34"/>
  <c r="P1123" i="34"/>
  <c r="O1127" i="34"/>
  <c r="Q1131" i="34"/>
  <c r="P1131" i="34"/>
  <c r="P1146" i="34"/>
  <c r="Q1642" i="34"/>
  <c r="P1642" i="34"/>
  <c r="P1870" i="34"/>
  <c r="P1168" i="34"/>
  <c r="O1254" i="34"/>
  <c r="O1297" i="34"/>
  <c r="O1447" i="34"/>
  <c r="O1497" i="34"/>
  <c r="P1557" i="34"/>
  <c r="P1665" i="34"/>
  <c r="O1674" i="34"/>
  <c r="P1680" i="34"/>
  <c r="Q395" i="34"/>
  <c r="P395" i="34"/>
  <c r="P563" i="34"/>
  <c r="O569" i="34"/>
  <c r="P573" i="34"/>
  <c r="O579" i="34"/>
  <c r="O584" i="34"/>
  <c r="Q588" i="34"/>
  <c r="P588" i="34"/>
  <c r="O594" i="34"/>
  <c r="Q599" i="34"/>
  <c r="P599" i="34"/>
  <c r="P629" i="34"/>
  <c r="Q640" i="34"/>
  <c r="P640" i="34"/>
  <c r="P1098" i="34"/>
  <c r="Q24" i="34"/>
  <c r="P24" i="34"/>
  <c r="P33" i="34"/>
  <c r="P889" i="34"/>
  <c r="Q382" i="34"/>
  <c r="P382" i="34"/>
  <c r="O386" i="34"/>
  <c r="Q391" i="34"/>
  <c r="P391" i="34"/>
  <c r="P400" i="34"/>
  <c r="P404" i="34"/>
  <c r="O404" i="34"/>
  <c r="Q415" i="34"/>
  <c r="P420" i="34"/>
  <c r="Q552" i="34"/>
  <c r="P552" i="34"/>
  <c r="P35" i="34"/>
  <c r="O39" i="34"/>
  <c r="P43" i="34"/>
  <c r="P216" i="34"/>
  <c r="O225" i="34"/>
  <c r="P229" i="34"/>
  <c r="O236" i="34"/>
  <c r="Q240" i="34"/>
  <c r="P240" i="34"/>
  <c r="P258" i="34"/>
  <c r="O262" i="34"/>
  <c r="P367" i="34"/>
  <c r="O373" i="34"/>
  <c r="O604" i="34"/>
  <c r="Q608" i="34"/>
  <c r="P608" i="34"/>
  <c r="O612" i="34"/>
  <c r="O647" i="34"/>
  <c r="P653" i="34"/>
  <c r="O684" i="34"/>
  <c r="P688" i="34"/>
  <c r="Q720" i="34"/>
  <c r="P720" i="34"/>
  <c r="O725" i="34"/>
  <c r="P748" i="34"/>
  <c r="P756" i="34"/>
  <c r="O773" i="34"/>
  <c r="Q777" i="34"/>
  <c r="P777" i="34"/>
  <c r="P784" i="34"/>
  <c r="O788" i="34"/>
  <c r="Q804" i="34"/>
  <c r="Q809" i="34"/>
  <c r="P809" i="34"/>
  <c r="P861" i="34"/>
  <c r="O145" i="34"/>
  <c r="O151" i="34"/>
  <c r="O158" i="34"/>
  <c r="P162" i="34"/>
  <c r="Q183" i="34"/>
  <c r="P183" i="34"/>
  <c r="O187" i="34"/>
  <c r="O194" i="34"/>
  <c r="P198" i="34"/>
  <c r="O209" i="34"/>
  <c r="P213" i="34"/>
  <c r="Q1728" i="34"/>
  <c r="P1728" i="34"/>
  <c r="Q1743" i="34"/>
  <c r="Q49" i="34"/>
  <c r="O61" i="34"/>
  <c r="Q1112" i="34"/>
  <c r="O1116" i="34"/>
  <c r="Q1120" i="34"/>
  <c r="O1124" i="34"/>
  <c r="Q1128" i="34"/>
  <c r="O1132" i="34"/>
  <c r="O1643" i="34"/>
  <c r="Q1865" i="34"/>
  <c r="P1169" i="34"/>
  <c r="Q1185" i="34"/>
  <c r="Q1255" i="34"/>
  <c r="P1255" i="34"/>
  <c r="Q1426" i="34"/>
  <c r="O1478" i="34"/>
  <c r="Q1498" i="34"/>
  <c r="P1498" i="34"/>
  <c r="O1558" i="34"/>
  <c r="Q1666" i="34"/>
  <c r="P1666" i="34"/>
  <c r="Q1675" i="34"/>
  <c r="Q570" i="34"/>
  <c r="Q585" i="34"/>
  <c r="O590" i="34"/>
  <c r="Q596" i="34"/>
  <c r="O600" i="34"/>
  <c r="O25" i="34"/>
  <c r="Q885" i="34"/>
  <c r="O383" i="34"/>
  <c r="Q388" i="34"/>
  <c r="O392" i="34"/>
  <c r="Q405" i="34"/>
  <c r="Q553" i="34"/>
  <c r="Q230" i="34"/>
  <c r="Q237" i="34"/>
  <c r="O241" i="34"/>
  <c r="Q263" i="34"/>
  <c r="Q374" i="34"/>
  <c r="Q605" i="34"/>
  <c r="O609" i="34"/>
  <c r="Q726" i="34"/>
  <c r="O770" i="34"/>
  <c r="O778" i="34"/>
  <c r="Q806" i="34"/>
  <c r="Q152" i="34"/>
  <c r="Q1715" i="34"/>
  <c r="O53" i="34"/>
  <c r="Q1108" i="34"/>
  <c r="P1866" i="34"/>
  <c r="O1868" i="34"/>
  <c r="O46" i="34"/>
  <c r="P50" i="34"/>
  <c r="O54" i="34"/>
  <c r="P58" i="34"/>
  <c r="O1101" i="34"/>
  <c r="P1105" i="34"/>
  <c r="O1109" i="34"/>
  <c r="P1113" i="34"/>
  <c r="O1117" i="34"/>
  <c r="P1121" i="34"/>
  <c r="O1125" i="34"/>
  <c r="P1129" i="34"/>
  <c r="P1144" i="34"/>
  <c r="O1445" i="34"/>
  <c r="O1641" i="34"/>
  <c r="P1150" i="34"/>
  <c r="P1170" i="34"/>
  <c r="Q1186" i="34"/>
  <c r="Q1298" i="34"/>
  <c r="O1442" i="34"/>
  <c r="O1462" i="34"/>
  <c r="O1480" i="34"/>
  <c r="P1555" i="34"/>
  <c r="P1566" i="34"/>
  <c r="Q1667" i="34"/>
  <c r="P1676" i="34"/>
  <c r="O558" i="34"/>
  <c r="O566" i="34"/>
  <c r="Q571" i="34"/>
  <c r="P571" i="34"/>
  <c r="O582" i="34"/>
  <c r="P586" i="34"/>
  <c r="O591" i="34"/>
  <c r="P597" i="34"/>
  <c r="O602" i="34"/>
  <c r="O632" i="34"/>
  <c r="P1096" i="34"/>
  <c r="O26" i="34"/>
  <c r="P31" i="34"/>
  <c r="Q886" i="34"/>
  <c r="P886" i="34"/>
  <c r="P379" i="34"/>
  <c r="O384" i="34"/>
  <c r="P389" i="34"/>
  <c r="O393" i="34"/>
  <c r="O407" i="34"/>
  <c r="P407" i="34"/>
  <c r="P412" i="34"/>
  <c r="O417" i="34"/>
  <c r="P417" i="34"/>
  <c r="P550" i="34"/>
  <c r="O554" i="34"/>
  <c r="P554" i="34"/>
  <c r="P41" i="34"/>
  <c r="P214" i="34"/>
  <c r="O223" i="34"/>
  <c r="P227" i="34"/>
  <c r="O234" i="34"/>
  <c r="P238" i="34"/>
  <c r="O242" i="34"/>
  <c r="O260" i="34"/>
  <c r="Q264" i="34"/>
  <c r="P264" i="34"/>
  <c r="O370" i="34"/>
  <c r="Q377" i="34"/>
  <c r="P377" i="34"/>
  <c r="P606" i="34"/>
  <c r="O610" i="34"/>
  <c r="O645" i="34"/>
  <c r="Q650" i="34"/>
  <c r="P650" i="34"/>
  <c r="P682" i="34"/>
  <c r="P686" i="34"/>
  <c r="O722" i="34"/>
  <c r="P727" i="34"/>
  <c r="O750" i="34"/>
  <c r="P754" i="34"/>
  <c r="O771" i="34"/>
  <c r="P775" i="34"/>
  <c r="Q782" i="34"/>
  <c r="P782" i="34"/>
  <c r="O786" i="34"/>
  <c r="Q791" i="34"/>
  <c r="P791" i="34"/>
  <c r="P807" i="34"/>
  <c r="O811" i="34"/>
  <c r="O869" i="34"/>
  <c r="P148" i="34"/>
  <c r="P160" i="34"/>
  <c r="P181" i="34"/>
  <c r="O185" i="34"/>
  <c r="P189" i="34"/>
  <c r="P196" i="34"/>
  <c r="Q211" i="34"/>
  <c r="P211" i="34"/>
  <c r="P1872" i="34"/>
  <c r="Q1729" i="34"/>
  <c r="O45" i="34"/>
  <c r="Q57" i="34"/>
  <c r="O1104" i="34"/>
  <c r="Q1717" i="34"/>
  <c r="Q1727" i="34"/>
  <c r="O1871" i="34"/>
  <c r="O1471" i="34"/>
  <c r="P47" i="34"/>
  <c r="O51" i="34"/>
  <c r="P55" i="34"/>
  <c r="O59" i="34"/>
  <c r="P1102" i="34"/>
  <c r="O1106" i="34"/>
  <c r="P1110" i="34"/>
  <c r="O1114" i="34"/>
  <c r="P1118" i="34"/>
  <c r="O1122" i="34"/>
  <c r="P1126" i="34"/>
  <c r="O1130" i="34"/>
  <c r="P1145" i="34"/>
  <c r="Q1441" i="34"/>
  <c r="P1441" i="34"/>
  <c r="Q1151" i="34"/>
  <c r="P1151" i="34"/>
  <c r="P1171" i="34"/>
  <c r="P1299" i="34"/>
  <c r="O1443" i="34"/>
  <c r="P1476" i="34"/>
  <c r="P1556" i="34"/>
  <c r="P1653" i="34"/>
  <c r="P1678" i="34"/>
  <c r="O561" i="34"/>
  <c r="Q567" i="34"/>
  <c r="O572" i="34"/>
  <c r="Q583" i="34"/>
  <c r="Q593" i="34"/>
  <c r="Q603" i="34"/>
  <c r="Q1097" i="34"/>
  <c r="Q27" i="34"/>
  <c r="O887" i="34"/>
  <c r="Q385" i="34"/>
  <c r="Q398" i="34"/>
  <c r="P408" i="34"/>
  <c r="O419" i="34"/>
  <c r="Q551" i="34"/>
  <c r="O556" i="34"/>
  <c r="Q42" i="34"/>
  <c r="Q235" i="34"/>
  <c r="O257" i="34"/>
  <c r="Q261" i="34"/>
  <c r="O265" i="34"/>
  <c r="Q371" i="34"/>
  <c r="O378" i="34"/>
  <c r="Q611" i="34"/>
  <c r="Q646" i="34"/>
  <c r="O651" i="34"/>
  <c r="Q683" i="34"/>
  <c r="Q687" i="34"/>
  <c r="Q723" i="34"/>
  <c r="Q772" i="34"/>
  <c r="O783" i="34"/>
  <c r="Q787" i="34"/>
  <c r="O803" i="34"/>
  <c r="Q812" i="34"/>
  <c r="Q144" i="34"/>
  <c r="Q149" i="34"/>
  <c r="Q161" i="34"/>
  <c r="Q186" i="34"/>
  <c r="Q197" i="34"/>
  <c r="Q208" i="34"/>
  <c r="O212" i="34"/>
  <c r="Q1146" i="34"/>
  <c r="Q1870" i="34"/>
  <c r="O1168" i="34"/>
  <c r="P1172" i="34"/>
  <c r="O1184" i="34"/>
  <c r="P1451" i="34"/>
  <c r="P1477" i="34"/>
  <c r="Q1557" i="34"/>
  <c r="O1665" i="34"/>
  <c r="Q1674" i="34"/>
  <c r="Q1680" i="34"/>
  <c r="Q563" i="34"/>
  <c r="Q573" i="34"/>
  <c r="Q629" i="34"/>
  <c r="Q1098" i="34"/>
  <c r="O29" i="34"/>
  <c r="Q33" i="34"/>
  <c r="Q889" i="34"/>
  <c r="Q400" i="34"/>
  <c r="Q404" i="34"/>
  <c r="Q420" i="34"/>
  <c r="Q35" i="34"/>
  <c r="Q43" i="34"/>
  <c r="O216" i="34"/>
  <c r="P225" i="34"/>
  <c r="Q229" i="34"/>
  <c r="Q258" i="34"/>
  <c r="Q367" i="34"/>
  <c r="Q653" i="34"/>
  <c r="Q688" i="34"/>
  <c r="Q748" i="34"/>
  <c r="O752" i="34"/>
  <c r="Q756" i="34"/>
  <c r="Q784" i="34"/>
  <c r="Q861" i="34"/>
  <c r="Q162" i="34"/>
  <c r="Q198" i="34"/>
  <c r="Q213" i="34"/>
  <c r="P61" i="34"/>
  <c r="P1116" i="34"/>
  <c r="P1124" i="34"/>
  <c r="P1132" i="34"/>
  <c r="P1444" i="34"/>
  <c r="P1643" i="34"/>
  <c r="O1169" i="34"/>
  <c r="P1173" i="34"/>
  <c r="P1448" i="34"/>
  <c r="Q1461" i="34"/>
  <c r="P1461" i="34"/>
  <c r="Q1478" i="34"/>
  <c r="P871" i="34"/>
  <c r="Q557" i="34"/>
  <c r="O557" i="34"/>
  <c r="P564" i="34"/>
  <c r="O570" i="34"/>
  <c r="P575" i="34"/>
  <c r="Q580" i="34"/>
  <c r="P580" i="34"/>
  <c r="P590" i="34"/>
  <c r="P600" i="34"/>
  <c r="P631" i="34"/>
  <c r="Q1095" i="34"/>
  <c r="P1095" i="34"/>
  <c r="O1099" i="34"/>
  <c r="P25" i="34"/>
  <c r="P30" i="34"/>
  <c r="O885" i="34"/>
  <c r="P890" i="34"/>
  <c r="P383" i="34"/>
  <c r="P392" i="34"/>
  <c r="O401" i="34"/>
  <c r="O405" i="34"/>
  <c r="O411" i="34"/>
  <c r="P422" i="34"/>
  <c r="P553" i="34"/>
  <c r="O36" i="34"/>
  <c r="Q40" i="34"/>
  <c r="P40" i="34"/>
  <c r="O44" i="34"/>
  <c r="P222" i="34"/>
  <c r="O222" i="34"/>
  <c r="P226" i="34"/>
  <c r="O230" i="34"/>
  <c r="P241" i="34"/>
  <c r="P259" i="34"/>
  <c r="O263" i="34"/>
  <c r="P369" i="34"/>
  <c r="O374" i="34"/>
  <c r="P609" i="34"/>
  <c r="P644" i="34"/>
  <c r="O648" i="34"/>
  <c r="P654" i="34"/>
  <c r="Q685" i="34"/>
  <c r="O685" i="34"/>
  <c r="O689" i="34"/>
  <c r="P721" i="34"/>
  <c r="O749" i="34"/>
  <c r="P753" i="34"/>
  <c r="P770" i="34"/>
  <c r="P778" i="34"/>
  <c r="P785" i="34"/>
  <c r="O790" i="34"/>
  <c r="P810" i="34"/>
  <c r="P862" i="34"/>
  <c r="O146" i="34"/>
  <c r="Q159" i="34"/>
  <c r="P159" i="34"/>
  <c r="O163" i="34"/>
  <c r="P184" i="34"/>
  <c r="Q195" i="34"/>
  <c r="P195" i="34"/>
  <c r="O199" i="34"/>
  <c r="O210" i="34"/>
  <c r="O605" i="34"/>
  <c r="Q644" i="34"/>
  <c r="Q721" i="34"/>
  <c r="O726" i="34"/>
  <c r="Q753" i="34"/>
  <c r="O774" i="34"/>
  <c r="Q785" i="34"/>
  <c r="O806" i="34"/>
  <c r="Q862" i="34"/>
  <c r="O152" i="34"/>
  <c r="O188" i="34"/>
  <c r="P1718" i="34"/>
  <c r="O1715" i="34"/>
  <c r="P1867" i="34"/>
  <c r="P53" i="34"/>
  <c r="Q1716" i="34"/>
  <c r="P1716" i="34"/>
  <c r="P1730" i="34"/>
  <c r="O1866" i="34"/>
  <c r="Q50" i="34"/>
  <c r="Q58" i="34"/>
  <c r="Q1105" i="34"/>
  <c r="Q1113" i="34"/>
  <c r="Q1121" i="34"/>
  <c r="Q1129" i="34"/>
  <c r="Q1144" i="34"/>
  <c r="Q1150" i="34"/>
  <c r="O1170" i="34"/>
  <c r="P1174" i="34"/>
  <c r="P1442" i="34"/>
  <c r="O1449" i="34"/>
  <c r="P1462" i="34"/>
  <c r="Q1480" i="34"/>
  <c r="Q1555" i="34"/>
  <c r="O1566" i="34"/>
  <c r="O1676" i="34"/>
  <c r="O883" i="34"/>
  <c r="O577" i="34"/>
  <c r="Q586" i="34"/>
  <c r="Q597" i="34"/>
  <c r="Q1096" i="34"/>
  <c r="O1100" i="34"/>
  <c r="Q31" i="34"/>
  <c r="Q379" i="34"/>
  <c r="Q389" i="34"/>
  <c r="Q402" i="34"/>
  <c r="Q412" i="34"/>
  <c r="Q417" i="34"/>
  <c r="Q550" i="34"/>
  <c r="O37" i="34"/>
  <c r="Q41" i="34"/>
  <c r="Q214" i="34"/>
  <c r="Q227" i="34"/>
  <c r="Q238" i="34"/>
  <c r="Q606" i="34"/>
  <c r="O682" i="34"/>
  <c r="O690" i="34"/>
  <c r="Q727" i="34"/>
  <c r="Q754" i="34"/>
  <c r="Q775" i="34"/>
  <c r="Q807" i="34"/>
  <c r="Q148" i="34"/>
  <c r="O156" i="34"/>
  <c r="Q160" i="34"/>
  <c r="Q181" i="34"/>
  <c r="Q189" i="34"/>
  <c r="Q196" i="34"/>
  <c r="O200" i="34"/>
  <c r="O1872" i="34"/>
  <c r="P45" i="34"/>
  <c r="P1104" i="34"/>
  <c r="O1727" i="34"/>
  <c r="Q1871" i="34"/>
  <c r="Q47" i="34"/>
  <c r="Q55" i="34"/>
  <c r="Q1102" i="34"/>
  <c r="Q1110" i="34"/>
  <c r="Q1118" i="34"/>
  <c r="Q1126" i="34"/>
  <c r="Q1145" i="34"/>
  <c r="O1869" i="34"/>
  <c r="O1171" i="34"/>
  <c r="O1183" i="34"/>
  <c r="P1222" i="34"/>
  <c r="Q1299" i="34"/>
  <c r="O1450" i="34"/>
  <c r="O1476" i="34"/>
  <c r="P1499" i="34"/>
  <c r="Q1556" i="34"/>
  <c r="O1653" i="34"/>
  <c r="P1673" i="34"/>
  <c r="O1678" i="34"/>
  <c r="P394" i="34"/>
  <c r="P561" i="34"/>
  <c r="P572" i="34"/>
  <c r="P578" i="34"/>
  <c r="O583" i="34"/>
  <c r="P587" i="34"/>
  <c r="O593" i="34"/>
  <c r="P598" i="34"/>
  <c r="O603" i="34"/>
  <c r="P639" i="34"/>
  <c r="O1097" i="34"/>
  <c r="P23" i="34"/>
  <c r="O27" i="34"/>
  <c r="O32" i="34"/>
  <c r="P887" i="34"/>
  <c r="P380" i="34"/>
  <c r="O385" i="34"/>
  <c r="P390" i="34"/>
  <c r="O398" i="34"/>
  <c r="O403" i="34"/>
  <c r="Q408" i="34"/>
  <c r="P413" i="34"/>
  <c r="P419" i="34"/>
  <c r="P556" i="34"/>
  <c r="P38" i="34"/>
  <c r="O42" i="34"/>
  <c r="O215" i="34"/>
  <c r="O224" i="34"/>
  <c r="P224" i="34"/>
  <c r="O228" i="34"/>
  <c r="O235" i="34"/>
  <c r="P239" i="34"/>
  <c r="P257" i="34"/>
  <c r="P265" i="34"/>
  <c r="P378" i="34"/>
  <c r="P607" i="34"/>
  <c r="O611" i="34"/>
  <c r="P651" i="34"/>
  <c r="O687" i="34"/>
  <c r="P719" i="34"/>
  <c r="O723" i="34"/>
  <c r="P728" i="34"/>
  <c r="Q751" i="34"/>
  <c r="P751" i="34"/>
  <c r="O755" i="34"/>
  <c r="O772" i="34"/>
  <c r="P776" i="34"/>
  <c r="P783" i="34"/>
  <c r="P803" i="34"/>
  <c r="P808" i="34"/>
  <c r="O812" i="34"/>
  <c r="O149" i="34"/>
  <c r="P157" i="34"/>
  <c r="O161" i="34"/>
  <c r="P182" i="34"/>
  <c r="O186" i="34"/>
  <c r="P193" i="34"/>
  <c r="O197" i="34"/>
  <c r="P212" i="34"/>
  <c r="P1500" i="34"/>
  <c r="Q48" i="34"/>
  <c r="P48" i="34"/>
  <c r="O52" i="34"/>
  <c r="Q56" i="34"/>
  <c r="P56" i="34"/>
  <c r="O60" i="34"/>
  <c r="Q1103" i="34"/>
  <c r="P1103" i="34"/>
  <c r="O1107" i="34"/>
  <c r="Q1111" i="34"/>
  <c r="P1111" i="34"/>
  <c r="O1115" i="34"/>
  <c r="Q1119" i="34"/>
  <c r="P1119" i="34"/>
  <c r="O1123" i="34"/>
  <c r="Q1127" i="34"/>
  <c r="P1127" i="34"/>
  <c r="O1131" i="34"/>
  <c r="O1146" i="34"/>
  <c r="O1642" i="34"/>
  <c r="O1870" i="34"/>
  <c r="Q1168" i="34"/>
  <c r="O1172" i="34"/>
  <c r="P1184" i="34"/>
  <c r="P1254" i="34"/>
  <c r="Q1297" i="34"/>
  <c r="P1297" i="34"/>
  <c r="P1447" i="34"/>
  <c r="O1451" i="34"/>
  <c r="O1477" i="34"/>
  <c r="P1497" i="34"/>
  <c r="O1557" i="34"/>
  <c r="Q1665" i="34"/>
  <c r="O1680" i="34"/>
  <c r="O395" i="34"/>
  <c r="O563" i="34"/>
  <c r="P569" i="34"/>
  <c r="O573" i="34"/>
  <c r="P579" i="34"/>
  <c r="Q584" i="34"/>
  <c r="P584" i="34"/>
  <c r="O588" i="34"/>
  <c r="Q594" i="34"/>
  <c r="P594" i="34"/>
  <c r="O599" i="34"/>
  <c r="O629" i="34"/>
  <c r="O640" i="34"/>
  <c r="O1098" i="34"/>
  <c r="O24" i="34"/>
  <c r="P29" i="34"/>
  <c r="O889" i="34"/>
  <c r="O382" i="34"/>
  <c r="Q386" i="34"/>
  <c r="P386" i="34"/>
  <c r="O391" i="34"/>
  <c r="O400" i="34"/>
  <c r="P409" i="34"/>
  <c r="O409" i="34"/>
  <c r="O415" i="34"/>
  <c r="O420" i="34"/>
  <c r="O552" i="34"/>
  <c r="O35" i="34"/>
  <c r="P39" i="34"/>
  <c r="O43" i="34"/>
  <c r="Q225" i="34"/>
  <c r="Q236" i="34"/>
  <c r="P236" i="34"/>
  <c r="O240" i="34"/>
  <c r="O258" i="34"/>
  <c r="P262" i="34"/>
  <c r="O367" i="34"/>
  <c r="P373" i="34"/>
  <c r="Q604" i="34"/>
  <c r="P604" i="34"/>
  <c r="O608" i="34"/>
  <c r="Q612" i="34"/>
  <c r="P612" i="34"/>
  <c r="P647" i="34"/>
  <c r="O653" i="34"/>
  <c r="P684" i="34"/>
  <c r="O688" i="34"/>
  <c r="O720" i="34"/>
  <c r="Q725" i="34"/>
  <c r="P725" i="34"/>
  <c r="P752" i="34"/>
  <c r="Q773" i="34"/>
  <c r="P773" i="34"/>
  <c r="O777" i="34"/>
  <c r="O784" i="34"/>
  <c r="P788" i="34"/>
  <c r="O804" i="34"/>
  <c r="O809" i="34"/>
  <c r="O861" i="34"/>
  <c r="P145" i="34"/>
  <c r="Q151" i="34"/>
  <c r="P151" i="34"/>
  <c r="P158" i="34"/>
  <c r="O162" i="34"/>
  <c r="O183" i="34"/>
  <c r="Q187" i="34"/>
  <c r="P187" i="34"/>
  <c r="P194" i="34"/>
  <c r="O198" i="34"/>
  <c r="P209" i="34"/>
  <c r="O213" i="34"/>
  <c r="O1728" i="34"/>
  <c r="P1743" i="34"/>
  <c r="O49" i="34"/>
  <c r="Q61" i="34"/>
  <c r="O1112" i="34"/>
  <c r="Q1116" i="34"/>
  <c r="O1120" i="34"/>
  <c r="Q1124" i="34"/>
  <c r="O1128" i="34"/>
  <c r="Q1132" i="34"/>
  <c r="Q1444" i="34"/>
  <c r="Q1643" i="34"/>
  <c r="O1865" i="34"/>
  <c r="Q1169" i="34"/>
  <c r="O1173" i="34"/>
  <c r="P1185" i="34"/>
  <c r="O1255" i="34"/>
  <c r="P1426" i="34"/>
  <c r="Q1448" i="34"/>
  <c r="O1498" i="34"/>
  <c r="Q1558" i="34"/>
  <c r="P1558" i="34"/>
  <c r="O1666" i="34"/>
  <c r="P1675" i="34"/>
  <c r="Q871" i="34"/>
  <c r="Q564" i="34"/>
  <c r="Q575" i="34"/>
  <c r="O585" i="34"/>
  <c r="Q590" i="34"/>
  <c r="O596" i="34"/>
  <c r="Q600" i="34"/>
  <c r="Q631" i="34"/>
  <c r="Q25" i="34"/>
  <c r="Q30" i="34"/>
  <c r="Q890" i="34"/>
  <c r="Q383" i="34"/>
  <c r="O388" i="34"/>
  <c r="Q392" i="34"/>
  <c r="Q411" i="34"/>
  <c r="Q422" i="34"/>
  <c r="O553" i="34"/>
  <c r="Q222" i="34"/>
  <c r="Q226" i="34"/>
  <c r="O237" i="34"/>
  <c r="Q241" i="34"/>
  <c r="Q259" i="34"/>
  <c r="Q369" i="34"/>
  <c r="Q609" i="34"/>
  <c r="Q654" i="34"/>
  <c r="Q770" i="34"/>
  <c r="Q778" i="34"/>
  <c r="Q810" i="34"/>
  <c r="Q184" i="34"/>
  <c r="Q1718" i="34"/>
  <c r="Q1867" i="34"/>
  <c r="Q53" i="34"/>
  <c r="O1108" i="34"/>
  <c r="Q1730" i="34"/>
  <c r="Q1866" i="34"/>
  <c r="Q1868" i="34"/>
  <c r="P1868" i="34"/>
  <c r="P46" i="34"/>
  <c r="O50" i="34"/>
  <c r="P54" i="34"/>
  <c r="O58" i="34"/>
  <c r="P1101" i="34"/>
  <c r="O1105" i="34"/>
  <c r="P1109" i="34"/>
  <c r="O1113" i="34"/>
  <c r="P1117" i="34"/>
  <c r="O1121" i="34"/>
  <c r="P1125" i="34"/>
  <c r="O1129" i="34"/>
  <c r="Q1445" i="34"/>
  <c r="P1445" i="34"/>
  <c r="P1641" i="34"/>
  <c r="O1150" i="34"/>
  <c r="Q1170" i="34"/>
  <c r="O1174" i="34"/>
  <c r="P1186" i="34"/>
  <c r="O1298" i="34"/>
  <c r="Q1442" i="34"/>
  <c r="Q1462" i="34"/>
  <c r="Q1566" i="34"/>
  <c r="O1667" i="34"/>
  <c r="Q1676" i="34"/>
  <c r="P883" i="34"/>
  <c r="P558" i="34"/>
  <c r="Q566" i="34"/>
  <c r="P566" i="34"/>
  <c r="O571" i="34"/>
  <c r="P577" i="34"/>
  <c r="P582" i="34"/>
  <c r="O586" i="34"/>
  <c r="P591" i="34"/>
  <c r="O597" i="34"/>
  <c r="P602" i="34"/>
  <c r="Q632" i="34"/>
  <c r="P632" i="34"/>
  <c r="P1100" i="34"/>
  <c r="P26" i="34"/>
  <c r="O31" i="34"/>
  <c r="O886" i="34"/>
  <c r="O379" i="34"/>
  <c r="P384" i="34"/>
  <c r="O389" i="34"/>
  <c r="P393" i="34"/>
  <c r="P402" i="34"/>
  <c r="Q407" i="34"/>
  <c r="O412" i="34"/>
  <c r="O550" i="34"/>
  <c r="Q554" i="34"/>
  <c r="P37" i="34"/>
  <c r="O214" i="34"/>
  <c r="P223" i="34"/>
  <c r="O227" i="34"/>
  <c r="P234" i="34"/>
  <c r="O238" i="34"/>
  <c r="P242" i="34"/>
  <c r="Q260" i="34"/>
  <c r="P260" i="34"/>
  <c r="O264" i="34"/>
  <c r="Q370" i="34"/>
  <c r="P370" i="34"/>
  <c r="O377" i="34"/>
  <c r="O606" i="34"/>
  <c r="P610" i="34"/>
  <c r="Q645" i="34"/>
  <c r="P645" i="34"/>
  <c r="O650" i="34"/>
  <c r="Q682" i="34"/>
  <c r="O686" i="34"/>
  <c r="P690" i="34"/>
  <c r="P722" i="34"/>
  <c r="O727" i="34"/>
  <c r="P750" i="34"/>
  <c r="O754" i="34"/>
  <c r="P771" i="34"/>
  <c r="O775" i="34"/>
  <c r="O782" i="34"/>
  <c r="Q786" i="34"/>
  <c r="P786" i="34"/>
  <c r="O791" i="34"/>
  <c r="O807" i="34"/>
  <c r="P811" i="34"/>
  <c r="Q869" i="34"/>
  <c r="P869" i="34"/>
  <c r="P156" i="34"/>
  <c r="O181" i="34"/>
  <c r="P185" i="34"/>
  <c r="O189" i="34"/>
  <c r="P200" i="34"/>
  <c r="O211" i="34"/>
  <c r="Q1872" i="34"/>
  <c r="O1729" i="34"/>
  <c r="Q45" i="34"/>
  <c r="O57" i="34"/>
  <c r="Q1104" i="34"/>
  <c r="O1717" i="34"/>
  <c r="P1471" i="34"/>
  <c r="O47" i="34"/>
  <c r="P51" i="34"/>
  <c r="O55" i="34"/>
  <c r="P59" i="34"/>
  <c r="O1102" i="34"/>
  <c r="P1106" i="34"/>
  <c r="O1110" i="34"/>
  <c r="P1114" i="34"/>
  <c r="O1118" i="34"/>
  <c r="P1122" i="34"/>
  <c r="O1126" i="34"/>
  <c r="P1130" i="34"/>
  <c r="O1145" i="34"/>
  <c r="O1441" i="34"/>
  <c r="P1869" i="34"/>
  <c r="O1151" i="34"/>
  <c r="Q1171" i="34"/>
  <c r="O1222" i="34"/>
  <c r="O1299" i="34"/>
  <c r="P1443" i="34"/>
  <c r="P1450" i="34"/>
  <c r="Q1476" i="34"/>
  <c r="O1499" i="34"/>
  <c r="O1556" i="34"/>
  <c r="Q1653" i="34"/>
  <c r="O1673" i="34"/>
  <c r="Q1678" i="34"/>
  <c r="Q394" i="34"/>
  <c r="Q561" i="34"/>
  <c r="O567" i="34"/>
  <c r="Q572" i="34"/>
  <c r="Q578" i="34"/>
  <c r="Q587" i="34"/>
  <c r="Q598" i="34"/>
  <c r="Q639" i="34"/>
  <c r="Q23" i="34"/>
  <c r="Q887" i="34"/>
  <c r="Q380" i="34"/>
  <c r="Q390" i="34"/>
  <c r="P403" i="34"/>
  <c r="Q413" i="34"/>
  <c r="Q419" i="34"/>
  <c r="O551" i="34"/>
  <c r="Q556" i="34"/>
  <c r="Q38" i="34"/>
  <c r="Q239" i="34"/>
  <c r="Q257" i="34"/>
  <c r="O261" i="34"/>
  <c r="Q265" i="34"/>
  <c r="O371" i="34"/>
  <c r="Q378" i="34"/>
  <c r="Q607" i="34"/>
  <c r="O646" i="34"/>
  <c r="Q651" i="34"/>
  <c r="O683" i="34"/>
  <c r="Q719" i="34"/>
  <c r="Q728" i="34"/>
  <c r="Q776" i="34"/>
  <c r="Q783" i="34"/>
  <c r="O787" i="34"/>
  <c r="Q803" i="34"/>
  <c r="Q808" i="34"/>
  <c r="O144" i="34"/>
  <c r="Q157" i="34"/>
  <c r="Q182" i="34"/>
  <c r="Q193" i="34"/>
  <c r="O208" i="34"/>
  <c r="Q212" i="34"/>
  <c r="Q1500" i="34"/>
  <c r="Q1172" i="34"/>
  <c r="Q1184" i="34"/>
  <c r="Q1254" i="34"/>
  <c r="Q1447" i="34"/>
  <c r="Q1451" i="34"/>
  <c r="Q1477" i="34"/>
  <c r="Q1497" i="34"/>
  <c r="P1674" i="34"/>
  <c r="Q569" i="34"/>
  <c r="Q579" i="34"/>
  <c r="Q29" i="34"/>
  <c r="O33" i="34"/>
  <c r="Q409" i="34"/>
  <c r="P415" i="34"/>
  <c r="Q39" i="34"/>
  <c r="Q216" i="34"/>
  <c r="O229" i="34"/>
  <c r="Q262" i="34"/>
  <c r="Q373" i="34"/>
  <c r="Q647" i="34"/>
  <c r="Q684" i="34"/>
  <c r="O748" i="34"/>
  <c r="Q752" i="34"/>
  <c r="O756" i="34"/>
  <c r="Q788" i="34"/>
  <c r="P804" i="34"/>
  <c r="Q145" i="34"/>
  <c r="Q158" i="34"/>
  <c r="Q194" i="34"/>
  <c r="Q209" i="34"/>
  <c r="O1743" i="34"/>
  <c r="P49" i="34"/>
  <c r="P1112" i="34"/>
  <c r="P1120" i="34"/>
  <c r="P1128" i="34"/>
  <c r="O1444" i="34"/>
  <c r="P1865" i="34"/>
  <c r="Q1173" i="34"/>
  <c r="O1185" i="34"/>
  <c r="O1426" i="34"/>
  <c r="O1448" i="34"/>
  <c r="O1461" i="34"/>
  <c r="P1478" i="34"/>
  <c r="O1675" i="34"/>
  <c r="O871" i="34"/>
  <c r="P557" i="34"/>
  <c r="O564" i="34"/>
  <c r="P570" i="34"/>
  <c r="O575" i="34"/>
  <c r="O580" i="34"/>
  <c r="P585" i="34"/>
  <c r="P596" i="34"/>
  <c r="O631" i="34"/>
  <c r="O1095" i="34"/>
  <c r="Q1099" i="34"/>
  <c r="P1099" i="34"/>
  <c r="O30" i="34"/>
  <c r="P885" i="34"/>
  <c r="O890" i="34"/>
  <c r="P388" i="34"/>
  <c r="Q401" i="34"/>
  <c r="P401" i="34"/>
  <c r="P405" i="34"/>
  <c r="P411" i="34"/>
  <c r="O422" i="34"/>
  <c r="Q36" i="34"/>
  <c r="P36" i="34"/>
  <c r="O40" i="34"/>
  <c r="Q44" i="34"/>
  <c r="P44" i="34"/>
  <c r="O226" i="34"/>
  <c r="P230" i="34"/>
  <c r="P237" i="34"/>
  <c r="O259" i="34"/>
  <c r="P263" i="34"/>
  <c r="O369" i="34"/>
  <c r="P374" i="34"/>
  <c r="P605" i="34"/>
  <c r="O644" i="34"/>
  <c r="P648" i="34"/>
  <c r="O654" i="34"/>
  <c r="P685" i="34"/>
  <c r="Q689" i="34"/>
  <c r="P689" i="34"/>
  <c r="P726" i="34"/>
  <c r="P749" i="34"/>
  <c r="O753" i="34"/>
  <c r="P774" i="34"/>
  <c r="O785" i="34"/>
  <c r="P790" i="34"/>
  <c r="P806" i="34"/>
  <c r="O862" i="34"/>
  <c r="P146" i="34"/>
  <c r="P152" i="34"/>
  <c r="O159" i="34"/>
  <c r="Q163" i="34"/>
  <c r="P163" i="34"/>
  <c r="P188" i="34"/>
  <c r="O195" i="34"/>
  <c r="Q199" i="34"/>
  <c r="P199" i="34"/>
  <c r="P210" i="34"/>
  <c r="Q648" i="34"/>
  <c r="O721" i="34"/>
  <c r="Q749" i="34"/>
  <c r="Q774" i="34"/>
  <c r="Q790" i="34"/>
  <c r="O810" i="34"/>
  <c r="Q146" i="34"/>
  <c r="O184" i="34"/>
  <c r="Q188" i="34"/>
  <c r="Q210" i="34"/>
  <c r="Q1139" i="34"/>
  <c r="P1139" i="34"/>
  <c r="P99" i="34"/>
  <c r="O98" i="34"/>
  <c r="O127" i="34"/>
  <c r="O615" i="34"/>
  <c r="Q99" i="34"/>
  <c r="P127" i="34"/>
  <c r="O1139" i="34"/>
  <c r="O99" i="34"/>
  <c r="P98" i="34"/>
  <c r="Q127" i="34"/>
  <c r="P615" i="34"/>
  <c r="Q98" i="34"/>
  <c r="Q615" i="34"/>
  <c r="O1668" i="34"/>
  <c r="P1731" i="34"/>
  <c r="Q1828" i="34"/>
  <c r="P1828" i="34"/>
  <c r="O1744" i="34"/>
  <c r="P1152" i="34"/>
  <c r="Q1731" i="34"/>
  <c r="Q1152" i="34"/>
  <c r="O1567" i="34"/>
  <c r="P1744" i="34"/>
  <c r="P1668" i="34"/>
  <c r="O1731" i="34"/>
  <c r="O1828" i="34"/>
  <c r="Q1744" i="34"/>
  <c r="P1567" i="34"/>
  <c r="Q1668" i="34"/>
  <c r="O1152" i="34"/>
  <c r="Q1567" i="34"/>
  <c r="P65" i="34"/>
  <c r="Q65" i="34"/>
  <c r="O65" i="34"/>
  <c r="P614" i="34"/>
  <c r="O1133" i="34"/>
  <c r="P1138" i="34"/>
  <c r="P613" i="34"/>
  <c r="Q613" i="34"/>
  <c r="Q614" i="34"/>
  <c r="O613" i="34"/>
  <c r="Q1138" i="34"/>
  <c r="O1138" i="34"/>
  <c r="O614" i="34"/>
  <c r="P1133" i="34"/>
  <c r="Q1133" i="34"/>
  <c r="O137" i="34"/>
  <c r="P138" i="34"/>
  <c r="Q138" i="34"/>
  <c r="P137" i="34"/>
  <c r="O138" i="34"/>
  <c r="Q137" i="34"/>
  <c r="Q219" i="34"/>
  <c r="P219" i="34"/>
  <c r="O139" i="34"/>
  <c r="P139" i="34"/>
  <c r="Q139" i="34"/>
  <c r="O219" i="34"/>
  <c r="O90" i="34"/>
  <c r="P91" i="34"/>
  <c r="Q91" i="34"/>
  <c r="P90" i="34"/>
  <c r="O91" i="34"/>
  <c r="Q90" i="34"/>
  <c r="Q906" i="34"/>
  <c r="U906" i="34"/>
  <c r="Z906" i="34"/>
  <c r="O906" i="34"/>
  <c r="W906" i="34"/>
  <c r="P906" i="34"/>
  <c r="P846" i="34"/>
  <c r="Q846" i="34"/>
  <c r="U846" i="34"/>
  <c r="Z846" i="34"/>
  <c r="O846" i="34"/>
  <c r="W846" i="34"/>
  <c r="P819" i="34"/>
  <c r="Q819" i="34"/>
  <c r="U819" i="34"/>
  <c r="Z819" i="34"/>
  <c r="O819" i="34"/>
  <c r="W819" i="34"/>
  <c r="O897" i="34"/>
  <c r="W897" i="34"/>
  <c r="P897" i="34"/>
  <c r="Q897" i="34"/>
  <c r="U897" i="34"/>
  <c r="Z897" i="34"/>
  <c r="O893" i="34"/>
  <c r="W893" i="34"/>
  <c r="P893" i="34"/>
  <c r="Q893" i="34"/>
  <c r="U893" i="34"/>
  <c r="Z893" i="34"/>
  <c r="Z881" i="34"/>
  <c r="O881" i="34"/>
  <c r="W881" i="34"/>
  <c r="P881" i="34"/>
  <c r="Q881" i="34"/>
  <c r="U881" i="34"/>
  <c r="Z876" i="34"/>
  <c r="O876" i="34"/>
  <c r="W876" i="34"/>
  <c r="P876" i="34"/>
  <c r="Q876" i="34"/>
  <c r="U876" i="34"/>
  <c r="Z872" i="34"/>
  <c r="O872" i="34"/>
  <c r="W872" i="34"/>
  <c r="P872" i="34"/>
  <c r="Q872" i="34"/>
  <c r="U872" i="34"/>
  <c r="O857" i="34"/>
  <c r="W857" i="34"/>
  <c r="P857" i="34"/>
  <c r="Q857" i="34"/>
  <c r="U857" i="34"/>
  <c r="Z857" i="34"/>
  <c r="O851" i="34"/>
  <c r="W851" i="34"/>
  <c r="P851" i="34"/>
  <c r="Q851" i="34"/>
  <c r="U851" i="34"/>
  <c r="Z851" i="34"/>
  <c r="Z800" i="34"/>
  <c r="O800" i="34"/>
  <c r="W800" i="34"/>
  <c r="P800" i="34"/>
  <c r="Q800" i="34"/>
  <c r="U800" i="34"/>
  <c r="P796" i="34"/>
  <c r="Z796" i="34"/>
  <c r="O796" i="34"/>
  <c r="W796" i="34"/>
  <c r="Q796" i="34"/>
  <c r="U796" i="34"/>
  <c r="P739" i="34"/>
  <c r="Q739" i="34"/>
  <c r="U739" i="34"/>
  <c r="Z739" i="34"/>
  <c r="O739" i="34"/>
  <c r="W739" i="34"/>
  <c r="O718" i="34"/>
  <c r="W718" i="34"/>
  <c r="P718" i="34"/>
  <c r="Q718" i="34"/>
  <c r="U718" i="34"/>
  <c r="Z718" i="34"/>
  <c r="O714" i="34"/>
  <c r="W714" i="34"/>
  <c r="P714" i="34"/>
  <c r="Q714" i="34"/>
  <c r="U714" i="34"/>
  <c r="Z714" i="34"/>
  <c r="P815" i="34"/>
  <c r="Q815" i="34"/>
  <c r="U815" i="34"/>
  <c r="Z815" i="34"/>
  <c r="O815" i="34"/>
  <c r="W815" i="34"/>
  <c r="P766" i="34"/>
  <c r="Q766" i="34"/>
  <c r="U766" i="34"/>
  <c r="Z766" i="34"/>
  <c r="O766" i="34"/>
  <c r="W766" i="34"/>
  <c r="O744" i="34"/>
  <c r="W744" i="34"/>
  <c r="P744" i="34"/>
  <c r="Q744" i="34"/>
  <c r="U744" i="34"/>
  <c r="Z744" i="34"/>
  <c r="O740" i="34"/>
  <c r="W740" i="34"/>
  <c r="P740" i="34"/>
  <c r="Q740" i="34"/>
  <c r="U740" i="34"/>
  <c r="Z740" i="34"/>
  <c r="O709" i="34"/>
  <c r="W709" i="34"/>
  <c r="P709" i="34"/>
  <c r="Q709" i="34"/>
  <c r="U709" i="34"/>
  <c r="Z709" i="34"/>
  <c r="O705" i="34"/>
  <c r="W705" i="34"/>
  <c r="P705" i="34"/>
  <c r="Q705" i="34"/>
  <c r="U705" i="34"/>
  <c r="Z705" i="34"/>
  <c r="Z697" i="34"/>
  <c r="O697" i="34"/>
  <c r="W697" i="34"/>
  <c r="P697" i="34"/>
  <c r="Q697" i="34"/>
  <c r="U697" i="34"/>
  <c r="O691" i="34"/>
  <c r="W691" i="34"/>
  <c r="P691" i="34"/>
  <c r="Q691" i="34"/>
  <c r="U691" i="34"/>
  <c r="Z691" i="34"/>
  <c r="Z677" i="34"/>
  <c r="O677" i="34"/>
  <c r="W677" i="34"/>
  <c r="P677" i="34"/>
  <c r="Q677" i="34"/>
  <c r="U677" i="34"/>
  <c r="Z672" i="34"/>
  <c r="O672" i="34"/>
  <c r="W672" i="34"/>
  <c r="P672" i="34"/>
  <c r="Q672" i="34"/>
  <c r="U672" i="34"/>
  <c r="P273" i="34"/>
  <c r="Q273" i="34"/>
  <c r="U273" i="34"/>
  <c r="Z273" i="34"/>
  <c r="O273" i="34"/>
  <c r="W273" i="34"/>
  <c r="O254" i="34"/>
  <c r="W254" i="34"/>
  <c r="P254" i="34"/>
  <c r="Q254" i="34"/>
  <c r="U254" i="34"/>
  <c r="Z254" i="34"/>
  <c r="O246" i="34"/>
  <c r="W246" i="34"/>
  <c r="P246" i="34"/>
  <c r="Q246" i="34"/>
  <c r="U246" i="34"/>
  <c r="Z246" i="34"/>
  <c r="Q207" i="34"/>
  <c r="U207" i="34"/>
  <c r="Z207" i="34"/>
  <c r="O207" i="34"/>
  <c r="W207" i="34"/>
  <c r="P207" i="34"/>
  <c r="Z251" i="34"/>
  <c r="O251" i="34"/>
  <c r="W251" i="34"/>
  <c r="P251" i="34"/>
  <c r="Q251" i="34"/>
  <c r="U251" i="34"/>
  <c r="P642" i="34"/>
  <c r="Q642" i="34"/>
  <c r="U642" i="34"/>
  <c r="Z642" i="34"/>
  <c r="O642" i="34"/>
  <c r="W642" i="34"/>
  <c r="P712" i="34"/>
  <c r="Q712" i="34"/>
  <c r="U712" i="34"/>
  <c r="Z712" i="34"/>
  <c r="O712" i="34"/>
  <c r="W712" i="34"/>
  <c r="Z663" i="34"/>
  <c r="O663" i="34"/>
  <c r="W663" i="34"/>
  <c r="P663" i="34"/>
  <c r="Q663" i="34"/>
  <c r="U663" i="34"/>
  <c r="P656" i="34"/>
  <c r="Q656" i="34"/>
  <c r="U656" i="34"/>
  <c r="Z656" i="34"/>
  <c r="O656" i="34"/>
  <c r="W656" i="34"/>
  <c r="Z905" i="34"/>
  <c r="O905" i="34"/>
  <c r="W905" i="34"/>
  <c r="P905" i="34"/>
  <c r="Q905" i="34"/>
  <c r="U905" i="34"/>
  <c r="Q822" i="34"/>
  <c r="U822" i="34"/>
  <c r="Z822" i="34"/>
  <c r="O822" i="34"/>
  <c r="W822" i="34"/>
  <c r="P822" i="34"/>
  <c r="P902" i="34"/>
  <c r="Q902" i="34"/>
  <c r="U902" i="34"/>
  <c r="Z902" i="34"/>
  <c r="O902" i="34"/>
  <c r="W902" i="34"/>
  <c r="P900" i="34"/>
  <c r="Q900" i="34"/>
  <c r="U900" i="34"/>
  <c r="Z900" i="34"/>
  <c r="O900" i="34"/>
  <c r="W900" i="34"/>
  <c r="P896" i="34"/>
  <c r="Q896" i="34"/>
  <c r="U896" i="34"/>
  <c r="Z896" i="34"/>
  <c r="O896" i="34"/>
  <c r="W896" i="34"/>
  <c r="P892" i="34"/>
  <c r="Q892" i="34"/>
  <c r="U892" i="34"/>
  <c r="Z892" i="34"/>
  <c r="O892" i="34"/>
  <c r="W892" i="34"/>
  <c r="O880" i="34"/>
  <c r="W880" i="34"/>
  <c r="P880" i="34"/>
  <c r="Q880" i="34"/>
  <c r="U880" i="34"/>
  <c r="Z880" i="34"/>
  <c r="O875" i="34"/>
  <c r="W875" i="34"/>
  <c r="P875" i="34"/>
  <c r="Q875" i="34"/>
  <c r="U875" i="34"/>
  <c r="Z875" i="34"/>
  <c r="P860" i="34"/>
  <c r="Q860" i="34"/>
  <c r="U860" i="34"/>
  <c r="Z860" i="34"/>
  <c r="O860" i="34"/>
  <c r="W860" i="34"/>
  <c r="P855" i="34"/>
  <c r="Q855" i="34"/>
  <c r="U855" i="34"/>
  <c r="Z855" i="34"/>
  <c r="O855" i="34"/>
  <c r="W855" i="34"/>
  <c r="P850" i="34"/>
  <c r="Q850" i="34"/>
  <c r="U850" i="34"/>
  <c r="Z850" i="34"/>
  <c r="O850" i="34"/>
  <c r="W850" i="34"/>
  <c r="O799" i="34"/>
  <c r="W799" i="34"/>
  <c r="P799" i="34"/>
  <c r="Q799" i="34"/>
  <c r="U799" i="34"/>
  <c r="Z799" i="34"/>
  <c r="Q795" i="34"/>
  <c r="U795" i="34"/>
  <c r="O795" i="34"/>
  <c r="W795" i="34"/>
  <c r="P795" i="34"/>
  <c r="Z795" i="34"/>
  <c r="Q738" i="34"/>
  <c r="U738" i="34"/>
  <c r="Z738" i="34"/>
  <c r="O738" i="34"/>
  <c r="W738" i="34"/>
  <c r="P738" i="34"/>
  <c r="P717" i="34"/>
  <c r="Q717" i="34"/>
  <c r="U717" i="34"/>
  <c r="Z717" i="34"/>
  <c r="O717" i="34"/>
  <c r="W717" i="34"/>
  <c r="Q818" i="34"/>
  <c r="U818" i="34"/>
  <c r="Z818" i="34"/>
  <c r="O818" i="34"/>
  <c r="W818" i="34"/>
  <c r="P818" i="34"/>
  <c r="Q769" i="34"/>
  <c r="U769" i="34"/>
  <c r="Z769" i="34"/>
  <c r="O769" i="34"/>
  <c r="W769" i="34"/>
  <c r="P769" i="34"/>
  <c r="Q765" i="34"/>
  <c r="U765" i="34"/>
  <c r="Z765" i="34"/>
  <c r="O765" i="34"/>
  <c r="W765" i="34"/>
  <c r="P765" i="34"/>
  <c r="P743" i="34"/>
  <c r="Q743" i="34"/>
  <c r="U743" i="34"/>
  <c r="Z743" i="34"/>
  <c r="O743" i="34"/>
  <c r="W743" i="34"/>
  <c r="P730" i="34"/>
  <c r="Q730" i="34"/>
  <c r="U730" i="34"/>
  <c r="Z730" i="34"/>
  <c r="O730" i="34"/>
  <c r="W730" i="34"/>
  <c r="P708" i="34"/>
  <c r="Q708" i="34"/>
  <c r="U708" i="34"/>
  <c r="Z708" i="34"/>
  <c r="O708" i="34"/>
  <c r="W708" i="34"/>
  <c r="P704" i="34"/>
  <c r="Q704" i="34"/>
  <c r="U704" i="34"/>
  <c r="Z704" i="34"/>
  <c r="O704" i="34"/>
  <c r="W704" i="34"/>
  <c r="O696" i="34"/>
  <c r="W696" i="34"/>
  <c r="P696" i="34"/>
  <c r="Q696" i="34"/>
  <c r="U696" i="34"/>
  <c r="Z696" i="34"/>
  <c r="Z681" i="34"/>
  <c r="O681" i="34"/>
  <c r="W681" i="34"/>
  <c r="Q681" i="34"/>
  <c r="U681" i="34"/>
  <c r="P681" i="34"/>
  <c r="O676" i="34"/>
  <c r="W676" i="34"/>
  <c r="P676" i="34"/>
  <c r="Q676" i="34"/>
  <c r="U676" i="34"/>
  <c r="Z676" i="34"/>
  <c r="O658" i="34"/>
  <c r="W658" i="34"/>
  <c r="P658" i="34"/>
  <c r="Q658" i="34"/>
  <c r="U658" i="34"/>
  <c r="Z658" i="34"/>
  <c r="Q272" i="34"/>
  <c r="U272" i="34"/>
  <c r="Z272" i="34"/>
  <c r="O272" i="34"/>
  <c r="W272" i="34"/>
  <c r="P272" i="34"/>
  <c r="P253" i="34"/>
  <c r="Q253" i="34"/>
  <c r="U253" i="34"/>
  <c r="Z253" i="34"/>
  <c r="O253" i="34"/>
  <c r="W253" i="34"/>
  <c r="P245" i="34"/>
  <c r="Q245" i="34"/>
  <c r="U245" i="34"/>
  <c r="Z245" i="34"/>
  <c r="O245" i="34"/>
  <c r="W245" i="34"/>
  <c r="P220" i="34"/>
  <c r="Z220" i="34"/>
  <c r="O220" i="34"/>
  <c r="W220" i="34"/>
  <c r="Q220" i="34"/>
  <c r="U220" i="34"/>
  <c r="Q252" i="34"/>
  <c r="U252" i="34"/>
  <c r="Z252" i="34"/>
  <c r="O252" i="34"/>
  <c r="W252" i="34"/>
  <c r="P252" i="34"/>
  <c r="O701" i="34"/>
  <c r="W701" i="34"/>
  <c r="P701" i="34"/>
  <c r="Q701" i="34"/>
  <c r="U701" i="34"/>
  <c r="Z701" i="34"/>
  <c r="Z1134" i="34"/>
  <c r="O1134" i="34"/>
  <c r="W1134" i="34"/>
  <c r="P1134" i="34"/>
  <c r="Q1134" i="34"/>
  <c r="U1134" i="34"/>
  <c r="Q664" i="34"/>
  <c r="U664" i="34"/>
  <c r="Z664" i="34"/>
  <c r="O664" i="34"/>
  <c r="W664" i="34"/>
  <c r="P664" i="34"/>
  <c r="Q669" i="34"/>
  <c r="U669" i="34"/>
  <c r="Z669" i="34"/>
  <c r="O669" i="34"/>
  <c r="W669" i="34"/>
  <c r="P669" i="34"/>
  <c r="O903" i="34"/>
  <c r="W903" i="34"/>
  <c r="P903" i="34"/>
  <c r="Q903" i="34"/>
  <c r="U903" i="34"/>
  <c r="Z903" i="34"/>
  <c r="Z821" i="34"/>
  <c r="O821" i="34"/>
  <c r="W821" i="34"/>
  <c r="P821" i="34"/>
  <c r="Q821" i="34"/>
  <c r="U821" i="34"/>
  <c r="Q901" i="34"/>
  <c r="U901" i="34"/>
  <c r="Z901" i="34"/>
  <c r="O901" i="34"/>
  <c r="W901" i="34"/>
  <c r="P901" i="34"/>
  <c r="Q899" i="34"/>
  <c r="U899" i="34"/>
  <c r="Z899" i="34"/>
  <c r="O899" i="34"/>
  <c r="W899" i="34"/>
  <c r="P899" i="34"/>
  <c r="Q895" i="34"/>
  <c r="U895" i="34"/>
  <c r="Z895" i="34"/>
  <c r="O895" i="34"/>
  <c r="W895" i="34"/>
  <c r="P895" i="34"/>
  <c r="Q891" i="34"/>
  <c r="U891" i="34"/>
  <c r="Z891" i="34"/>
  <c r="O891" i="34"/>
  <c r="W891" i="34"/>
  <c r="P891" i="34"/>
  <c r="P878" i="34"/>
  <c r="Q878" i="34"/>
  <c r="U878" i="34"/>
  <c r="Z878" i="34"/>
  <c r="O878" i="34"/>
  <c r="W878" i="34"/>
  <c r="P874" i="34"/>
  <c r="Q874" i="34"/>
  <c r="U874" i="34"/>
  <c r="Z874" i="34"/>
  <c r="O874" i="34"/>
  <c r="W874" i="34"/>
  <c r="Q859" i="34"/>
  <c r="U859" i="34"/>
  <c r="Z859" i="34"/>
  <c r="O859" i="34"/>
  <c r="W859" i="34"/>
  <c r="P859" i="34"/>
  <c r="Q854" i="34"/>
  <c r="U854" i="34"/>
  <c r="Z854" i="34"/>
  <c r="O854" i="34"/>
  <c r="W854" i="34"/>
  <c r="P854" i="34"/>
  <c r="Q849" i="34"/>
  <c r="U849" i="34"/>
  <c r="Z849" i="34"/>
  <c r="O849" i="34"/>
  <c r="W849" i="34"/>
  <c r="P849" i="34"/>
  <c r="P798" i="34"/>
  <c r="Q798" i="34"/>
  <c r="U798" i="34"/>
  <c r="O798" i="34"/>
  <c r="Z798" i="34"/>
  <c r="W798" i="34"/>
  <c r="Z794" i="34"/>
  <c r="O794" i="34"/>
  <c r="P794" i="34"/>
  <c r="Q794" i="34"/>
  <c r="U794" i="34"/>
  <c r="W794" i="34"/>
  <c r="Z737" i="34"/>
  <c r="O737" i="34"/>
  <c r="W737" i="34"/>
  <c r="P737" i="34"/>
  <c r="Q737" i="34"/>
  <c r="U737" i="34"/>
  <c r="Q716" i="34"/>
  <c r="U716" i="34"/>
  <c r="Z716" i="34"/>
  <c r="O716" i="34"/>
  <c r="W716" i="34"/>
  <c r="P716" i="34"/>
  <c r="Z817" i="34"/>
  <c r="O817" i="34"/>
  <c r="W817" i="34"/>
  <c r="P817" i="34"/>
  <c r="Q817" i="34"/>
  <c r="U817" i="34"/>
  <c r="Z768" i="34"/>
  <c r="O768" i="34"/>
  <c r="W768" i="34"/>
  <c r="P768" i="34"/>
  <c r="Q768" i="34"/>
  <c r="U768" i="34"/>
  <c r="Z763" i="34"/>
  <c r="O763" i="34"/>
  <c r="W763" i="34"/>
  <c r="P763" i="34"/>
  <c r="Q763" i="34"/>
  <c r="U763" i="34"/>
  <c r="Z732" i="34"/>
  <c r="O732" i="34"/>
  <c r="W732" i="34"/>
  <c r="P732" i="34"/>
  <c r="Q732" i="34"/>
  <c r="U732" i="34"/>
  <c r="Q729" i="34"/>
  <c r="U729" i="34"/>
  <c r="Z729" i="34"/>
  <c r="O729" i="34"/>
  <c r="W729" i="34"/>
  <c r="P729" i="34"/>
  <c r="Q707" i="34"/>
  <c r="U707" i="34"/>
  <c r="Z707" i="34"/>
  <c r="O707" i="34"/>
  <c r="W707" i="34"/>
  <c r="P707" i="34"/>
  <c r="P700" i="34"/>
  <c r="Q700" i="34"/>
  <c r="U700" i="34"/>
  <c r="Z700" i="34"/>
  <c r="O700" i="34"/>
  <c r="W700" i="34"/>
  <c r="P694" i="34"/>
  <c r="Q694" i="34"/>
  <c r="U694" i="34"/>
  <c r="Z694" i="34"/>
  <c r="O694" i="34"/>
  <c r="W694" i="34"/>
  <c r="O680" i="34"/>
  <c r="W680" i="34"/>
  <c r="P680" i="34"/>
  <c r="Z680" i="34"/>
  <c r="Q680" i="34"/>
  <c r="U680" i="34"/>
  <c r="P675" i="34"/>
  <c r="Q675" i="34"/>
  <c r="U675" i="34"/>
  <c r="Z675" i="34"/>
  <c r="O675" i="34"/>
  <c r="W675" i="34"/>
  <c r="P1136" i="34"/>
  <c r="Q1136" i="34"/>
  <c r="U1136" i="34"/>
  <c r="Z1136" i="34"/>
  <c r="O1136" i="34"/>
  <c r="W1136" i="34"/>
  <c r="Q256" i="34"/>
  <c r="U256" i="34"/>
  <c r="Z256" i="34"/>
  <c r="O256" i="34"/>
  <c r="W256" i="34"/>
  <c r="P256" i="34"/>
  <c r="P249" i="34"/>
  <c r="Q249" i="34"/>
  <c r="U249" i="34"/>
  <c r="Z249" i="34"/>
  <c r="O249" i="34"/>
  <c r="W249" i="34"/>
  <c r="Q244" i="34"/>
  <c r="U244" i="34"/>
  <c r="Z244" i="34"/>
  <c r="O244" i="34"/>
  <c r="W244" i="34"/>
  <c r="P244" i="34"/>
  <c r="Z247" i="34"/>
  <c r="O247" i="34"/>
  <c r="W247" i="34"/>
  <c r="P247" i="34"/>
  <c r="Q247" i="34"/>
  <c r="U247" i="34"/>
  <c r="Z746" i="34"/>
  <c r="O746" i="34"/>
  <c r="W746" i="34"/>
  <c r="P746" i="34"/>
  <c r="Q746" i="34"/>
  <c r="U746" i="34"/>
  <c r="Z702" i="34"/>
  <c r="O702" i="34"/>
  <c r="W702" i="34"/>
  <c r="P702" i="34"/>
  <c r="Q702" i="34"/>
  <c r="U702" i="34"/>
  <c r="P661" i="34"/>
  <c r="Q661" i="34"/>
  <c r="U661" i="34"/>
  <c r="Z661" i="34"/>
  <c r="O661" i="34"/>
  <c r="W661" i="34"/>
  <c r="P665" i="34"/>
  <c r="Q665" i="34"/>
  <c r="U665" i="34"/>
  <c r="Z665" i="34"/>
  <c r="O665" i="34"/>
  <c r="W665" i="34"/>
  <c r="P670" i="34"/>
  <c r="Q670" i="34"/>
  <c r="U670" i="34"/>
  <c r="Z670" i="34"/>
  <c r="O670" i="34"/>
  <c r="W670" i="34"/>
  <c r="O847" i="34"/>
  <c r="W847" i="34"/>
  <c r="P847" i="34"/>
  <c r="Q847" i="34"/>
  <c r="U847" i="34"/>
  <c r="Z847" i="34"/>
  <c r="O820" i="34"/>
  <c r="W820" i="34"/>
  <c r="P820" i="34"/>
  <c r="Q820" i="34"/>
  <c r="U820" i="34"/>
  <c r="Z820" i="34"/>
  <c r="Z898" i="34"/>
  <c r="O898" i="34"/>
  <c r="W898" i="34"/>
  <c r="P898" i="34"/>
  <c r="Q898" i="34"/>
  <c r="U898" i="34"/>
  <c r="Z894" i="34"/>
  <c r="O894" i="34"/>
  <c r="W894" i="34"/>
  <c r="P894" i="34"/>
  <c r="Q894" i="34"/>
  <c r="U894" i="34"/>
  <c r="Q882" i="34"/>
  <c r="U882" i="34"/>
  <c r="Z882" i="34"/>
  <c r="O882" i="34"/>
  <c r="W882" i="34"/>
  <c r="P882" i="34"/>
  <c r="Q877" i="34"/>
  <c r="U877" i="34"/>
  <c r="Z877" i="34"/>
  <c r="O877" i="34"/>
  <c r="W877" i="34"/>
  <c r="P877" i="34"/>
  <c r="Q873" i="34"/>
  <c r="U873" i="34"/>
  <c r="Z873" i="34"/>
  <c r="O873" i="34"/>
  <c r="W873" i="34"/>
  <c r="P873" i="34"/>
  <c r="Z858" i="34"/>
  <c r="O858" i="34"/>
  <c r="W858" i="34"/>
  <c r="P858" i="34"/>
  <c r="Q858" i="34"/>
  <c r="U858" i="34"/>
  <c r="Z852" i="34"/>
  <c r="O852" i="34"/>
  <c r="W852" i="34"/>
  <c r="P852" i="34"/>
  <c r="Q852" i="34"/>
  <c r="U852" i="34"/>
  <c r="Q801" i="34"/>
  <c r="U801" i="34"/>
  <c r="Z801" i="34"/>
  <c r="O801" i="34"/>
  <c r="P801" i="34"/>
  <c r="W801" i="34"/>
  <c r="O797" i="34"/>
  <c r="W797" i="34"/>
  <c r="Q797" i="34"/>
  <c r="U797" i="34"/>
  <c r="Z797" i="34"/>
  <c r="P797" i="34"/>
  <c r="O793" i="34"/>
  <c r="W793" i="34"/>
  <c r="P793" i="34"/>
  <c r="Q793" i="34"/>
  <c r="U793" i="34"/>
  <c r="Z793" i="34"/>
  <c r="O736" i="34"/>
  <c r="W736" i="34"/>
  <c r="P736" i="34"/>
  <c r="Q736" i="34"/>
  <c r="U736" i="34"/>
  <c r="Z736" i="34"/>
  <c r="Z715" i="34"/>
  <c r="O715" i="34"/>
  <c r="W715" i="34"/>
  <c r="P715" i="34"/>
  <c r="Q715" i="34"/>
  <c r="U715" i="34"/>
  <c r="O816" i="34"/>
  <c r="W816" i="34"/>
  <c r="P816" i="34"/>
  <c r="Q816" i="34"/>
  <c r="U816" i="34"/>
  <c r="Z816" i="34"/>
  <c r="O767" i="34"/>
  <c r="W767" i="34"/>
  <c r="P767" i="34"/>
  <c r="Q767" i="34"/>
  <c r="U767" i="34"/>
  <c r="Z767" i="34"/>
  <c r="O762" i="34"/>
  <c r="W762" i="34"/>
  <c r="P762" i="34"/>
  <c r="Q762" i="34"/>
  <c r="U762" i="34"/>
  <c r="Z762" i="34"/>
  <c r="Z741" i="34"/>
  <c r="O741" i="34"/>
  <c r="W741" i="34"/>
  <c r="P741" i="34"/>
  <c r="Q741" i="34"/>
  <c r="U741" i="34"/>
  <c r="Z710" i="34"/>
  <c r="O710" i="34"/>
  <c r="W710" i="34"/>
  <c r="P710" i="34"/>
  <c r="Q710" i="34"/>
  <c r="U710" i="34"/>
  <c r="Z706" i="34"/>
  <c r="O706" i="34"/>
  <c r="W706" i="34"/>
  <c r="P706" i="34"/>
  <c r="Q706" i="34"/>
  <c r="U706" i="34"/>
  <c r="Q699" i="34"/>
  <c r="U699" i="34"/>
  <c r="Z699" i="34"/>
  <c r="O699" i="34"/>
  <c r="W699" i="34"/>
  <c r="P699" i="34"/>
  <c r="Z692" i="34"/>
  <c r="O692" i="34"/>
  <c r="W692" i="34"/>
  <c r="P692" i="34"/>
  <c r="Q692" i="34"/>
  <c r="U692" i="34"/>
  <c r="P679" i="34"/>
  <c r="Q679" i="34"/>
  <c r="U679" i="34"/>
  <c r="O679" i="34"/>
  <c r="W679" i="34"/>
  <c r="Z679" i="34"/>
  <c r="Q674" i="34"/>
  <c r="U674" i="34"/>
  <c r="Z674" i="34"/>
  <c r="O674" i="34"/>
  <c r="W674" i="34"/>
  <c r="P674" i="34"/>
  <c r="Q1135" i="34"/>
  <c r="U1135" i="34"/>
  <c r="Z1135" i="34"/>
  <c r="O1135" i="34"/>
  <c r="W1135" i="34"/>
  <c r="P1135" i="34"/>
  <c r="Z255" i="34"/>
  <c r="O255" i="34"/>
  <c r="W255" i="34"/>
  <c r="P255" i="34"/>
  <c r="Q255" i="34"/>
  <c r="U255" i="34"/>
  <c r="Q248" i="34"/>
  <c r="U248" i="34"/>
  <c r="Z248" i="34"/>
  <c r="O248" i="34"/>
  <c r="W248" i="34"/>
  <c r="P248" i="34"/>
  <c r="O221" i="34"/>
  <c r="Q221" i="34"/>
  <c r="U221" i="34"/>
  <c r="Z221" i="34"/>
  <c r="P221" i="34"/>
  <c r="W221" i="34"/>
  <c r="O250" i="34"/>
  <c r="W250" i="34"/>
  <c r="P250" i="34"/>
  <c r="Q250" i="34"/>
  <c r="U250" i="34"/>
  <c r="Z250" i="34"/>
  <c r="Q747" i="34"/>
  <c r="U747" i="34"/>
  <c r="Z747" i="34"/>
  <c r="O747" i="34"/>
  <c r="W747" i="34"/>
  <c r="P747" i="34"/>
  <c r="Q711" i="34"/>
  <c r="U711" i="34"/>
  <c r="Z711" i="34"/>
  <c r="O711" i="34"/>
  <c r="W711" i="34"/>
  <c r="P711" i="34"/>
  <c r="O662" i="34"/>
  <c r="W662" i="34"/>
  <c r="P662" i="34"/>
  <c r="Q662" i="34"/>
  <c r="U662" i="34"/>
  <c r="Z662" i="34"/>
  <c r="O667" i="34"/>
  <c r="W667" i="34"/>
  <c r="P667" i="34"/>
  <c r="Q667" i="34"/>
  <c r="U667" i="34"/>
  <c r="Z667" i="34"/>
  <c r="O671" i="34"/>
  <c r="W671" i="34"/>
  <c r="P671" i="34"/>
  <c r="Q671" i="34"/>
  <c r="U671" i="34"/>
  <c r="Z671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43" i="70"/>
  <c r="Z166" i="34" l="1"/>
  <c r="P166" i="34"/>
  <c r="Q166" i="34"/>
  <c r="U166" i="34"/>
  <c r="O166" i="34"/>
  <c r="W166" i="34"/>
  <c r="P176" i="34"/>
  <c r="Q176" i="34"/>
  <c r="U176" i="34"/>
  <c r="Z176" i="34"/>
  <c r="O176" i="34"/>
  <c r="W176" i="34"/>
  <c r="Z206" i="34"/>
  <c r="O206" i="34"/>
  <c r="W206" i="34"/>
  <c r="P206" i="34"/>
  <c r="Q206" i="34"/>
  <c r="U206" i="34"/>
  <c r="O165" i="34"/>
  <c r="W165" i="34"/>
  <c r="Q165" i="34"/>
  <c r="U165" i="34"/>
  <c r="Z165" i="34"/>
  <c r="P165" i="34"/>
  <c r="Q175" i="34"/>
  <c r="U175" i="34"/>
  <c r="Z175" i="34"/>
  <c r="O175" i="34"/>
  <c r="W175" i="34"/>
  <c r="P175" i="34"/>
  <c r="O205" i="34"/>
  <c r="W205" i="34"/>
  <c r="P205" i="34"/>
  <c r="Q205" i="34"/>
  <c r="U205" i="34"/>
  <c r="Z205" i="34"/>
  <c r="Z178" i="34"/>
  <c r="O178" i="34"/>
  <c r="W178" i="34"/>
  <c r="P178" i="34"/>
  <c r="Q178" i="34"/>
  <c r="U178" i="34"/>
  <c r="Z174" i="34"/>
  <c r="O174" i="34"/>
  <c r="W174" i="34"/>
  <c r="P174" i="34"/>
  <c r="Q174" i="34"/>
  <c r="U174" i="34"/>
  <c r="P204" i="34"/>
  <c r="Q204" i="34"/>
  <c r="U204" i="34"/>
  <c r="Z204" i="34"/>
  <c r="O204" i="34"/>
  <c r="W204" i="34"/>
  <c r="O177" i="34"/>
  <c r="W177" i="34"/>
  <c r="P177" i="34"/>
  <c r="Q177" i="34"/>
  <c r="U177" i="34"/>
  <c r="Z177" i="34"/>
  <c r="O173" i="34"/>
  <c r="W173" i="34"/>
  <c r="P173" i="34"/>
  <c r="Q173" i="34"/>
  <c r="U173" i="34"/>
  <c r="Z173" i="34"/>
  <c r="Z79" i="34" l="1"/>
  <c r="O79" i="34"/>
  <c r="W79" i="34"/>
  <c r="P79" i="34"/>
  <c r="Q79" i="34"/>
  <c r="U79" i="34"/>
  <c r="P97" i="34"/>
  <c r="Q97" i="34"/>
  <c r="U97" i="34"/>
  <c r="Z97" i="34"/>
  <c r="O97" i="34"/>
  <c r="W97" i="34"/>
  <c r="O102" i="34"/>
  <c r="W102" i="34"/>
  <c r="P102" i="34"/>
  <c r="Q102" i="34"/>
  <c r="U102" i="34"/>
  <c r="Z102" i="34"/>
  <c r="Z111" i="34"/>
  <c r="O111" i="34"/>
  <c r="W111" i="34"/>
  <c r="P111" i="34"/>
  <c r="Q111" i="34"/>
  <c r="U111" i="34"/>
  <c r="Q179" i="34"/>
  <c r="U179" i="34"/>
  <c r="Z179" i="34"/>
  <c r="O179" i="34"/>
  <c r="W179" i="34"/>
  <c r="P179" i="34"/>
  <c r="Z231" i="34"/>
  <c r="O231" i="34"/>
  <c r="W231" i="34"/>
  <c r="P231" i="34"/>
  <c r="Q231" i="34"/>
  <c r="U231" i="34"/>
  <c r="P69" i="34"/>
  <c r="Q69" i="34"/>
  <c r="U69" i="34"/>
  <c r="Z69" i="34"/>
  <c r="O69" i="34"/>
  <c r="W69" i="34"/>
  <c r="Q76" i="34"/>
  <c r="U76" i="34"/>
  <c r="Z76" i="34"/>
  <c r="O76" i="34"/>
  <c r="W76" i="34"/>
  <c r="P76" i="34"/>
  <c r="O217" i="34"/>
  <c r="W217" i="34"/>
  <c r="Q217" i="34"/>
  <c r="U217" i="34"/>
  <c r="Z217" i="34"/>
  <c r="P217" i="34"/>
  <c r="Q268" i="34"/>
  <c r="U268" i="34"/>
  <c r="Z268" i="34"/>
  <c r="O268" i="34"/>
  <c r="W268" i="34"/>
  <c r="P268" i="34"/>
  <c r="P140" i="34"/>
  <c r="Q140" i="34"/>
  <c r="U140" i="34"/>
  <c r="Z140" i="34"/>
  <c r="O140" i="34"/>
  <c r="W140" i="34"/>
  <c r="O121" i="34"/>
  <c r="W121" i="34"/>
  <c r="P121" i="34"/>
  <c r="Q121" i="34"/>
  <c r="U121" i="34"/>
  <c r="Z121" i="34"/>
  <c r="P128" i="34"/>
  <c r="Q128" i="34"/>
  <c r="U128" i="34"/>
  <c r="Z128" i="34"/>
  <c r="O128" i="34"/>
  <c r="W128" i="34"/>
  <c r="Q123" i="34"/>
  <c r="U123" i="34"/>
  <c r="Z123" i="34"/>
  <c r="O123" i="34"/>
  <c r="W123" i="34"/>
  <c r="P123" i="34"/>
  <c r="P170" i="34"/>
  <c r="Q170" i="34"/>
  <c r="Z170" i="34"/>
  <c r="W170" i="34"/>
  <c r="O170" i="34"/>
  <c r="U170" i="34"/>
  <c r="Z134" i="34"/>
  <c r="O134" i="34"/>
  <c r="W134" i="34"/>
  <c r="P134" i="34"/>
  <c r="Q134" i="34"/>
  <c r="U134" i="34"/>
  <c r="Q108" i="34"/>
  <c r="U108" i="34"/>
  <c r="Z108" i="34"/>
  <c r="O108" i="34"/>
  <c r="W108" i="34"/>
  <c r="P108" i="34"/>
  <c r="O86" i="34"/>
  <c r="W86" i="34"/>
  <c r="P86" i="34"/>
  <c r="Q86" i="34"/>
  <c r="U86" i="34"/>
  <c r="Z86" i="34"/>
  <c r="O118" i="34"/>
  <c r="Z118" i="34"/>
  <c r="W118" i="34"/>
  <c r="P118" i="34"/>
  <c r="Q118" i="34"/>
  <c r="U118" i="34"/>
  <c r="Q64" i="34"/>
  <c r="U64" i="34"/>
  <c r="Z64" i="34"/>
  <c r="O64" i="34"/>
  <c r="W64" i="34"/>
  <c r="P64" i="34"/>
  <c r="O78" i="34"/>
  <c r="W78" i="34"/>
  <c r="P78" i="34"/>
  <c r="Q78" i="34"/>
  <c r="U78" i="34"/>
  <c r="Z78" i="34"/>
  <c r="P89" i="34"/>
  <c r="Q89" i="34"/>
  <c r="U89" i="34"/>
  <c r="Z89" i="34"/>
  <c r="O89" i="34"/>
  <c r="W89" i="34"/>
  <c r="P85" i="34"/>
  <c r="Q85" i="34"/>
  <c r="U85" i="34"/>
  <c r="Z85" i="34"/>
  <c r="O85" i="34"/>
  <c r="W85" i="34"/>
  <c r="Q96" i="34"/>
  <c r="U96" i="34"/>
  <c r="Z96" i="34"/>
  <c r="O96" i="34"/>
  <c r="W96" i="34"/>
  <c r="P96" i="34"/>
  <c r="P101" i="34"/>
  <c r="Q101" i="34"/>
  <c r="U101" i="34"/>
  <c r="Z101" i="34"/>
  <c r="O101" i="34"/>
  <c r="W101" i="34"/>
  <c r="Q191" i="34"/>
  <c r="U191" i="34"/>
  <c r="Z191" i="34"/>
  <c r="O191" i="34"/>
  <c r="W191" i="34"/>
  <c r="P191" i="34"/>
  <c r="Z115" i="34"/>
  <c r="O115" i="34"/>
  <c r="W115" i="34"/>
  <c r="P115" i="34"/>
  <c r="Q115" i="34"/>
  <c r="U115" i="34"/>
  <c r="Q72" i="34"/>
  <c r="U72" i="34"/>
  <c r="Z72" i="34"/>
  <c r="O72" i="34"/>
  <c r="W72" i="34"/>
  <c r="P72" i="34"/>
  <c r="Q68" i="34"/>
  <c r="U68" i="34"/>
  <c r="Z68" i="34"/>
  <c r="O68" i="34"/>
  <c r="W68" i="34"/>
  <c r="P68" i="34"/>
  <c r="Z75" i="34"/>
  <c r="O75" i="34"/>
  <c r="W75" i="34"/>
  <c r="P75" i="34"/>
  <c r="Q75" i="34"/>
  <c r="U75" i="34"/>
  <c r="Z218" i="34"/>
  <c r="P218" i="34"/>
  <c r="Q218" i="34"/>
  <c r="U218" i="34"/>
  <c r="O218" i="34"/>
  <c r="W218" i="34"/>
  <c r="P269" i="34"/>
  <c r="Q269" i="34"/>
  <c r="U269" i="34"/>
  <c r="Z269" i="34"/>
  <c r="O269" i="34"/>
  <c r="W269" i="34"/>
  <c r="O141" i="34"/>
  <c r="W141" i="34"/>
  <c r="P141" i="34"/>
  <c r="Q141" i="34"/>
  <c r="U141" i="34"/>
  <c r="Z141" i="34"/>
  <c r="Q131" i="34"/>
  <c r="U131" i="34"/>
  <c r="Z131" i="34"/>
  <c r="O131" i="34"/>
  <c r="W131" i="34"/>
  <c r="P131" i="34"/>
  <c r="Z126" i="34"/>
  <c r="O126" i="34"/>
  <c r="W126" i="34"/>
  <c r="P126" i="34"/>
  <c r="Q126" i="34"/>
  <c r="U126" i="34"/>
  <c r="Z122" i="34"/>
  <c r="O122" i="34"/>
  <c r="W122" i="34"/>
  <c r="P122" i="34"/>
  <c r="Q122" i="34"/>
  <c r="U122" i="34"/>
  <c r="Q169" i="34"/>
  <c r="U169" i="34"/>
  <c r="Z169" i="34"/>
  <c r="O169" i="34"/>
  <c r="P169" i="34"/>
  <c r="W169" i="34"/>
  <c r="O133" i="34"/>
  <c r="W133" i="34"/>
  <c r="P133" i="34"/>
  <c r="Q133" i="34"/>
  <c r="U133" i="34"/>
  <c r="Z133" i="34"/>
  <c r="Q112" i="34"/>
  <c r="U112" i="34"/>
  <c r="Z112" i="34"/>
  <c r="O112" i="34"/>
  <c r="W112" i="34"/>
  <c r="P112" i="34"/>
  <c r="O110" i="34"/>
  <c r="W110" i="34"/>
  <c r="P110" i="34"/>
  <c r="Q110" i="34"/>
  <c r="U110" i="34"/>
  <c r="Z110" i="34"/>
  <c r="P117" i="34"/>
  <c r="O117" i="34"/>
  <c r="Z117" i="34"/>
  <c r="W117" i="34"/>
  <c r="Q117" i="34"/>
  <c r="U117" i="34"/>
  <c r="Z62" i="34"/>
  <c r="O62" i="34"/>
  <c r="W62" i="34"/>
  <c r="P62" i="34"/>
  <c r="Q62" i="34"/>
  <c r="U62" i="34"/>
  <c r="P77" i="34"/>
  <c r="Q77" i="34"/>
  <c r="U77" i="34"/>
  <c r="Z77" i="34"/>
  <c r="O77" i="34"/>
  <c r="W77" i="34"/>
  <c r="Q88" i="34"/>
  <c r="U88" i="34"/>
  <c r="Z88" i="34"/>
  <c r="O88" i="34"/>
  <c r="W88" i="34"/>
  <c r="P88" i="34"/>
  <c r="P93" i="34"/>
  <c r="Q93" i="34"/>
  <c r="U93" i="34"/>
  <c r="Z93" i="34"/>
  <c r="O93" i="34"/>
  <c r="W93" i="34"/>
  <c r="Z95" i="34"/>
  <c r="O95" i="34"/>
  <c r="W95" i="34"/>
  <c r="P95" i="34"/>
  <c r="Q95" i="34"/>
  <c r="U95" i="34"/>
  <c r="O106" i="34"/>
  <c r="W106" i="34"/>
  <c r="P106" i="34"/>
  <c r="Q106" i="34"/>
  <c r="U106" i="34"/>
  <c r="Z106" i="34"/>
  <c r="Z190" i="34"/>
  <c r="O190" i="34"/>
  <c r="W190" i="34"/>
  <c r="P190" i="34"/>
  <c r="Q190" i="34"/>
  <c r="U190" i="34"/>
  <c r="O114" i="34"/>
  <c r="W114" i="34"/>
  <c r="P114" i="34"/>
  <c r="Q114" i="34"/>
  <c r="U114" i="34"/>
  <c r="Z114" i="34"/>
  <c r="Z71" i="34"/>
  <c r="O71" i="34"/>
  <c r="W71" i="34"/>
  <c r="P71" i="34"/>
  <c r="Q71" i="34"/>
  <c r="U71" i="34"/>
  <c r="Z67" i="34"/>
  <c r="O67" i="34"/>
  <c r="W67" i="34"/>
  <c r="P67" i="34"/>
  <c r="Q67" i="34"/>
  <c r="U67" i="34"/>
  <c r="P81" i="34"/>
  <c r="Q81" i="34"/>
  <c r="U81" i="34"/>
  <c r="Z81" i="34"/>
  <c r="O81" i="34"/>
  <c r="W81" i="34"/>
  <c r="P233" i="34"/>
  <c r="Q233" i="34"/>
  <c r="U233" i="34"/>
  <c r="Z233" i="34"/>
  <c r="O233" i="34"/>
  <c r="W233" i="34"/>
  <c r="O270" i="34"/>
  <c r="W270" i="34"/>
  <c r="P270" i="34"/>
  <c r="Q270" i="34"/>
  <c r="U270" i="34"/>
  <c r="Z270" i="34"/>
  <c r="P120" i="34"/>
  <c r="Q120" i="34"/>
  <c r="U120" i="34"/>
  <c r="Z120" i="34"/>
  <c r="O120" i="34"/>
  <c r="W120" i="34"/>
  <c r="Z130" i="34"/>
  <c r="O130" i="34"/>
  <c r="W130" i="34"/>
  <c r="P130" i="34"/>
  <c r="Q130" i="34"/>
  <c r="U130" i="34"/>
  <c r="O125" i="34"/>
  <c r="W125" i="34"/>
  <c r="P125" i="34"/>
  <c r="Q125" i="34"/>
  <c r="U125" i="34"/>
  <c r="Z125" i="34"/>
  <c r="P172" i="34"/>
  <c r="Q172" i="34"/>
  <c r="U172" i="34"/>
  <c r="Z172" i="34"/>
  <c r="O172" i="34"/>
  <c r="W172" i="34"/>
  <c r="P136" i="34"/>
  <c r="Q136" i="34"/>
  <c r="U136" i="34"/>
  <c r="Z136" i="34"/>
  <c r="O136" i="34"/>
  <c r="W136" i="34"/>
  <c r="P132" i="34"/>
  <c r="Q132" i="34"/>
  <c r="U132" i="34"/>
  <c r="Z132" i="34"/>
  <c r="O132" i="34"/>
  <c r="W132" i="34"/>
  <c r="P73" i="34"/>
  <c r="Q73" i="34"/>
  <c r="U73" i="34"/>
  <c r="Z73" i="34"/>
  <c r="O73" i="34"/>
  <c r="W73" i="34"/>
  <c r="P109" i="34"/>
  <c r="Q109" i="34"/>
  <c r="U109" i="34"/>
  <c r="Z109" i="34"/>
  <c r="O109" i="34"/>
  <c r="W109" i="34"/>
  <c r="P113" i="34"/>
  <c r="Q113" i="34"/>
  <c r="U113" i="34"/>
  <c r="Z113" i="34"/>
  <c r="O113" i="34"/>
  <c r="W113" i="34"/>
  <c r="Q80" i="34"/>
  <c r="U80" i="34"/>
  <c r="Z80" i="34"/>
  <c r="O80" i="34"/>
  <c r="W80" i="34"/>
  <c r="P80" i="34"/>
  <c r="O74" i="34"/>
  <c r="W74" i="34"/>
  <c r="P74" i="34"/>
  <c r="Q74" i="34"/>
  <c r="U74" i="34"/>
  <c r="Z74" i="34"/>
  <c r="Z87" i="34"/>
  <c r="O87" i="34"/>
  <c r="W87" i="34"/>
  <c r="P87" i="34"/>
  <c r="Q87" i="34"/>
  <c r="U87" i="34"/>
  <c r="Q92" i="34"/>
  <c r="U92" i="34"/>
  <c r="Z92" i="34"/>
  <c r="O92" i="34"/>
  <c r="W92" i="34"/>
  <c r="P92" i="34"/>
  <c r="O94" i="34"/>
  <c r="W94" i="34"/>
  <c r="P94" i="34"/>
  <c r="Q94" i="34"/>
  <c r="U94" i="34"/>
  <c r="Z94" i="34"/>
  <c r="P105" i="34"/>
  <c r="Q105" i="34"/>
  <c r="U105" i="34"/>
  <c r="Z105" i="34"/>
  <c r="O105" i="34"/>
  <c r="W105" i="34"/>
  <c r="P180" i="34"/>
  <c r="Q180" i="34"/>
  <c r="U180" i="34"/>
  <c r="Z180" i="34"/>
  <c r="O180" i="34"/>
  <c r="W180" i="34"/>
  <c r="Q232" i="34"/>
  <c r="U232" i="34"/>
  <c r="Z232" i="34"/>
  <c r="O232" i="34"/>
  <c r="W232" i="34"/>
  <c r="P232" i="34"/>
  <c r="O70" i="34"/>
  <c r="W70" i="34"/>
  <c r="P70" i="34"/>
  <c r="Q70" i="34"/>
  <c r="U70" i="34"/>
  <c r="Z70" i="34"/>
  <c r="O66" i="34"/>
  <c r="W66" i="34"/>
  <c r="P66" i="34"/>
  <c r="Q66" i="34"/>
  <c r="U66" i="34"/>
  <c r="Z66" i="34"/>
  <c r="P192" i="34"/>
  <c r="Q192" i="34"/>
  <c r="U192" i="34"/>
  <c r="Z192" i="34"/>
  <c r="O192" i="34"/>
  <c r="W192" i="34"/>
  <c r="Z267" i="34"/>
  <c r="O267" i="34"/>
  <c r="W267" i="34"/>
  <c r="P267" i="34"/>
  <c r="Q267" i="34"/>
  <c r="U267" i="34"/>
  <c r="Z271" i="34"/>
  <c r="O271" i="34"/>
  <c r="W271" i="34"/>
  <c r="P271" i="34"/>
  <c r="Q271" i="34"/>
  <c r="U271" i="34"/>
  <c r="O82" i="34"/>
  <c r="W82" i="34"/>
  <c r="P82" i="34"/>
  <c r="Q82" i="34"/>
  <c r="U82" i="34"/>
  <c r="Z82" i="34"/>
  <c r="O129" i="34"/>
  <c r="W129" i="34"/>
  <c r="P129" i="34"/>
  <c r="Q129" i="34"/>
  <c r="U129" i="34"/>
  <c r="Z129" i="34"/>
  <c r="P124" i="34"/>
  <c r="Q124" i="34"/>
  <c r="U124" i="34"/>
  <c r="Z124" i="34"/>
  <c r="O124" i="34"/>
  <c r="W124" i="34"/>
  <c r="Q171" i="34"/>
  <c r="U171" i="34"/>
  <c r="Z171" i="34"/>
  <c r="O171" i="34"/>
  <c r="W171" i="34"/>
  <c r="P171" i="34"/>
  <c r="Q135" i="34"/>
  <c r="U135" i="34"/>
  <c r="Z135" i="34"/>
  <c r="O135" i="34"/>
  <c r="W135" i="34"/>
  <c r="P135" i="34"/>
  <c r="B792" i="34"/>
  <c r="A792" i="34" s="1"/>
  <c r="B761" i="34"/>
  <c r="A761" i="34" s="1"/>
  <c r="B758" i="34"/>
  <c r="A758" i="34" s="1"/>
  <c r="B735" i="34"/>
  <c r="A735" i="34" s="1"/>
  <c r="B733" i="34"/>
  <c r="A733" i="34" s="1"/>
  <c r="B660" i="34"/>
  <c r="A660" i="34" s="1"/>
  <c r="B659" i="34"/>
  <c r="A659" i="34" s="1"/>
  <c r="Q660" i="34" l="1"/>
  <c r="U660" i="34"/>
  <c r="R660" i="34"/>
  <c r="Z660" i="34"/>
  <c r="O660" i="34"/>
  <c r="S660" i="34"/>
  <c r="W660" i="34"/>
  <c r="P660" i="34"/>
  <c r="T660" i="34"/>
  <c r="R275" i="34"/>
  <c r="O275" i="34"/>
  <c r="P275" i="34"/>
  <c r="T275" i="34"/>
  <c r="Q275" i="34"/>
  <c r="U275" i="34"/>
  <c r="W275" i="34"/>
  <c r="S275" i="34"/>
  <c r="Z275" i="34"/>
  <c r="P761" i="34"/>
  <c r="T761" i="34"/>
  <c r="Q761" i="34"/>
  <c r="U761" i="34"/>
  <c r="R761" i="34"/>
  <c r="Z761" i="34"/>
  <c r="O761" i="34"/>
  <c r="S761" i="34"/>
  <c r="W761" i="34"/>
  <c r="R103" i="34"/>
  <c r="Z103" i="34"/>
  <c r="O103" i="34"/>
  <c r="S103" i="34"/>
  <c r="W103" i="34"/>
  <c r="P103" i="34"/>
  <c r="T103" i="34"/>
  <c r="Q103" i="34"/>
  <c r="U103" i="34"/>
  <c r="P168" i="34"/>
  <c r="Z168" i="34"/>
  <c r="O168" i="34"/>
  <c r="W168" i="34"/>
  <c r="U168" i="34"/>
  <c r="Q168" i="34"/>
  <c r="O276" i="34"/>
  <c r="S276" i="34"/>
  <c r="W276" i="34"/>
  <c r="P276" i="34"/>
  <c r="T276" i="34"/>
  <c r="Q276" i="34"/>
  <c r="R276" i="34"/>
  <c r="U276" i="34"/>
  <c r="Z276" i="34"/>
  <c r="P735" i="34"/>
  <c r="T735" i="34"/>
  <c r="Q735" i="34"/>
  <c r="U735" i="34"/>
  <c r="R735" i="34"/>
  <c r="Z735" i="34"/>
  <c r="O735" i="34"/>
  <c r="S735" i="34"/>
  <c r="W735" i="34"/>
  <c r="P792" i="34"/>
  <c r="T792" i="34"/>
  <c r="Q792" i="34"/>
  <c r="U792" i="34"/>
  <c r="R792" i="34"/>
  <c r="Z792" i="34"/>
  <c r="O792" i="34"/>
  <c r="S792" i="34"/>
  <c r="W792" i="34"/>
  <c r="O274" i="34"/>
  <c r="S274" i="34"/>
  <c r="W274" i="34"/>
  <c r="P274" i="34"/>
  <c r="T274" i="34"/>
  <c r="Q274" i="34"/>
  <c r="U274" i="34"/>
  <c r="R274" i="34"/>
  <c r="Z274" i="34"/>
  <c r="R154" i="34"/>
  <c r="Z154" i="34"/>
  <c r="O154" i="34"/>
  <c r="S154" i="34"/>
  <c r="W154" i="34"/>
  <c r="P154" i="34"/>
  <c r="T154" i="34"/>
  <c r="Q154" i="34"/>
  <c r="U154" i="34"/>
  <c r="O201" i="34"/>
  <c r="S201" i="34"/>
  <c r="W201" i="34"/>
  <c r="P201" i="34"/>
  <c r="T201" i="34"/>
  <c r="Q201" i="34"/>
  <c r="U201" i="34"/>
  <c r="R201" i="34"/>
  <c r="Z201" i="34"/>
  <c r="R659" i="34"/>
  <c r="Z659" i="34"/>
  <c r="O659" i="34"/>
  <c r="S659" i="34"/>
  <c r="W659" i="34"/>
  <c r="P659" i="34"/>
  <c r="T659" i="34"/>
  <c r="Q659" i="34"/>
  <c r="U659" i="34"/>
  <c r="R758" i="34"/>
  <c r="Z758" i="34"/>
  <c r="O758" i="34"/>
  <c r="S758" i="34"/>
  <c r="W758" i="34"/>
  <c r="P758" i="34"/>
  <c r="T758" i="34"/>
  <c r="Q758" i="34"/>
  <c r="U758" i="34"/>
  <c r="O153" i="34"/>
  <c r="S153" i="34"/>
  <c r="W153" i="34"/>
  <c r="P153" i="34"/>
  <c r="T153" i="34"/>
  <c r="Q153" i="34"/>
  <c r="U153" i="34"/>
  <c r="R153" i="34"/>
  <c r="Z153" i="34"/>
  <c r="Q167" i="34"/>
  <c r="U167" i="34"/>
  <c r="O167" i="34"/>
  <c r="W167" i="34"/>
  <c r="P167" i="34"/>
  <c r="Z167" i="34"/>
  <c r="Q733" i="34"/>
  <c r="U733" i="34"/>
  <c r="R733" i="34"/>
  <c r="Z733" i="34"/>
  <c r="O733" i="34"/>
  <c r="S733" i="34"/>
  <c r="W733" i="34"/>
  <c r="P733" i="34"/>
  <c r="T733" i="34"/>
  <c r="A14" i="71"/>
  <c r="E37" i="71" s="1"/>
  <c r="A19" i="71"/>
  <c r="A20" i="71"/>
  <c r="A17" i="71"/>
  <c r="A18" i="71"/>
  <c r="B780" i="34"/>
  <c r="A780" i="34" s="1"/>
  <c r="A16" i="71"/>
  <c r="A15" i="71"/>
  <c r="T10" i="34"/>
  <c r="R202" i="34" l="1"/>
  <c r="Z202" i="34"/>
  <c r="O202" i="34"/>
  <c r="S202" i="34"/>
  <c r="W202" i="34"/>
  <c r="P202" i="34"/>
  <c r="T202" i="34"/>
  <c r="Q202" i="34"/>
  <c r="U202" i="34"/>
  <c r="R780" i="34"/>
  <c r="Z780" i="34"/>
  <c r="O780" i="34"/>
  <c r="S780" i="34"/>
  <c r="W780" i="34"/>
  <c r="P780" i="34"/>
  <c r="T780" i="34"/>
  <c r="Q780" i="34"/>
  <c r="U780" i="34"/>
  <c r="A36" i="71"/>
  <c r="H2" i="71"/>
  <c r="R10" i="34"/>
  <c r="E6" i="43" l="1"/>
  <c r="O8" i="43"/>
  <c r="N8" i="43"/>
  <c r="T278" i="34" l="1"/>
  <c r="S279" i="34"/>
  <c r="T283" i="34"/>
  <c r="T280" i="34"/>
  <c r="R284" i="34"/>
  <c r="S293" i="34"/>
  <c r="R290" i="34"/>
  <c r="R282" i="34"/>
  <c r="S291" i="34"/>
  <c r="R278" i="34"/>
  <c r="T279" i="34"/>
  <c r="R292" i="34"/>
  <c r="R280" i="34"/>
  <c r="S284" i="34"/>
  <c r="R281" i="34"/>
  <c r="S290" i="34"/>
  <c r="S282" i="34"/>
  <c r="S278" i="34"/>
  <c r="R283" i="34"/>
  <c r="S292" i="34"/>
  <c r="S280" i="34"/>
  <c r="T293" i="34"/>
  <c r="S281" i="34"/>
  <c r="T290" i="34"/>
  <c r="T291" i="34"/>
  <c r="R279" i="34"/>
  <c r="S283" i="34"/>
  <c r="T292" i="34"/>
  <c r="T284" i="34"/>
  <c r="R293" i="34"/>
  <c r="T281" i="34"/>
  <c r="T282" i="34"/>
  <c r="R291" i="34"/>
  <c r="R203" i="34"/>
  <c r="S203" i="34"/>
  <c r="T203" i="34"/>
  <c r="R100" i="34"/>
  <c r="S100" i="34"/>
  <c r="T100" i="34"/>
  <c r="R147" i="34"/>
  <c r="T155" i="34"/>
  <c r="R150" i="34"/>
  <c r="S147" i="34"/>
  <c r="R155" i="34"/>
  <c r="T147" i="34"/>
  <c r="S150" i="34"/>
  <c r="S155" i="34"/>
  <c r="T150" i="34"/>
  <c r="T228" i="34"/>
  <c r="R149" i="34"/>
  <c r="T182" i="34"/>
  <c r="R186" i="34"/>
  <c r="R197" i="34"/>
  <c r="S224" i="34"/>
  <c r="T216" i="34"/>
  <c r="S229" i="34"/>
  <c r="S236" i="34"/>
  <c r="T240" i="34"/>
  <c r="T262" i="34"/>
  <c r="S145" i="34"/>
  <c r="T158" i="34"/>
  <c r="R183" i="34"/>
  <c r="S187" i="34"/>
  <c r="R194" i="34"/>
  <c r="R222" i="34"/>
  <c r="S226" i="34"/>
  <c r="T230" i="34"/>
  <c r="S241" i="34"/>
  <c r="S259" i="34"/>
  <c r="T263" i="34"/>
  <c r="S159" i="34"/>
  <c r="T163" i="34"/>
  <c r="R188" i="34"/>
  <c r="T199" i="34"/>
  <c r="S210" i="34"/>
  <c r="R215" i="34"/>
  <c r="S227" i="34"/>
  <c r="S242" i="34"/>
  <c r="R148" i="34"/>
  <c r="R189" i="34"/>
  <c r="T196" i="34"/>
  <c r="T200" i="34"/>
  <c r="S144" i="34"/>
  <c r="S149" i="34"/>
  <c r="R182" i="34"/>
  <c r="R193" i="34"/>
  <c r="T197" i="34"/>
  <c r="T224" i="34"/>
  <c r="S225" i="34"/>
  <c r="T229" i="34"/>
  <c r="T236" i="34"/>
  <c r="T258" i="34"/>
  <c r="R262" i="34"/>
  <c r="T145" i="34"/>
  <c r="R162" i="34"/>
  <c r="S183" i="34"/>
  <c r="T187" i="34"/>
  <c r="R198" i="34"/>
  <c r="S222" i="34"/>
  <c r="T226" i="34"/>
  <c r="S237" i="34"/>
  <c r="T241" i="34"/>
  <c r="T259" i="34"/>
  <c r="S146" i="34"/>
  <c r="T159" i="34"/>
  <c r="R163" i="34"/>
  <c r="R195" i="34"/>
  <c r="R199" i="34"/>
  <c r="T210" i="34"/>
  <c r="S223" i="34"/>
  <c r="T227" i="34"/>
  <c r="T242" i="34"/>
  <c r="R181" i="34"/>
  <c r="S189" i="34"/>
  <c r="R196" i="34"/>
  <c r="R228" i="34"/>
  <c r="T144" i="34"/>
  <c r="T149" i="34"/>
  <c r="S186" i="34"/>
  <c r="T193" i="34"/>
  <c r="S197" i="34"/>
  <c r="R216" i="34"/>
  <c r="T225" i="34"/>
  <c r="R229" i="34"/>
  <c r="R240" i="34"/>
  <c r="R258" i="34"/>
  <c r="S262" i="34"/>
  <c r="R158" i="34"/>
  <c r="S162" i="34"/>
  <c r="T183" i="34"/>
  <c r="S194" i="34"/>
  <c r="S198" i="34"/>
  <c r="T222" i="34"/>
  <c r="R230" i="34"/>
  <c r="T237" i="34"/>
  <c r="R241" i="34"/>
  <c r="R263" i="34"/>
  <c r="T146" i="34"/>
  <c r="R159" i="34"/>
  <c r="S188" i="34"/>
  <c r="T195" i="34"/>
  <c r="S199" i="34"/>
  <c r="S215" i="34"/>
  <c r="T223" i="34"/>
  <c r="R227" i="34"/>
  <c r="S148" i="34"/>
  <c r="S181" i="34"/>
  <c r="T189" i="34"/>
  <c r="R200" i="34"/>
  <c r="S228" i="34"/>
  <c r="R144" i="34"/>
  <c r="S182" i="34"/>
  <c r="T186" i="34"/>
  <c r="S193" i="34"/>
  <c r="R224" i="34"/>
  <c r="S216" i="34"/>
  <c r="R225" i="34"/>
  <c r="R236" i="34"/>
  <c r="S240" i="34"/>
  <c r="S258" i="34"/>
  <c r="R145" i="34"/>
  <c r="S158" i="34"/>
  <c r="T162" i="34"/>
  <c r="R187" i="34"/>
  <c r="T194" i="34"/>
  <c r="T198" i="34"/>
  <c r="R226" i="34"/>
  <c r="S230" i="34"/>
  <c r="R237" i="34"/>
  <c r="R259" i="34"/>
  <c r="S263" i="34"/>
  <c r="R146" i="34"/>
  <c r="S163" i="34"/>
  <c r="T188" i="34"/>
  <c r="S195" i="34"/>
  <c r="R210" i="34"/>
  <c r="T215" i="34"/>
  <c r="R223" i="34"/>
  <c r="R242" i="34"/>
  <c r="T148" i="34"/>
  <c r="T181" i="34"/>
  <c r="S196" i="34"/>
  <c r="S200" i="34"/>
  <c r="T99" i="34"/>
  <c r="R99" i="34"/>
  <c r="S99" i="34"/>
  <c r="R98" i="34"/>
  <c r="S98" i="34"/>
  <c r="T98" i="34"/>
  <c r="R137" i="34"/>
  <c r="T138" i="34"/>
  <c r="T137" i="34"/>
  <c r="S137" i="34"/>
  <c r="S138" i="34"/>
  <c r="R138" i="34"/>
  <c r="R139" i="34"/>
  <c r="T219" i="34"/>
  <c r="S139" i="34"/>
  <c r="R219" i="34"/>
  <c r="T139" i="34"/>
  <c r="S219" i="34"/>
  <c r="R90" i="34"/>
  <c r="R91" i="34"/>
  <c r="T91" i="34"/>
  <c r="S90" i="34"/>
  <c r="S91" i="34"/>
  <c r="T90" i="34"/>
  <c r="R273" i="34"/>
  <c r="R254" i="34"/>
  <c r="S246" i="34"/>
  <c r="R220" i="34"/>
  <c r="R244" i="34"/>
  <c r="T247" i="34"/>
  <c r="S221" i="34"/>
  <c r="S273" i="34"/>
  <c r="S254" i="34"/>
  <c r="R245" i="34"/>
  <c r="S220" i="34"/>
  <c r="S244" i="34"/>
  <c r="R255" i="34"/>
  <c r="T221" i="34"/>
  <c r="T273" i="34"/>
  <c r="T246" i="34"/>
  <c r="S245" i="34"/>
  <c r="T220" i="34"/>
  <c r="R247" i="34"/>
  <c r="S255" i="34"/>
  <c r="R221" i="34"/>
  <c r="T254" i="34"/>
  <c r="R246" i="34"/>
  <c r="T245" i="34"/>
  <c r="T244" i="34"/>
  <c r="S247" i="34"/>
  <c r="T255" i="34"/>
  <c r="R166" i="34"/>
  <c r="T176" i="34"/>
  <c r="R165" i="34"/>
  <c r="S205" i="34"/>
  <c r="T178" i="34"/>
  <c r="R174" i="34"/>
  <c r="R177" i="34"/>
  <c r="S173" i="34"/>
  <c r="S166" i="34"/>
  <c r="R176" i="34"/>
  <c r="R175" i="34"/>
  <c r="T205" i="34"/>
  <c r="R178" i="34"/>
  <c r="T204" i="34"/>
  <c r="S177" i="34"/>
  <c r="T173" i="34"/>
  <c r="T166" i="34"/>
  <c r="S165" i="34"/>
  <c r="S175" i="34"/>
  <c r="R205" i="34"/>
  <c r="S174" i="34"/>
  <c r="R204" i="34"/>
  <c r="T177" i="34"/>
  <c r="S176" i="34"/>
  <c r="T165" i="34"/>
  <c r="T175" i="34"/>
  <c r="S178" i="34"/>
  <c r="T174" i="34"/>
  <c r="S204" i="34"/>
  <c r="R173" i="34"/>
  <c r="R79" i="34"/>
  <c r="S77" i="34"/>
  <c r="T88" i="34"/>
  <c r="T95" i="34"/>
  <c r="S114" i="34"/>
  <c r="T67" i="34"/>
  <c r="S120" i="34"/>
  <c r="T130" i="34"/>
  <c r="R136" i="34"/>
  <c r="R112" i="34"/>
  <c r="S110" i="34"/>
  <c r="T117" i="34"/>
  <c r="S80" i="34"/>
  <c r="T74" i="34"/>
  <c r="S87" i="34"/>
  <c r="R94" i="34"/>
  <c r="T105" i="34"/>
  <c r="R180" i="34"/>
  <c r="S192" i="34"/>
  <c r="T82" i="34"/>
  <c r="T129" i="34"/>
  <c r="R73" i="34"/>
  <c r="S86" i="34"/>
  <c r="S97" i="34"/>
  <c r="S111" i="34"/>
  <c r="S179" i="34"/>
  <c r="R231" i="34"/>
  <c r="S76" i="34"/>
  <c r="T217" i="34"/>
  <c r="R268" i="34"/>
  <c r="R123" i="34"/>
  <c r="T134" i="34"/>
  <c r="S118" i="34"/>
  <c r="T89" i="34"/>
  <c r="S96" i="34"/>
  <c r="S101" i="34"/>
  <c r="S68" i="34"/>
  <c r="S75" i="34"/>
  <c r="T218" i="34"/>
  <c r="R131" i="34"/>
  <c r="T122" i="34"/>
  <c r="T133" i="34"/>
  <c r="S79" i="34"/>
  <c r="T77" i="34"/>
  <c r="T93" i="34"/>
  <c r="R95" i="34"/>
  <c r="T114" i="34"/>
  <c r="R81" i="34"/>
  <c r="T120" i="34"/>
  <c r="R130" i="34"/>
  <c r="S132" i="34"/>
  <c r="S112" i="34"/>
  <c r="T110" i="34"/>
  <c r="S113" i="34"/>
  <c r="T80" i="34"/>
  <c r="R74" i="34"/>
  <c r="R92" i="34"/>
  <c r="S94" i="34"/>
  <c r="R105" i="34"/>
  <c r="S66" i="34"/>
  <c r="T192" i="34"/>
  <c r="R82" i="34"/>
  <c r="R135" i="34"/>
  <c r="S73" i="34"/>
  <c r="T86" i="34"/>
  <c r="R102" i="34"/>
  <c r="T111" i="34"/>
  <c r="T179" i="34"/>
  <c r="R69" i="34"/>
  <c r="T76" i="34"/>
  <c r="R217" i="34"/>
  <c r="R121" i="34"/>
  <c r="S123" i="34"/>
  <c r="R134" i="34"/>
  <c r="S78" i="34"/>
  <c r="R89" i="34"/>
  <c r="T96" i="34"/>
  <c r="S115" i="34"/>
  <c r="T68" i="34"/>
  <c r="T75" i="34"/>
  <c r="R269" i="34"/>
  <c r="S131" i="34"/>
  <c r="R122" i="34"/>
  <c r="T79" i="34"/>
  <c r="R88" i="34"/>
  <c r="R93" i="34"/>
  <c r="S95" i="34"/>
  <c r="R67" i="34"/>
  <c r="S81" i="34"/>
  <c r="R120" i="34"/>
  <c r="S136" i="34"/>
  <c r="T132" i="34"/>
  <c r="T112" i="34"/>
  <c r="R117" i="34"/>
  <c r="T113" i="34"/>
  <c r="R80" i="34"/>
  <c r="T87" i="34"/>
  <c r="S92" i="34"/>
  <c r="T94" i="34"/>
  <c r="S180" i="34"/>
  <c r="T66" i="34"/>
  <c r="R192" i="34"/>
  <c r="R129" i="34"/>
  <c r="S135" i="34"/>
  <c r="T73" i="34"/>
  <c r="T97" i="34"/>
  <c r="S102" i="34"/>
  <c r="R111" i="34"/>
  <c r="S231" i="34"/>
  <c r="S69" i="34"/>
  <c r="R76" i="34"/>
  <c r="S268" i="34"/>
  <c r="S121" i="34"/>
  <c r="T123" i="34"/>
  <c r="T118" i="34"/>
  <c r="T78" i="34"/>
  <c r="S89" i="34"/>
  <c r="T101" i="34"/>
  <c r="T115" i="34"/>
  <c r="R68" i="34"/>
  <c r="R218" i="34"/>
  <c r="S269" i="34"/>
  <c r="T131" i="34"/>
  <c r="R133" i="34"/>
  <c r="R77" i="34"/>
  <c r="S88" i="34"/>
  <c r="S93" i="34"/>
  <c r="R114" i="34"/>
  <c r="S67" i="34"/>
  <c r="T81" i="34"/>
  <c r="S130" i="34"/>
  <c r="T136" i="34"/>
  <c r="R132" i="34"/>
  <c r="R110" i="34"/>
  <c r="S117" i="34"/>
  <c r="R113" i="34"/>
  <c r="S74" i="34"/>
  <c r="R87" i="34"/>
  <c r="T92" i="34"/>
  <c r="S105" i="34"/>
  <c r="T180" i="34"/>
  <c r="R66" i="34"/>
  <c r="S82" i="34"/>
  <c r="S129" i="34"/>
  <c r="T135" i="34"/>
  <c r="R86" i="34"/>
  <c r="R97" i="34"/>
  <c r="T102" i="34"/>
  <c r="R179" i="34"/>
  <c r="T231" i="34"/>
  <c r="T69" i="34"/>
  <c r="S217" i="34"/>
  <c r="T268" i="34"/>
  <c r="T121" i="34"/>
  <c r="S134" i="34"/>
  <c r="R118" i="34"/>
  <c r="R78" i="34"/>
  <c r="R96" i="34"/>
  <c r="R101" i="34"/>
  <c r="R115" i="34"/>
  <c r="R75" i="34"/>
  <c r="S218" i="34"/>
  <c r="T269" i="34"/>
  <c r="S122" i="34"/>
  <c r="S133" i="34"/>
  <c r="T167" i="34"/>
  <c r="T168" i="34"/>
  <c r="S168" i="34"/>
  <c r="S167" i="34"/>
  <c r="R167" i="34"/>
  <c r="R168" i="34"/>
  <c r="B643" i="34"/>
  <c r="A643" i="34" s="1"/>
  <c r="B655" i="34"/>
  <c r="A655" i="34" s="1"/>
  <c r="B678" i="34"/>
  <c r="A678" i="34" s="1"/>
  <c r="B731" i="34"/>
  <c r="A731" i="34" s="1"/>
  <c r="B742" i="34"/>
  <c r="A742" i="34" s="1"/>
  <c r="B757" i="34"/>
  <c r="A757" i="34" s="1"/>
  <c r="B779" i="34"/>
  <c r="A779" i="34" s="1"/>
  <c r="B848" i="34"/>
  <c r="A848" i="34" s="1"/>
  <c r="O779" i="34" l="1"/>
  <c r="S779" i="34"/>
  <c r="W779" i="34"/>
  <c r="P779" i="34"/>
  <c r="T779" i="34"/>
  <c r="Q779" i="34"/>
  <c r="U779" i="34"/>
  <c r="R779" i="34"/>
  <c r="Z779" i="34"/>
  <c r="Q678" i="34"/>
  <c r="U678" i="34"/>
  <c r="R678" i="34"/>
  <c r="Z678" i="34"/>
  <c r="O678" i="34"/>
  <c r="S678" i="34"/>
  <c r="W678" i="34"/>
  <c r="P678" i="34"/>
  <c r="T678" i="34"/>
  <c r="R243" i="34"/>
  <c r="Z243" i="34"/>
  <c r="O243" i="34"/>
  <c r="S243" i="34"/>
  <c r="W243" i="34"/>
  <c r="P243" i="34"/>
  <c r="T243" i="34"/>
  <c r="Q243" i="34"/>
  <c r="U243" i="34"/>
  <c r="O757" i="34"/>
  <c r="S757" i="34"/>
  <c r="W757" i="34"/>
  <c r="P757" i="34"/>
  <c r="T757" i="34"/>
  <c r="Q757" i="34"/>
  <c r="U757" i="34"/>
  <c r="R757" i="34"/>
  <c r="Z757" i="34"/>
  <c r="Q655" i="34"/>
  <c r="U655" i="34"/>
  <c r="R655" i="34"/>
  <c r="Z655" i="34"/>
  <c r="O655" i="34"/>
  <c r="S655" i="34"/>
  <c r="W655" i="34"/>
  <c r="P655" i="34"/>
  <c r="T655" i="34"/>
  <c r="Q116" i="34"/>
  <c r="U116" i="34"/>
  <c r="R116" i="34"/>
  <c r="O116" i="34"/>
  <c r="S116" i="34"/>
  <c r="W116" i="34"/>
  <c r="P116" i="34"/>
  <c r="T116" i="34"/>
  <c r="Z116" i="34"/>
  <c r="R83" i="34"/>
  <c r="Z83" i="34"/>
  <c r="O83" i="34"/>
  <c r="S83" i="34"/>
  <c r="W83" i="34"/>
  <c r="P83" i="34"/>
  <c r="T83" i="34"/>
  <c r="Q83" i="34"/>
  <c r="U83" i="34"/>
  <c r="Q742" i="34"/>
  <c r="U742" i="34"/>
  <c r="R742" i="34"/>
  <c r="Z742" i="34"/>
  <c r="O742" i="34"/>
  <c r="S742" i="34"/>
  <c r="W742" i="34"/>
  <c r="P742" i="34"/>
  <c r="T742" i="34"/>
  <c r="O643" i="34"/>
  <c r="S643" i="34"/>
  <c r="W643" i="34"/>
  <c r="P643" i="34"/>
  <c r="T643" i="34"/>
  <c r="Q643" i="34"/>
  <c r="U643" i="34"/>
  <c r="R643" i="34"/>
  <c r="Z643" i="34"/>
  <c r="R848" i="34"/>
  <c r="Z848" i="34"/>
  <c r="O848" i="34"/>
  <c r="S848" i="34"/>
  <c r="W848" i="34"/>
  <c r="P848" i="34"/>
  <c r="T848" i="34"/>
  <c r="Q848" i="34"/>
  <c r="U848" i="34"/>
  <c r="O731" i="34"/>
  <c r="S731" i="34"/>
  <c r="W731" i="34"/>
  <c r="P731" i="34"/>
  <c r="T731" i="34"/>
  <c r="Q731" i="34"/>
  <c r="U731" i="34"/>
  <c r="R731" i="34"/>
  <c r="Z731" i="34"/>
  <c r="O266" i="34"/>
  <c r="S266" i="34"/>
  <c r="W266" i="34"/>
  <c r="P266" i="34"/>
  <c r="T266" i="34"/>
  <c r="Q266" i="34"/>
  <c r="U266" i="34"/>
  <c r="R266" i="34"/>
  <c r="Z266" i="34"/>
  <c r="C42" i="15"/>
  <c r="D42" i="15"/>
  <c r="C35" i="15"/>
  <c r="D35" i="15"/>
  <c r="D32" i="15"/>
  <c r="D33" i="15" s="1"/>
  <c r="C25" i="15"/>
  <c r="D25" i="15"/>
  <c r="C18" i="15"/>
  <c r="D18" i="15"/>
  <c r="Q119" i="34" l="1"/>
  <c r="U119" i="34"/>
  <c r="R119" i="34"/>
  <c r="A45" i="43" s="1"/>
  <c r="Z119" i="34"/>
  <c r="O119" i="34"/>
  <c r="S119" i="34"/>
  <c r="W119" i="34"/>
  <c r="P119" i="34"/>
  <c r="T119" i="34"/>
  <c r="B53" i="43" l="1"/>
  <c r="C68" i="43"/>
  <c r="G57" i="43"/>
  <c r="F66" i="43"/>
  <c r="E56" i="43"/>
  <c r="D60" i="43"/>
  <c r="F67" i="43"/>
  <c r="D61" i="43"/>
  <c r="G58" i="43"/>
  <c r="G59" i="43"/>
  <c r="D56" i="43"/>
  <c r="B67" i="43"/>
  <c r="B68" i="43"/>
  <c r="F68" i="43"/>
  <c r="A64" i="43"/>
  <c r="H64" i="43" s="1"/>
  <c r="E66" i="43"/>
  <c r="C56" i="43"/>
  <c r="C60" i="43"/>
  <c r="F56" i="43"/>
  <c r="G56" i="43"/>
  <c r="C66" i="43"/>
  <c r="C55" i="43"/>
  <c r="G60" i="43"/>
  <c r="E62" i="43"/>
  <c r="A59" i="43"/>
  <c r="H59" i="43" s="1"/>
  <c r="B49" i="43"/>
  <c r="G63" i="43"/>
  <c r="A67" i="43"/>
  <c r="H67" i="43" s="1"/>
  <c r="C62" i="43"/>
  <c r="F60" i="43"/>
  <c r="A56" i="43"/>
  <c r="B61" i="43"/>
  <c r="A57" i="43"/>
  <c r="B60" i="43"/>
  <c r="D55" i="43"/>
  <c r="D63" i="43"/>
  <c r="F62" i="43"/>
  <c r="F58" i="43"/>
  <c r="F63" i="43"/>
  <c r="F65" i="43"/>
  <c r="B62" i="43"/>
  <c r="A61" i="43"/>
  <c r="H61" i="43" s="1"/>
  <c r="G55" i="43"/>
  <c r="E58" i="43"/>
  <c r="A66" i="43"/>
  <c r="H66" i="43" s="1"/>
  <c r="E55" i="43"/>
  <c r="D64" i="43"/>
  <c r="E65" i="43"/>
  <c r="B58" i="43"/>
  <c r="B63" i="43"/>
  <c r="B64" i="43"/>
  <c r="D59" i="43"/>
  <c r="A62" i="43"/>
  <c r="H62" i="43" s="1"/>
  <c r="C61" i="43"/>
  <c r="F55" i="43"/>
  <c r="B65" i="43"/>
  <c r="C57" i="43"/>
  <c r="B66" i="43"/>
  <c r="B55" i="43"/>
  <c r="E64" i="43"/>
  <c r="A63" i="43"/>
  <c r="H63" i="43" s="1"/>
  <c r="C58" i="43"/>
  <c r="A68" i="43"/>
  <c r="H68" i="43" s="1"/>
  <c r="C59" i="43"/>
  <c r="D62" i="43"/>
  <c r="F57" i="43"/>
  <c r="B56" i="43"/>
  <c r="A65" i="43"/>
  <c r="H65" i="43" s="1"/>
  <c r="C63" i="43"/>
  <c r="E61" i="43"/>
  <c r="F64" i="43"/>
  <c r="A60" i="43"/>
  <c r="H60" i="43" s="1"/>
  <c r="D58" i="43"/>
  <c r="C67" i="43"/>
  <c r="G67" i="43"/>
  <c r="B59" i="43"/>
  <c r="E68" i="43"/>
  <c r="E57" i="43"/>
  <c r="D65" i="43"/>
  <c r="G64" i="43"/>
  <c r="E63" i="43"/>
  <c r="D66" i="43"/>
  <c r="F61" i="43"/>
  <c r="C64" i="43"/>
  <c r="G65" i="43"/>
  <c r="A58" i="43"/>
  <c r="D67" i="43"/>
  <c r="E59" i="43"/>
  <c r="D68" i="43"/>
  <c r="D57" i="43"/>
  <c r="G66" i="43"/>
  <c r="C65" i="43"/>
  <c r="E60" i="43"/>
  <c r="G61" i="43"/>
  <c r="B57" i="43"/>
  <c r="F59" i="43"/>
  <c r="G68" i="43"/>
  <c r="E67" i="43"/>
  <c r="G62" i="43"/>
  <c r="A55" i="43"/>
  <c r="F52" i="43"/>
  <c r="F48" i="43"/>
  <c r="G54" i="43"/>
  <c r="E52" i="43"/>
  <c r="C46" i="43"/>
  <c r="D52" i="43"/>
  <c r="D48" i="43"/>
  <c r="F46" i="43"/>
  <c r="A54" i="43"/>
  <c r="F47" i="43"/>
  <c r="C53" i="43"/>
  <c r="C49" i="43"/>
  <c r="E47" i="43"/>
  <c r="D50" i="43"/>
  <c r="D46" i="43"/>
  <c r="A52" i="43"/>
  <c r="C50" i="43"/>
  <c r="C52" i="43"/>
  <c r="C48" i="43"/>
  <c r="G53" i="43"/>
  <c r="B52" i="43"/>
  <c r="G45" i="43"/>
  <c r="D51" i="43"/>
  <c r="D47" i="43"/>
  <c r="F45" i="43"/>
  <c r="E49" i="43"/>
  <c r="E45" i="43"/>
  <c r="G52" i="43"/>
  <c r="G48" i="43"/>
  <c r="B47" i="43"/>
  <c r="A50" i="43"/>
  <c r="A46" i="43"/>
  <c r="E51" i="43"/>
  <c r="G49" i="43"/>
  <c r="B54" i="43"/>
  <c r="B50" i="43"/>
  <c r="B46" i="43"/>
  <c r="D53" i="43"/>
  <c r="F51" i="43"/>
  <c r="D45" i="43"/>
  <c r="A51" i="43"/>
  <c r="A47" i="43"/>
  <c r="C45" i="43"/>
  <c r="E48" i="43"/>
  <c r="C54" i="43"/>
  <c r="F50" i="43"/>
  <c r="A49" i="43"/>
  <c r="G51" i="43"/>
  <c r="G47" i="43"/>
  <c r="F54" i="43"/>
  <c r="B51" i="43"/>
  <c r="D49" i="43"/>
  <c r="B45" i="43"/>
  <c r="E53" i="43"/>
  <c r="C47" i="43"/>
  <c r="E54" i="43"/>
  <c r="E50" i="43"/>
  <c r="E46" i="43"/>
  <c r="D54" i="43"/>
  <c r="B48" i="43"/>
  <c r="F53" i="43"/>
  <c r="F49" i="43"/>
  <c r="A48" i="43"/>
  <c r="G50" i="43"/>
  <c r="G46" i="43"/>
  <c r="A53" i="43"/>
  <c r="C51" i="43"/>
  <c r="A24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7" i="68"/>
  <c r="A38" i="68"/>
  <c r="F20" i="68"/>
  <c r="F21" i="68" s="1"/>
  <c r="F22" i="68" s="1"/>
  <c r="C20" i="68"/>
  <c r="A12" i="68"/>
  <c r="A8" i="68"/>
  <c r="A13" i="68"/>
  <c r="D20" i="68"/>
  <c r="E13" i="68"/>
  <c r="E11" i="68"/>
  <c r="E25" i="68" l="1"/>
  <c r="G20" i="68" s="1"/>
  <c r="A10" i="68"/>
  <c r="L14" i="64"/>
  <c r="L18" i="64" s="1"/>
  <c r="L15" i="64"/>
  <c r="L16" i="64"/>
  <c r="H20" i="68" l="1"/>
  <c r="G21" i="68" s="1"/>
  <c r="H21" i="68" s="1"/>
  <c r="G22" i="68" s="1"/>
  <c r="H22" i="68" s="1"/>
  <c r="G25" i="68" l="1"/>
  <c r="B2106" i="34" l="1"/>
  <c r="B2107" i="34"/>
  <c r="B2108" i="34"/>
  <c r="B2109" i="34"/>
  <c r="B2110" i="34"/>
  <c r="B2111" i="34"/>
  <c r="O2109" i="34" l="1"/>
  <c r="Q2109" i="34"/>
  <c r="U2109" i="34"/>
  <c r="W2109" i="34"/>
  <c r="P2109" i="34"/>
  <c r="Z2109" i="34"/>
  <c r="Q2108" i="34"/>
  <c r="U2108" i="34"/>
  <c r="O2108" i="34"/>
  <c r="W2108" i="34"/>
  <c r="P2108" i="34"/>
  <c r="A2108" i="34"/>
  <c r="Z2108" i="34"/>
  <c r="P2107" i="34"/>
  <c r="W2107" i="34"/>
  <c r="Q2107" i="34"/>
  <c r="U2107" i="34"/>
  <c r="A2107" i="34"/>
  <c r="O2107" i="34"/>
  <c r="Z2107" i="34"/>
  <c r="Q2110" i="34"/>
  <c r="U2110" i="34"/>
  <c r="P2110" i="34"/>
  <c r="W2110" i="34"/>
  <c r="O2110" i="34"/>
  <c r="Z2110" i="34"/>
  <c r="O2106" i="34"/>
  <c r="P2106" i="34"/>
  <c r="Q2106" i="34"/>
  <c r="U2106" i="34"/>
  <c r="W2106" i="34"/>
  <c r="A2106" i="34"/>
  <c r="Z2106" i="34"/>
  <c r="A2109" i="34"/>
  <c r="P2111" i="34"/>
  <c r="Q2111" i="34"/>
  <c r="U2111" i="34"/>
  <c r="Z2111" i="34"/>
  <c r="O2111" i="34"/>
  <c r="A2110" i="34"/>
  <c r="A2111" i="34"/>
  <c r="I6" i="43"/>
  <c r="I228" i="55" l="1" a="1"/>
  <c r="I228" i="55" s="1"/>
  <c r="I360" i="55" a="1"/>
  <c r="I360" i="55" s="1"/>
  <c r="I240" i="55" a="1"/>
  <c r="I240" i="55" s="1"/>
  <c r="I269" i="55" a="1"/>
  <c r="I269" i="55" s="1"/>
  <c r="I313" i="55" a="1"/>
  <c r="I313" i="55" s="1"/>
  <c r="I327" i="55" a="1"/>
  <c r="I327" i="55" s="1"/>
  <c r="I336" i="55" a="1"/>
  <c r="I336" i="55" s="1"/>
  <c r="I310" i="55" a="1"/>
  <c r="I310" i="55" s="1"/>
  <c r="I376" i="55" a="1"/>
  <c r="I376" i="55" s="1"/>
  <c r="I219" i="55" a="1"/>
  <c r="I219" i="55" s="1"/>
  <c r="G223" i="55" a="1"/>
  <c r="G223" i="55" s="1"/>
  <c r="G322" i="55" a="1"/>
  <c r="G322" i="55" s="1"/>
  <c r="G306" i="55" a="1"/>
  <c r="G306" i="55" s="1"/>
  <c r="G305" i="55" a="1"/>
  <c r="G305" i="55" s="1"/>
  <c r="G258" i="55" a="1"/>
  <c r="G258" i="55" s="1"/>
  <c r="G290" i="55" a="1"/>
  <c r="G290" i="55" s="1"/>
  <c r="G229" i="55" a="1"/>
  <c r="G229" i="55" s="1"/>
  <c r="G325" i="55" a="1"/>
  <c r="G325" i="55" s="1"/>
  <c r="I284" i="55" a="1"/>
  <c r="I284" i="55" s="1"/>
  <c r="I309" i="55" a="1"/>
  <c r="I309" i="55" s="1"/>
  <c r="I352" i="55" a="1"/>
  <c r="I352" i="55" s="1"/>
  <c r="I259" i="55" a="1"/>
  <c r="I259" i="55" s="1"/>
  <c r="I361" i="55" a="1"/>
  <c r="I361" i="55" s="1"/>
  <c r="I359" i="55" a="1"/>
  <c r="I359" i="55" s="1"/>
  <c r="I223" i="55" a="1"/>
  <c r="I223" i="55" s="1"/>
  <c r="I322" i="55" a="1"/>
  <c r="I322" i="55" s="1"/>
  <c r="I306" i="55" a="1"/>
  <c r="I306" i="55" s="1"/>
  <c r="I305" i="55" a="1"/>
  <c r="I305" i="55" s="1"/>
  <c r="I258" i="55" a="1"/>
  <c r="I258" i="55" s="1"/>
  <c r="I290" i="55" a="1"/>
  <c r="I290" i="55" s="1"/>
  <c r="I229" i="55" a="1"/>
  <c r="I229" i="55" s="1"/>
  <c r="I329" i="55" a="1"/>
  <c r="I329" i="55" s="1"/>
  <c r="I357" i="55" a="1"/>
  <c r="I357" i="55" s="1"/>
  <c r="I231" i="55" a="1"/>
  <c r="I231" i="55" s="1"/>
  <c r="I340" i="55" a="1"/>
  <c r="I340" i="55" s="1"/>
  <c r="I294" i="55" a="1"/>
  <c r="I294" i="55" s="1"/>
  <c r="I256" i="55" a="1"/>
  <c r="I256" i="55" s="1"/>
  <c r="G360" i="55" a="1"/>
  <c r="G360" i="55" s="1"/>
  <c r="G269" i="55" a="1"/>
  <c r="G269" i="55" s="1"/>
  <c r="G352" i="55" a="1"/>
  <c r="G352" i="55" s="1"/>
  <c r="G340" i="55" a="1"/>
  <c r="G340" i="55" s="1"/>
  <c r="G256" i="55" a="1"/>
  <c r="G256" i="55" s="1"/>
  <c r="G219" i="55" a="1"/>
  <c r="G219" i="55" s="1"/>
  <c r="I289" i="55" a="1"/>
  <c r="I289" i="55" s="1"/>
  <c r="I354" i="55" a="1"/>
  <c r="I354" i="55" s="1"/>
  <c r="I292" i="55" a="1"/>
  <c r="I292" i="55" s="1"/>
  <c r="I375" i="55" a="1"/>
  <c r="I375" i="55" s="1"/>
  <c r="I372" i="55" a="1"/>
  <c r="I372" i="55" s="1"/>
  <c r="G284" i="55" a="1"/>
  <c r="G284" i="55" s="1"/>
  <c r="G366" i="55" a="1"/>
  <c r="G366" i="55" s="1"/>
  <c r="G225" i="55" a="1"/>
  <c r="G225" i="55" s="1"/>
  <c r="G315" i="55" a="1"/>
  <c r="G315" i="55" s="1"/>
  <c r="I14" i="55" a="1"/>
  <c r="I14" i="55" s="1"/>
  <c r="I308" i="55" a="1"/>
  <c r="I308" i="55" s="1"/>
  <c r="G281" i="55" a="1"/>
  <c r="G281" i="55" s="1"/>
  <c r="I281" i="55" a="1"/>
  <c r="I281" i="55" s="1"/>
  <c r="I151" i="55" a="1"/>
  <c r="I151" i="55" s="1"/>
  <c r="G140" i="55" a="1"/>
  <c r="G140" i="55" s="1"/>
  <c r="I143" i="55" a="1"/>
  <c r="I143" i="55" s="1"/>
  <c r="G147" i="55" a="1"/>
  <c r="G147" i="55" s="1"/>
  <c r="G191" i="55" a="1"/>
  <c r="G191" i="55" s="1"/>
  <c r="I199" i="55" a="1"/>
  <c r="I199" i="55" s="1"/>
  <c r="G207" i="55" a="1"/>
  <c r="G207" i="55" s="1"/>
  <c r="G215" i="55" a="1"/>
  <c r="G215" i="55" s="1"/>
  <c r="I211" i="55" a="1"/>
  <c r="I211" i="55" s="1"/>
  <c r="G196" i="55" a="1"/>
  <c r="G196" i="55" s="1"/>
  <c r="I203" i="55" a="1"/>
  <c r="I203" i="55" s="1"/>
  <c r="G214" i="55" a="1"/>
  <c r="G214" i="55" s="1"/>
  <c r="G192" i="55" a="1"/>
  <c r="G192" i="55" s="1"/>
  <c r="I200" i="55" a="1"/>
  <c r="I200" i="55" s="1"/>
  <c r="G209" i="55" a="1"/>
  <c r="G209" i="55" s="1"/>
  <c r="I192" i="55" a="1"/>
  <c r="I192" i="55" s="1"/>
  <c r="G201" i="55" a="1"/>
  <c r="G201" i="55" s="1"/>
  <c r="I209" i="55" a="1"/>
  <c r="I209" i="55" s="1"/>
  <c r="G156" i="55" a="1"/>
  <c r="G156" i="55" s="1"/>
  <c r="G164" i="55" a="1"/>
  <c r="G164" i="55" s="1"/>
  <c r="G172" i="55" a="1"/>
  <c r="G172" i="55" s="1"/>
  <c r="G180" i="55" a="1"/>
  <c r="G180" i="55" s="1"/>
  <c r="G188" i="55" a="1"/>
  <c r="G188" i="55" s="1"/>
  <c r="I154" i="55" a="1"/>
  <c r="I154" i="55" s="1"/>
  <c r="I162" i="55" a="1"/>
  <c r="I162" i="55" s="1"/>
  <c r="I170" i="55" a="1"/>
  <c r="I170" i="55" s="1"/>
  <c r="I178" i="55" a="1"/>
  <c r="I178" i="55" s="1"/>
  <c r="I186" i="55" a="1"/>
  <c r="I186" i="55" s="1"/>
  <c r="G155" i="55" a="1"/>
  <c r="G155" i="55" s="1"/>
  <c r="G163" i="55" a="1"/>
  <c r="G163" i="55" s="1"/>
  <c r="G171" i="55" a="1"/>
  <c r="G171" i="55" s="1"/>
  <c r="G179" i="55" a="1"/>
  <c r="G179" i="55" s="1"/>
  <c r="I155" i="55" a="1"/>
  <c r="I155" i="55" s="1"/>
  <c r="G228" i="55" a="1"/>
  <c r="G228" i="55" s="1"/>
  <c r="G240" i="55" a="1"/>
  <c r="G240" i="55" s="1"/>
  <c r="G309" i="55" a="1"/>
  <c r="G309" i="55" s="1"/>
  <c r="K309" i="55" s="1"/>
  <c r="G231" i="55" a="1"/>
  <c r="G231" i="55" s="1"/>
  <c r="G336" i="55" a="1"/>
  <c r="G336" i="55" s="1"/>
  <c r="G376" i="55" a="1"/>
  <c r="G376" i="55" s="1"/>
  <c r="I260" i="55" a="1"/>
  <c r="I260" i="55" s="1"/>
  <c r="I366" i="55" a="1"/>
  <c r="I366" i="55" s="1"/>
  <c r="I225" i="55" a="1"/>
  <c r="I225" i="55" s="1"/>
  <c r="I315" i="55" a="1"/>
  <c r="I315" i="55" s="1"/>
  <c r="G321" i="55" a="1"/>
  <c r="G321" i="55" s="1"/>
  <c r="G241" i="55" a="1"/>
  <c r="G241" i="55" s="1"/>
  <c r="G317" i="55" a="1"/>
  <c r="G317" i="55" s="1"/>
  <c r="G277" i="55" a="1"/>
  <c r="G277" i="55" s="1"/>
  <c r="G302" i="55" a="1"/>
  <c r="G302" i="55" s="1"/>
  <c r="I316" i="55" a="1"/>
  <c r="I316" i="55" s="1"/>
  <c r="I297" i="55" a="1"/>
  <c r="I297" i="55" s="1"/>
  <c r="G150" i="55" a="1"/>
  <c r="G150" i="55" s="1"/>
  <c r="G146" i="55" a="1"/>
  <c r="G146" i="55" s="1"/>
  <c r="I141" i="55" a="1"/>
  <c r="I141" i="55" s="1"/>
  <c r="G145" i="55" a="1"/>
  <c r="G145" i="55" s="1"/>
  <c r="G194" i="55" a="1"/>
  <c r="G194" i="55" s="1"/>
  <c r="I201" i="55" a="1"/>
  <c r="I201" i="55" s="1"/>
  <c r="I208" i="55" a="1"/>
  <c r="I208" i="55" s="1"/>
  <c r="I215" i="55" a="1"/>
  <c r="I215" i="55" s="1"/>
  <c r="I191" i="55" a="1"/>
  <c r="I191" i="55" s="1"/>
  <c r="G198" i="55" a="1"/>
  <c r="G198" i="55" s="1"/>
  <c r="G206" i="55" a="1"/>
  <c r="G206" i="55" s="1"/>
  <c r="I325" i="55" a="1"/>
  <c r="I325" i="55" s="1"/>
  <c r="G329" i="55" a="1"/>
  <c r="G329" i="55" s="1"/>
  <c r="G327" i="55" a="1"/>
  <c r="G327" i="55" s="1"/>
  <c r="K327" i="55" s="1"/>
  <c r="G361" i="55" a="1"/>
  <c r="G361" i="55" s="1"/>
  <c r="G294" i="55" a="1"/>
  <c r="G294" i="55" s="1"/>
  <c r="G359" i="55" a="1"/>
  <c r="G359" i="55" s="1"/>
  <c r="I321" i="55" a="1"/>
  <c r="I321" i="55" s="1"/>
  <c r="I241" i="55" a="1"/>
  <c r="I241" i="55" s="1"/>
  <c r="I317" i="55" a="1"/>
  <c r="I317" i="55" s="1"/>
  <c r="I277" i="55" a="1"/>
  <c r="I277" i="55" s="1"/>
  <c r="G358" i="55" a="1"/>
  <c r="G358" i="55" s="1"/>
  <c r="G224" i="55" a="1"/>
  <c r="G224" i="55" s="1"/>
  <c r="G308" i="55" a="1"/>
  <c r="G308" i="55" s="1"/>
  <c r="G356" i="55" a="1"/>
  <c r="G356" i="55" s="1"/>
  <c r="I356" i="55" a="1"/>
  <c r="I356" i="55" s="1"/>
  <c r="G139" i="55" a="1"/>
  <c r="G139" i="55" s="1"/>
  <c r="G144" i="55" a="1"/>
  <c r="G144" i="55" s="1"/>
  <c r="G357" i="55" a="1"/>
  <c r="G357" i="55" s="1"/>
  <c r="K357" i="55" s="1"/>
  <c r="G313" i="55" a="1"/>
  <c r="G313" i="55" s="1"/>
  <c r="K313" i="55" s="1"/>
  <c r="G259" i="55" a="1"/>
  <c r="G259" i="55" s="1"/>
  <c r="G310" i="55" a="1"/>
  <c r="G310" i="55" s="1"/>
  <c r="I358" i="55" a="1"/>
  <c r="I358" i="55" s="1"/>
  <c r="I224" i="55" a="1"/>
  <c r="I224" i="55" s="1"/>
  <c r="G260" i="55" a="1"/>
  <c r="G260" i="55" s="1"/>
  <c r="G289" i="55" a="1"/>
  <c r="G289" i="55" s="1"/>
  <c r="G354" i="55" a="1"/>
  <c r="G354" i="55" s="1"/>
  <c r="G292" i="55" a="1"/>
  <c r="G292" i="55" s="1"/>
  <c r="G375" i="55" a="1"/>
  <c r="G375" i="55" s="1"/>
  <c r="G372" i="55" a="1"/>
  <c r="G372" i="55" s="1"/>
  <c r="G14" i="55" a="1"/>
  <c r="G14" i="55" s="1"/>
  <c r="K14" i="55" s="1"/>
  <c r="G316" i="55" a="1"/>
  <c r="G316" i="55" s="1"/>
  <c r="I302" i="55" a="1"/>
  <c r="I302" i="55" s="1"/>
  <c r="G297" i="55" a="1"/>
  <c r="G297" i="55" s="1"/>
  <c r="G148" i="55" a="1"/>
  <c r="G148" i="55" s="1"/>
  <c r="G142" i="55" a="1"/>
  <c r="G142" i="55" s="1"/>
  <c r="I145" i="55" a="1"/>
  <c r="I145" i="55" s="1"/>
  <c r="G151" i="55" a="1"/>
  <c r="G151" i="55" s="1"/>
  <c r="G141" i="55" a="1"/>
  <c r="G141" i="55" s="1"/>
  <c r="I197" i="55" a="1"/>
  <c r="I197" i="55" s="1"/>
  <c r="I204" i="55" a="1"/>
  <c r="I204" i="55" s="1"/>
  <c r="I212" i="55" a="1"/>
  <c r="I212" i="55" s="1"/>
  <c r="I214" i="55" a="1"/>
  <c r="I214" i="55" s="1"/>
  <c r="I194" i="55" a="1"/>
  <c r="I194" i="55" s="1"/>
  <c r="G202" i="55" a="1"/>
  <c r="G202" i="55" s="1"/>
  <c r="G210" i="55" a="1"/>
  <c r="G210" i="55" s="1"/>
  <c r="G143" i="55" a="1"/>
  <c r="G143" i="55" s="1"/>
  <c r="I207" i="55" a="1"/>
  <c r="I207" i="55" s="1"/>
  <c r="I196" i="55" a="1"/>
  <c r="I196" i="55" s="1"/>
  <c r="I206" i="55" a="1"/>
  <c r="I206" i="55" s="1"/>
  <c r="G195" i="55" a="1"/>
  <c r="G195" i="55" s="1"/>
  <c r="I205" i="55" a="1"/>
  <c r="I205" i="55" s="1"/>
  <c r="G158" i="55" a="1"/>
  <c r="G158" i="55" s="1"/>
  <c r="G168" i="55" a="1"/>
  <c r="G168" i="55" s="1"/>
  <c r="G178" i="55" a="1"/>
  <c r="G178" i="55" s="1"/>
  <c r="I189" i="55" a="1"/>
  <c r="I189" i="55" s="1"/>
  <c r="I158" i="55" a="1"/>
  <c r="I158" i="55" s="1"/>
  <c r="I168" i="55" a="1"/>
  <c r="I168" i="55" s="1"/>
  <c r="I180" i="55" a="1"/>
  <c r="I180" i="55" s="1"/>
  <c r="G185" i="55" a="1"/>
  <c r="G185" i="55" s="1"/>
  <c r="G161" i="55" a="1"/>
  <c r="G161" i="55" s="1"/>
  <c r="G173" i="55" a="1"/>
  <c r="G173" i="55" s="1"/>
  <c r="G183" i="55" a="1"/>
  <c r="G183" i="55" s="1"/>
  <c r="I161" i="55" a="1"/>
  <c r="I161" i="55" s="1"/>
  <c r="I169" i="55" a="1"/>
  <c r="I169" i="55" s="1"/>
  <c r="I177" i="55" a="1"/>
  <c r="I177" i="55" s="1"/>
  <c r="I185" i="55" a="1"/>
  <c r="I185" i="55" s="1"/>
  <c r="G149" i="55" a="1"/>
  <c r="G149" i="55" s="1"/>
  <c r="I146" i="55" a="1"/>
  <c r="I146" i="55" s="1"/>
  <c r="I179" i="55" a="1"/>
  <c r="I179" i="55" s="1"/>
  <c r="I144" i="55" a="1"/>
  <c r="I144" i="55" s="1"/>
  <c r="I173" i="55" a="1"/>
  <c r="I173" i="55" s="1"/>
  <c r="I150" i="55" a="1"/>
  <c r="I150" i="55" s="1"/>
  <c r="I140" i="55" a="1"/>
  <c r="I140" i="55" s="1"/>
  <c r="I195" i="55" a="1"/>
  <c r="I195" i="55" s="1"/>
  <c r="I198" i="55" a="1"/>
  <c r="I198" i="55" s="1"/>
  <c r="I210" i="55" a="1"/>
  <c r="I210" i="55" s="1"/>
  <c r="G197" i="55" a="1"/>
  <c r="G197" i="55" s="1"/>
  <c r="G208" i="55" a="1"/>
  <c r="G208" i="55" s="1"/>
  <c r="G160" i="55" a="1"/>
  <c r="G160" i="55" s="1"/>
  <c r="G170" i="55" a="1"/>
  <c r="G170" i="55" s="1"/>
  <c r="K170" i="55" s="1"/>
  <c r="G182" i="55" a="1"/>
  <c r="G182" i="55" s="1"/>
  <c r="G187" i="55" a="1"/>
  <c r="G187" i="55" s="1"/>
  <c r="I160" i="55" a="1"/>
  <c r="I160" i="55" s="1"/>
  <c r="I172" i="55" a="1"/>
  <c r="I172" i="55" s="1"/>
  <c r="I182" i="55" a="1"/>
  <c r="I182" i="55" s="1"/>
  <c r="G153" i="55" a="1"/>
  <c r="G153" i="55" s="1"/>
  <c r="G165" i="55" a="1"/>
  <c r="G165" i="55" s="1"/>
  <c r="G175" i="55" a="1"/>
  <c r="G175" i="55" s="1"/>
  <c r="I153" i="55" a="1"/>
  <c r="I153" i="55" s="1"/>
  <c r="I163" i="55" a="1"/>
  <c r="I163" i="55" s="1"/>
  <c r="I171" i="55" a="1"/>
  <c r="I171" i="55" s="1"/>
  <c r="I187" i="55" a="1"/>
  <c r="I187" i="55" s="1"/>
  <c r="I165" i="55" a="1"/>
  <c r="I165" i="55" s="1"/>
  <c r="G189" i="55" a="1"/>
  <c r="G189" i="55" s="1"/>
  <c r="I148" i="55" a="1"/>
  <c r="I148" i="55" s="1"/>
  <c r="I147" i="55" a="1"/>
  <c r="I147" i="55" s="1"/>
  <c r="G203" i="55" a="1"/>
  <c r="G203" i="55" s="1"/>
  <c r="G193" i="55" a="1"/>
  <c r="G193" i="55" s="1"/>
  <c r="G190" i="55" a="1"/>
  <c r="G190" i="55" s="1"/>
  <c r="I202" i="55" a="1"/>
  <c r="I202" i="55" s="1"/>
  <c r="G213" i="55" a="1"/>
  <c r="G213" i="55" s="1"/>
  <c r="G199" i="55" a="1"/>
  <c r="G199" i="55" s="1"/>
  <c r="K199" i="55" s="1"/>
  <c r="G212" i="55" a="1"/>
  <c r="G212" i="55" s="1"/>
  <c r="G152" i="55" a="1"/>
  <c r="G152" i="55" s="1"/>
  <c r="G162" i="55" a="1"/>
  <c r="G162" i="55" s="1"/>
  <c r="G174" i="55" a="1"/>
  <c r="G174" i="55" s="1"/>
  <c r="G184" i="55" a="1"/>
  <c r="G184" i="55" s="1"/>
  <c r="I152" i="55" a="1"/>
  <c r="I152" i="55" s="1"/>
  <c r="I164" i="55" a="1"/>
  <c r="I164" i="55" s="1"/>
  <c r="I174" i="55" a="1"/>
  <c r="I174" i="55" s="1"/>
  <c r="I184" i="55" a="1"/>
  <c r="I184" i="55" s="1"/>
  <c r="G157" i="55" a="1"/>
  <c r="G157" i="55" s="1"/>
  <c r="G167" i="55" a="1"/>
  <c r="G167" i="55" s="1"/>
  <c r="G177" i="55" a="1"/>
  <c r="G177" i="55" s="1"/>
  <c r="I157" i="55" a="1"/>
  <c r="I157" i="55" s="1"/>
  <c r="I181" i="55" a="1"/>
  <c r="I181" i="55" s="1"/>
  <c r="I142" i="55" a="1"/>
  <c r="I142" i="55" s="1"/>
  <c r="I139" i="55" a="1"/>
  <c r="I139" i="55" s="1"/>
  <c r="G211" i="55" a="1"/>
  <c r="G211" i="55" s="1"/>
  <c r="G200" i="55" a="1"/>
  <c r="G200" i="55" s="1"/>
  <c r="I193" i="55" a="1"/>
  <c r="I193" i="55" s="1"/>
  <c r="G205" i="55" a="1"/>
  <c r="G205" i="55" s="1"/>
  <c r="I190" i="55" a="1"/>
  <c r="I190" i="55" s="1"/>
  <c r="G204" i="55" a="1"/>
  <c r="G204" i="55" s="1"/>
  <c r="I213" i="55" a="1"/>
  <c r="I213" i="55" s="1"/>
  <c r="G154" i="55" a="1"/>
  <c r="G154" i="55" s="1"/>
  <c r="G166" i="55" a="1"/>
  <c r="G166" i="55" s="1"/>
  <c r="G176" i="55" a="1"/>
  <c r="G176" i="55" s="1"/>
  <c r="G186" i="55" a="1"/>
  <c r="G186" i="55" s="1"/>
  <c r="I156" i="55" a="1"/>
  <c r="I156" i="55" s="1"/>
  <c r="I166" i="55" a="1"/>
  <c r="I166" i="55" s="1"/>
  <c r="I176" i="55" a="1"/>
  <c r="I176" i="55" s="1"/>
  <c r="I188" i="55" a="1"/>
  <c r="I188" i="55" s="1"/>
  <c r="G159" i="55" a="1"/>
  <c r="G159" i="55" s="1"/>
  <c r="G169" i="55" a="1"/>
  <c r="G169" i="55" s="1"/>
  <c r="G181" i="55" a="1"/>
  <c r="G181" i="55" s="1"/>
  <c r="I159" i="55" a="1"/>
  <c r="I159" i="55" s="1"/>
  <c r="I167" i="55" a="1"/>
  <c r="I167" i="55" s="1"/>
  <c r="I175" i="55" a="1"/>
  <c r="I175" i="55" s="1"/>
  <c r="I183" i="55" a="1"/>
  <c r="I183" i="55" s="1"/>
  <c r="I149" i="55" a="1"/>
  <c r="I149" i="55" s="1"/>
  <c r="A16" i="12"/>
  <c r="K154" i="55" l="1"/>
  <c r="K310" i="55"/>
  <c r="K203" i="55"/>
  <c r="K151" i="55"/>
  <c r="K260" i="55"/>
  <c r="K256" i="55"/>
  <c r="K359" i="55"/>
  <c r="K375" i="55"/>
  <c r="K240" i="55"/>
  <c r="K269" i="55"/>
  <c r="K294" i="55"/>
  <c r="K259" i="55"/>
  <c r="K336" i="55"/>
  <c r="K354" i="55"/>
  <c r="K376" i="55"/>
  <c r="K228" i="55"/>
  <c r="K143" i="55"/>
  <c r="K308" i="55"/>
  <c r="K200" i="55"/>
  <c r="K316" i="55"/>
  <c r="K361" i="55"/>
  <c r="K205" i="55"/>
  <c r="A44" i="43"/>
  <c r="C44" i="43"/>
  <c r="E44" i="43"/>
  <c r="G44" i="43"/>
  <c r="D44" i="43"/>
  <c r="B44" i="43"/>
  <c r="F44" i="43"/>
  <c r="K340" i="55"/>
  <c r="K197" i="55"/>
  <c r="K219" i="55"/>
  <c r="K352" i="55"/>
  <c r="K360" i="55"/>
  <c r="K297" i="55"/>
  <c r="K356" i="55"/>
  <c r="K302" i="55"/>
  <c r="K225" i="55"/>
  <c r="K290" i="55"/>
  <c r="K322" i="55"/>
  <c r="K358" i="55"/>
  <c r="K317" i="55"/>
  <c r="K258" i="55"/>
  <c r="K223" i="55"/>
  <c r="K315" i="55"/>
  <c r="K366" i="55"/>
  <c r="K305" i="55"/>
  <c r="K224" i="55"/>
  <c r="K281" i="55"/>
  <c r="K306" i="55"/>
  <c r="K284" i="55"/>
  <c r="K141" i="55"/>
  <c r="K186" i="55"/>
  <c r="K178" i="55"/>
  <c r="K292" i="55"/>
  <c r="K329" i="55"/>
  <c r="K211" i="55"/>
  <c r="K144" i="55"/>
  <c r="K177" i="55"/>
  <c r="K159" i="55"/>
  <c r="K231" i="55"/>
  <c r="K193" i="55"/>
  <c r="K153" i="55"/>
  <c r="K204" i="55"/>
  <c r="K212" i="55"/>
  <c r="K165" i="55"/>
  <c r="K185" i="55"/>
  <c r="K192" i="55"/>
  <c r="K181" i="55"/>
  <c r="K149" i="55"/>
  <c r="K157" i="55"/>
  <c r="K142" i="55"/>
  <c r="K169" i="55"/>
  <c r="K372" i="55"/>
  <c r="K289" i="55"/>
  <c r="K162" i="55"/>
  <c r="K150" i="55"/>
  <c r="K166" i="55"/>
  <c r="K208" i="55"/>
  <c r="K175" i="55"/>
  <c r="K161" i="55"/>
  <c r="K158" i="55"/>
  <c r="K206" i="55"/>
  <c r="K145" i="55"/>
  <c r="K321" i="55"/>
  <c r="K155" i="55"/>
  <c r="K172" i="55"/>
  <c r="K196" i="55"/>
  <c r="K207" i="55"/>
  <c r="K190" i="55"/>
  <c r="K198" i="55"/>
  <c r="K179" i="55"/>
  <c r="K164" i="55"/>
  <c r="K201" i="55"/>
  <c r="K140" i="55"/>
  <c r="K160" i="55"/>
  <c r="K210" i="55"/>
  <c r="K189" i="55"/>
  <c r="K183" i="55"/>
  <c r="K202" i="55"/>
  <c r="K277" i="55"/>
  <c r="K241" i="55"/>
  <c r="K171" i="55"/>
  <c r="K188" i="55"/>
  <c r="K156" i="55"/>
  <c r="K214" i="55"/>
  <c r="K191" i="55"/>
  <c r="K229" i="55"/>
  <c r="K176" i="55"/>
  <c r="K152" i="55"/>
  <c r="K184" i="55"/>
  <c r="K174" i="55"/>
  <c r="K187" i="55"/>
  <c r="K167" i="55"/>
  <c r="K213" i="55"/>
  <c r="K182" i="55"/>
  <c r="K173" i="55"/>
  <c r="K168" i="55"/>
  <c r="K195" i="55"/>
  <c r="K148" i="55"/>
  <c r="K139" i="55"/>
  <c r="K194" i="55"/>
  <c r="K146" i="55"/>
  <c r="K163" i="55"/>
  <c r="K180" i="55"/>
  <c r="K209" i="55"/>
  <c r="K215" i="55"/>
  <c r="K147" i="55"/>
  <c r="K325" i="55"/>
  <c r="A12" i="43"/>
  <c r="G74" i="43" s="1"/>
  <c r="G135" i="55" a="1"/>
  <c r="G135" i="55" s="1"/>
  <c r="A16" i="55"/>
  <c r="B15" i="55"/>
  <c r="A15" i="55" s="1"/>
  <c r="B13" i="55"/>
  <c r="B12" i="55"/>
  <c r="F2" i="43" l="1"/>
  <c r="A73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7" i="12"/>
  <c r="C17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J16" i="77" l="1"/>
  <c r="K29" i="77"/>
  <c r="H22" i="74"/>
  <c r="J19" i="77"/>
  <c r="I16" i="74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7" i="15"/>
  <c r="C54" i="15" s="1"/>
  <c r="D37" i="15"/>
  <c r="D54" i="15" l="1"/>
  <c r="F36" i="74"/>
  <c r="F37" i="74" s="1"/>
  <c r="G34" i="77"/>
  <c r="F33" i="77"/>
  <c r="F34" i="77" s="1"/>
  <c r="G28" i="78"/>
  <c r="G24" i="75"/>
  <c r="F23" i="75"/>
  <c r="F24" i="75" s="1"/>
  <c r="G37" i="74"/>
  <c r="D39" i="15"/>
  <c r="G29" i="78" l="1"/>
  <c r="F28" i="78"/>
  <c r="F29" i="78" s="1"/>
  <c r="B11" i="61"/>
  <c r="I367" i="60"/>
  <c r="I243" i="60"/>
  <c r="A242" i="60"/>
  <c r="I136" i="60"/>
  <c r="C136" i="60"/>
  <c r="I56" i="60"/>
  <c r="C56" i="60"/>
  <c r="A31" i="58"/>
  <c r="I13" i="58"/>
  <c r="C8" i="58"/>
  <c r="A73" i="57"/>
  <c r="L13" i="57"/>
  <c r="K13" i="57"/>
  <c r="I7" i="57"/>
  <c r="D7" i="56"/>
  <c r="C7" i="56"/>
  <c r="D5" i="56"/>
  <c r="F381" i="55"/>
  <c r="F382" i="55" s="1"/>
  <c r="E381" i="55"/>
  <c r="A381" i="55"/>
  <c r="I135" i="55" a="1"/>
  <c r="I135" i="55" s="1"/>
  <c r="I18" i="55" a="1"/>
  <c r="I18" i="55" s="1"/>
  <c r="G18" i="55" a="1"/>
  <c r="G18" i="55" s="1"/>
  <c r="G217" i="55" s="1"/>
  <c r="F16" i="55"/>
  <c r="F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063" i="34" l="1"/>
  <c r="V589" i="34"/>
  <c r="V1051" i="34"/>
  <c r="V1068" i="34"/>
  <c r="V1035" i="34"/>
  <c r="V1039" i="34"/>
  <c r="V1008" i="34"/>
  <c r="V1015" i="34"/>
  <c r="V981" i="34"/>
  <c r="V1003" i="34"/>
  <c r="V879" i="34"/>
  <c r="V917" i="34"/>
  <c r="V814" i="34"/>
  <c r="V853" i="34"/>
  <c r="V759" i="34"/>
  <c r="V781" i="34"/>
  <c r="V734" i="34"/>
  <c r="V760" i="34"/>
  <c r="V673" i="34"/>
  <c r="V713" i="34"/>
  <c r="V559" i="34"/>
  <c r="V619" i="34"/>
  <c r="V532" i="34"/>
  <c r="V548" i="34"/>
  <c r="V497" i="34"/>
  <c r="V511" i="34"/>
  <c r="V555" i="34"/>
  <c r="V565" i="34"/>
  <c r="V856" i="34"/>
  <c r="V912" i="34"/>
  <c r="V805" i="34"/>
  <c r="V842" i="34"/>
  <c r="V724" i="34"/>
  <c r="V764" i="34"/>
  <c r="V574" i="34"/>
  <c r="V695" i="34"/>
  <c r="V562" i="34"/>
  <c r="V568" i="34"/>
  <c r="V517" i="34"/>
  <c r="V542" i="34"/>
  <c r="V888" i="34"/>
  <c r="V904" i="34"/>
  <c r="V641" i="34"/>
  <c r="V666" i="34"/>
  <c r="V545" i="34"/>
  <c r="V630" i="34"/>
  <c r="V528" i="34"/>
  <c r="V537" i="34"/>
  <c r="V592" i="34"/>
  <c r="V508" i="34"/>
  <c r="V623" i="34"/>
  <c r="V789" i="34"/>
  <c r="V863" i="34"/>
  <c r="V986" i="34"/>
  <c r="V698" i="34"/>
  <c r="V802" i="34"/>
  <c r="V959" i="34"/>
  <c r="V514" i="34"/>
  <c r="V946" i="34"/>
  <c r="V956" i="34"/>
  <c r="V1086" i="34"/>
  <c r="V936" i="34"/>
  <c r="V1023" i="34"/>
  <c r="V1028" i="34"/>
  <c r="V745" i="34"/>
  <c r="V963" i="34"/>
  <c r="V616" i="34"/>
  <c r="V657" i="34"/>
  <c r="V595" i="34"/>
  <c r="V601" i="34"/>
  <c r="V649" i="34"/>
  <c r="V652" i="34"/>
  <c r="D65" i="60"/>
  <c r="E65" i="60"/>
  <c r="F65" i="60"/>
  <c r="F66" i="60"/>
  <c r="F67" i="60"/>
  <c r="F68" i="60"/>
  <c r="F69" i="60"/>
  <c r="F70" i="60"/>
  <c r="F71" i="60"/>
  <c r="F72" i="60"/>
  <c r="F73" i="60"/>
  <c r="F74" i="60"/>
  <c r="F75" i="60"/>
  <c r="F76" i="60"/>
  <c r="F77" i="60"/>
  <c r="F78" i="60"/>
  <c r="F79" i="60"/>
  <c r="F80" i="60"/>
  <c r="F81" i="60"/>
  <c r="F82" i="60"/>
  <c r="F83" i="60"/>
  <c r="F84" i="60"/>
  <c r="F85" i="60"/>
  <c r="F86" i="60"/>
  <c r="F87" i="60"/>
  <c r="F88" i="60"/>
  <c r="F89" i="60"/>
  <c r="F90" i="60"/>
  <c r="F91" i="60"/>
  <c r="F92" i="60"/>
  <c r="F93" i="60"/>
  <c r="F94" i="60"/>
  <c r="F95" i="60"/>
  <c r="F96" i="60"/>
  <c r="F97" i="60"/>
  <c r="F98" i="60"/>
  <c r="F99" i="60"/>
  <c r="F100" i="60"/>
  <c r="F101" i="60"/>
  <c r="F102" i="60"/>
  <c r="F103" i="60"/>
  <c r="F104" i="60"/>
  <c r="F105" i="60"/>
  <c r="F106" i="60"/>
  <c r="F107" i="60"/>
  <c r="D66" i="60"/>
  <c r="G68" i="60"/>
  <c r="E69" i="60"/>
  <c r="D70" i="60"/>
  <c r="G72" i="60"/>
  <c r="E73" i="60"/>
  <c r="D74" i="60"/>
  <c r="G76" i="60"/>
  <c r="E77" i="60"/>
  <c r="D78" i="60"/>
  <c r="G80" i="60"/>
  <c r="E81" i="60"/>
  <c r="D82" i="60"/>
  <c r="D85" i="60"/>
  <c r="D87" i="60"/>
  <c r="D89" i="60"/>
  <c r="D91" i="60"/>
  <c r="D93" i="60"/>
  <c r="D95" i="60"/>
  <c r="D97" i="60"/>
  <c r="D99" i="60"/>
  <c r="D101" i="60"/>
  <c r="D103" i="60"/>
  <c r="D105" i="60"/>
  <c r="D107" i="60"/>
  <c r="E110" i="60"/>
  <c r="E111" i="60"/>
  <c r="E112" i="60"/>
  <c r="E120" i="60"/>
  <c r="E122" i="60"/>
  <c r="E127" i="60"/>
  <c r="E128" i="60"/>
  <c r="E130" i="60"/>
  <c r="E133" i="60"/>
  <c r="F108" i="60"/>
  <c r="F110" i="60"/>
  <c r="F121" i="60"/>
  <c r="G65" i="60"/>
  <c r="E66" i="60"/>
  <c r="D67" i="60"/>
  <c r="G69" i="60"/>
  <c r="E70" i="60"/>
  <c r="D71" i="60"/>
  <c r="G73" i="60"/>
  <c r="E74" i="60"/>
  <c r="D75" i="60"/>
  <c r="G77" i="60"/>
  <c r="E78" i="60"/>
  <c r="D79" i="60"/>
  <c r="G81" i="60"/>
  <c r="E82" i="60"/>
  <c r="D83" i="60"/>
  <c r="G84" i="60"/>
  <c r="E85" i="60"/>
  <c r="G86" i="60"/>
  <c r="E87" i="60"/>
  <c r="G88" i="60"/>
  <c r="E89" i="60"/>
  <c r="G90" i="60"/>
  <c r="E91" i="60"/>
  <c r="G92" i="60"/>
  <c r="E93" i="60"/>
  <c r="G94" i="60"/>
  <c r="E95" i="60"/>
  <c r="G96" i="60"/>
  <c r="E97" i="60"/>
  <c r="G98" i="60"/>
  <c r="E99" i="60"/>
  <c r="G100" i="60"/>
  <c r="E101" i="60"/>
  <c r="G102" i="60"/>
  <c r="E103" i="60"/>
  <c r="G104" i="60"/>
  <c r="E105" i="60"/>
  <c r="E107" i="60"/>
  <c r="F109" i="60"/>
  <c r="F114" i="60"/>
  <c r="F115" i="60"/>
  <c r="F116" i="60"/>
  <c r="F117" i="60"/>
  <c r="G66" i="60"/>
  <c r="E67" i="60"/>
  <c r="D68" i="60"/>
  <c r="G70" i="60"/>
  <c r="E71" i="60"/>
  <c r="D72" i="60"/>
  <c r="G74" i="60"/>
  <c r="E75" i="60"/>
  <c r="D76" i="60"/>
  <c r="G78" i="60"/>
  <c r="E79" i="60"/>
  <c r="D80" i="60"/>
  <c r="G82" i="60"/>
  <c r="E83" i="60"/>
  <c r="D84" i="60"/>
  <c r="D86" i="60"/>
  <c r="D88" i="60"/>
  <c r="D90" i="60"/>
  <c r="D92" i="60"/>
  <c r="D94" i="60"/>
  <c r="D96" i="60"/>
  <c r="D98" i="60"/>
  <c r="D100" i="60"/>
  <c r="D102" i="60"/>
  <c r="D104" i="60"/>
  <c r="D106" i="60"/>
  <c r="G67" i="60"/>
  <c r="E68" i="60"/>
  <c r="D69" i="60"/>
  <c r="G71" i="60"/>
  <c r="E72" i="60"/>
  <c r="D73" i="60"/>
  <c r="G75" i="60"/>
  <c r="E76" i="60"/>
  <c r="D77" i="60"/>
  <c r="G79" i="60"/>
  <c r="E80" i="60"/>
  <c r="D81" i="60"/>
  <c r="H81" i="60" s="1"/>
  <c r="J81" i="60" s="1"/>
  <c r="G83" i="60"/>
  <c r="E84" i="60"/>
  <c r="G85" i="60"/>
  <c r="E86" i="60"/>
  <c r="G87" i="60"/>
  <c r="E88" i="60"/>
  <c r="G89" i="60"/>
  <c r="E90" i="60"/>
  <c r="G91" i="60"/>
  <c r="E92" i="60"/>
  <c r="G93" i="60"/>
  <c r="E94" i="60"/>
  <c r="G95" i="60"/>
  <c r="E96" i="60"/>
  <c r="G97" i="60"/>
  <c r="E98" i="60"/>
  <c r="G99" i="60"/>
  <c r="E100" i="60"/>
  <c r="G101" i="60"/>
  <c r="E102" i="60"/>
  <c r="G103" i="60"/>
  <c r="E104" i="60"/>
  <c r="G105" i="60"/>
  <c r="E106" i="60"/>
  <c r="G107" i="60"/>
  <c r="D108" i="60"/>
  <c r="G108" i="60"/>
  <c r="D109" i="60"/>
  <c r="G109" i="60"/>
  <c r="D110" i="60"/>
  <c r="G110" i="60"/>
  <c r="D111" i="60"/>
  <c r="G111" i="60"/>
  <c r="D112" i="60"/>
  <c r="G112" i="60"/>
  <c r="D113" i="60"/>
  <c r="G113" i="60"/>
  <c r="D114" i="60"/>
  <c r="G114" i="60"/>
  <c r="D115" i="60"/>
  <c r="G115" i="60"/>
  <c r="D116" i="60"/>
  <c r="G116" i="60"/>
  <c r="D117" i="60"/>
  <c r="G117" i="60"/>
  <c r="D118" i="60"/>
  <c r="G118" i="60"/>
  <c r="D119" i="60"/>
  <c r="G119" i="60"/>
  <c r="D120" i="60"/>
  <c r="G120" i="60"/>
  <c r="D121" i="60"/>
  <c r="G121" i="60"/>
  <c r="D122" i="60"/>
  <c r="G122" i="60"/>
  <c r="D123" i="60"/>
  <c r="G123" i="60"/>
  <c r="D124" i="60"/>
  <c r="G124" i="60"/>
  <c r="D125" i="60"/>
  <c r="G125" i="60"/>
  <c r="D126" i="60"/>
  <c r="G126" i="60"/>
  <c r="D127" i="60"/>
  <c r="G127" i="60"/>
  <c r="D128" i="60"/>
  <c r="G128" i="60"/>
  <c r="D129" i="60"/>
  <c r="G129" i="60"/>
  <c r="D130" i="60"/>
  <c r="G130" i="60"/>
  <c r="D131" i="60"/>
  <c r="G131" i="60"/>
  <c r="D132" i="60"/>
  <c r="G132" i="60"/>
  <c r="D133" i="60"/>
  <c r="G133" i="60"/>
  <c r="D134" i="60"/>
  <c r="G134" i="60"/>
  <c r="E108" i="60"/>
  <c r="E109" i="60"/>
  <c r="E113" i="60"/>
  <c r="E114" i="60"/>
  <c r="E115" i="60"/>
  <c r="E116" i="60"/>
  <c r="E117" i="60"/>
  <c r="E118" i="60"/>
  <c r="E119" i="60"/>
  <c r="E121" i="60"/>
  <c r="E123" i="60"/>
  <c r="E124" i="60"/>
  <c r="E125" i="60"/>
  <c r="E126" i="60"/>
  <c r="E129" i="60"/>
  <c r="E131" i="60"/>
  <c r="E132" i="60"/>
  <c r="E134" i="60"/>
  <c r="G106" i="60"/>
  <c r="F111" i="60"/>
  <c r="F112" i="60"/>
  <c r="F113" i="60"/>
  <c r="F118" i="60"/>
  <c r="F119" i="60"/>
  <c r="F120" i="60"/>
  <c r="F122" i="60"/>
  <c r="F123" i="60"/>
  <c r="F124" i="60"/>
  <c r="F125" i="60"/>
  <c r="F126" i="60"/>
  <c r="F127" i="60"/>
  <c r="F128" i="60"/>
  <c r="F129" i="60"/>
  <c r="F130" i="60"/>
  <c r="F131" i="60"/>
  <c r="F132" i="60"/>
  <c r="F133" i="60"/>
  <c r="F134" i="60"/>
  <c r="F50" i="60"/>
  <c r="E51" i="60"/>
  <c r="D52" i="60"/>
  <c r="G52" i="60"/>
  <c r="F54" i="60"/>
  <c r="F51" i="60"/>
  <c r="E52" i="60"/>
  <c r="D53" i="60"/>
  <c r="G53" i="60"/>
  <c r="D50" i="60"/>
  <c r="G50" i="60"/>
  <c r="F52" i="60"/>
  <c r="E53" i="60"/>
  <c r="D54" i="60"/>
  <c r="G54" i="60"/>
  <c r="E50" i="60"/>
  <c r="D51" i="60"/>
  <c r="G51" i="60"/>
  <c r="F53" i="60"/>
  <c r="E54" i="60"/>
  <c r="F7" i="60"/>
  <c r="E8" i="60"/>
  <c r="D9" i="60"/>
  <c r="G9" i="60"/>
  <c r="F11" i="60"/>
  <c r="E12" i="60"/>
  <c r="D13" i="60"/>
  <c r="G13" i="60"/>
  <c r="F15" i="60"/>
  <c r="E16" i="60"/>
  <c r="D17" i="60"/>
  <c r="G17" i="60"/>
  <c r="F19" i="60"/>
  <c r="E20" i="60"/>
  <c r="D21" i="60"/>
  <c r="G21" i="60"/>
  <c r="F23" i="60"/>
  <c r="E24" i="60"/>
  <c r="D25" i="60"/>
  <c r="G25" i="60"/>
  <c r="F27" i="60"/>
  <c r="E28" i="60"/>
  <c r="D29" i="60"/>
  <c r="G29" i="60"/>
  <c r="F31" i="60"/>
  <c r="D33" i="60"/>
  <c r="G33" i="60"/>
  <c r="E36" i="60"/>
  <c r="D37" i="60"/>
  <c r="G37" i="60"/>
  <c r="E40" i="60"/>
  <c r="D41" i="60"/>
  <c r="G41" i="60"/>
  <c r="F43" i="60"/>
  <c r="D45" i="60"/>
  <c r="G45" i="60"/>
  <c r="F47" i="60"/>
  <c r="D34" i="60"/>
  <c r="F36" i="60"/>
  <c r="E37" i="60"/>
  <c r="G38" i="60"/>
  <c r="F44" i="60"/>
  <c r="E45" i="60"/>
  <c r="F8" i="60"/>
  <c r="E9" i="60"/>
  <c r="D10" i="60"/>
  <c r="G10" i="60"/>
  <c r="F12" i="60"/>
  <c r="E13" i="60"/>
  <c r="D14" i="60"/>
  <c r="G14" i="60"/>
  <c r="F16" i="60"/>
  <c r="E17" i="60"/>
  <c r="D18" i="60"/>
  <c r="G18" i="60"/>
  <c r="F20" i="60"/>
  <c r="E21" i="60"/>
  <c r="D22" i="60"/>
  <c r="G22" i="60"/>
  <c r="F24" i="60"/>
  <c r="E25" i="60"/>
  <c r="D26" i="60"/>
  <c r="G26" i="60"/>
  <c r="F28" i="60"/>
  <c r="E29" i="60"/>
  <c r="D30" i="60"/>
  <c r="G30" i="60"/>
  <c r="E41" i="60"/>
  <c r="D42" i="60"/>
  <c r="G42" i="60"/>
  <c r="D46" i="60"/>
  <c r="D7" i="60"/>
  <c r="G7" i="60"/>
  <c r="F9" i="60"/>
  <c r="E10" i="60"/>
  <c r="D11" i="60"/>
  <c r="G11" i="60"/>
  <c r="F13" i="60"/>
  <c r="E14" i="60"/>
  <c r="D15" i="60"/>
  <c r="G15" i="60"/>
  <c r="F17" i="60"/>
  <c r="E18" i="60"/>
  <c r="D19" i="60"/>
  <c r="G19" i="60"/>
  <c r="F21" i="60"/>
  <c r="E22" i="60"/>
  <c r="D23" i="60"/>
  <c r="G23" i="60"/>
  <c r="F25" i="60"/>
  <c r="E26" i="60"/>
  <c r="D27" i="60"/>
  <c r="G27" i="60"/>
  <c r="F29" i="60"/>
  <c r="E30" i="60"/>
  <c r="D31" i="60"/>
  <c r="G31" i="60"/>
  <c r="F33" i="60"/>
  <c r="E34" i="60"/>
  <c r="D35" i="60"/>
  <c r="G35" i="60"/>
  <c r="F37" i="60"/>
  <c r="E38" i="60"/>
  <c r="D39" i="60"/>
  <c r="G39" i="60"/>
  <c r="E7" i="60"/>
  <c r="D8" i="60"/>
  <c r="G8" i="60"/>
  <c r="F10" i="60"/>
  <c r="E11" i="60"/>
  <c r="D12" i="60"/>
  <c r="G12" i="60"/>
  <c r="F14" i="60"/>
  <c r="E15" i="60"/>
  <c r="D16" i="60"/>
  <c r="G16" i="60"/>
  <c r="F18" i="60"/>
  <c r="E19" i="60"/>
  <c r="D20" i="60"/>
  <c r="G20" i="60"/>
  <c r="F22" i="60"/>
  <c r="E23" i="60"/>
  <c r="D24" i="60"/>
  <c r="G24" i="60"/>
  <c r="F26" i="60"/>
  <c r="E27" i="60"/>
  <c r="D28" i="60"/>
  <c r="G28" i="60"/>
  <c r="F30" i="60"/>
  <c r="E31" i="60"/>
  <c r="D32" i="60"/>
  <c r="G32" i="60"/>
  <c r="F34" i="60"/>
  <c r="E35" i="60"/>
  <c r="D36" i="60"/>
  <c r="G36" i="60"/>
  <c r="F38" i="60"/>
  <c r="E39" i="60"/>
  <c r="D40" i="60"/>
  <c r="G40" i="60"/>
  <c r="F42" i="60"/>
  <c r="E43" i="60"/>
  <c r="D44" i="60"/>
  <c r="G44" i="60"/>
  <c r="F46" i="60"/>
  <c r="E47" i="60"/>
  <c r="D48" i="60"/>
  <c r="G48" i="60"/>
  <c r="E32" i="60"/>
  <c r="F35" i="60"/>
  <c r="F39" i="60"/>
  <c r="E44" i="60"/>
  <c r="E48" i="60"/>
  <c r="D49" i="60"/>
  <c r="G49" i="60"/>
  <c r="D6" i="60"/>
  <c r="F32" i="60"/>
  <c r="E33" i="60"/>
  <c r="G34" i="60"/>
  <c r="D38" i="60"/>
  <c r="F40" i="60"/>
  <c r="G46" i="60"/>
  <c r="F48" i="60"/>
  <c r="D47" i="60"/>
  <c r="F49" i="60"/>
  <c r="F41" i="60"/>
  <c r="E42" i="60"/>
  <c r="D43" i="60"/>
  <c r="G47" i="60"/>
  <c r="G43" i="60"/>
  <c r="F45" i="60"/>
  <c r="E46" i="60"/>
  <c r="E49" i="60"/>
  <c r="V63" i="34"/>
  <c r="V287" i="34"/>
  <c r="V866" i="34"/>
  <c r="V865" i="34"/>
  <c r="V864" i="34"/>
  <c r="V868" i="34"/>
  <c r="V867" i="34"/>
  <c r="V843" i="34"/>
  <c r="V845" i="34"/>
  <c r="V844" i="34"/>
  <c r="V841" i="34"/>
  <c r="V840" i="34"/>
  <c r="V839" i="34"/>
  <c r="V838" i="34"/>
  <c r="V835" i="34"/>
  <c r="V837" i="34"/>
  <c r="V836" i="34"/>
  <c r="V834" i="34"/>
  <c r="V833" i="34"/>
  <c r="V828" i="34"/>
  <c r="V830" i="34"/>
  <c r="V832" i="34"/>
  <c r="V831" i="34"/>
  <c r="V826" i="34"/>
  <c r="V829" i="34"/>
  <c r="V827" i="34"/>
  <c r="V823" i="34"/>
  <c r="V825" i="34"/>
  <c r="V824" i="34"/>
  <c r="V434" i="34"/>
  <c r="V376" i="34"/>
  <c r="V424" i="34"/>
  <c r="V490" i="34"/>
  <c r="V487" i="34"/>
  <c r="V484" i="34"/>
  <c r="V481" i="34"/>
  <c r="V478" i="34"/>
  <c r="V475" i="34"/>
  <c r="V472" i="34"/>
  <c r="V469" i="34"/>
  <c r="V465" i="34"/>
  <c r="V462" i="34"/>
  <c r="V458" i="34"/>
  <c r="V453" i="34"/>
  <c r="V449" i="34"/>
  <c r="V446" i="34"/>
  <c r="V443" i="34"/>
  <c r="V440" i="34"/>
  <c r="V437" i="34"/>
  <c r="V433" i="34"/>
  <c r="V430" i="34"/>
  <c r="V427" i="34"/>
  <c r="V421" i="34"/>
  <c r="V418" i="34"/>
  <c r="V414" i="34"/>
  <c r="V416" i="34"/>
  <c r="V410" i="34"/>
  <c r="V406" i="34"/>
  <c r="V399" i="34"/>
  <c r="V396" i="34"/>
  <c r="V387" i="34"/>
  <c r="V381" i="34"/>
  <c r="V375" i="34"/>
  <c r="V372" i="34"/>
  <c r="V368" i="34"/>
  <c r="V365" i="34"/>
  <c r="V359" i="34"/>
  <c r="V355" i="34"/>
  <c r="V351" i="34"/>
  <c r="V347" i="34"/>
  <c r="V341" i="34"/>
  <c r="V332" i="34"/>
  <c r="V327" i="34"/>
  <c r="V323" i="34"/>
  <c r="V318" i="34"/>
  <c r="V313" i="34"/>
  <c r="V306" i="34"/>
  <c r="V300" i="34"/>
  <c r="V13" i="34"/>
  <c r="V14" i="34"/>
  <c r="V18" i="34"/>
  <c r="V64" i="34"/>
  <c r="V68" i="34"/>
  <c r="V11" i="34"/>
  <c r="V15" i="34"/>
  <c r="V19" i="34"/>
  <c r="V65" i="34"/>
  <c r="V69" i="34"/>
  <c r="V12" i="34"/>
  <c r="V16" i="34"/>
  <c r="V20" i="34"/>
  <c r="V66" i="34"/>
  <c r="V70" i="34"/>
  <c r="V17" i="34"/>
  <c r="V21" i="34"/>
  <c r="V62" i="34"/>
  <c r="V67" i="34"/>
  <c r="V71" i="34"/>
  <c r="V75" i="34"/>
  <c r="V79" i="34"/>
  <c r="V84" i="34"/>
  <c r="V88" i="34"/>
  <c r="V92" i="34"/>
  <c r="V96" i="34"/>
  <c r="V100" i="34"/>
  <c r="V105" i="34"/>
  <c r="V109" i="34"/>
  <c r="V113" i="34"/>
  <c r="V118" i="34"/>
  <c r="V119" i="34"/>
  <c r="V123" i="34"/>
  <c r="V127" i="34"/>
  <c r="V131" i="34"/>
  <c r="V135" i="34"/>
  <c r="V139" i="34"/>
  <c r="V143" i="34"/>
  <c r="V147" i="34"/>
  <c r="V151" i="34"/>
  <c r="V157" i="34"/>
  <c r="V161" i="34"/>
  <c r="V165" i="34"/>
  <c r="V171" i="34"/>
  <c r="V175" i="34"/>
  <c r="V179" i="34"/>
  <c r="V183" i="34"/>
  <c r="V187" i="34"/>
  <c r="V191" i="34"/>
  <c r="V195" i="34"/>
  <c r="V199" i="34"/>
  <c r="V205" i="34"/>
  <c r="V209" i="34"/>
  <c r="V213" i="34"/>
  <c r="V217" i="34"/>
  <c r="V221" i="34"/>
  <c r="V225" i="34"/>
  <c r="V229" i="34"/>
  <c r="V233" i="34"/>
  <c r="V237" i="34"/>
  <c r="V241" i="34"/>
  <c r="V246" i="34"/>
  <c r="V250" i="34"/>
  <c r="V254" i="34"/>
  <c r="V258" i="34"/>
  <c r="V262" i="34"/>
  <c r="V267" i="34"/>
  <c r="V271" i="34"/>
  <c r="V278" i="34"/>
  <c r="V282" i="34"/>
  <c r="V286" i="34"/>
  <c r="V291" i="34"/>
  <c r="V295" i="34"/>
  <c r="V299" i="34"/>
  <c r="V304" i="34"/>
  <c r="V309" i="34"/>
  <c r="V314" i="34"/>
  <c r="V319" i="34"/>
  <c r="V324" i="34"/>
  <c r="V329" i="34"/>
  <c r="V334" i="34"/>
  <c r="V338" i="34"/>
  <c r="V343" i="34"/>
  <c r="V348" i="34"/>
  <c r="V353" i="34"/>
  <c r="V358" i="34"/>
  <c r="V363" i="34"/>
  <c r="V369" i="34"/>
  <c r="V374" i="34"/>
  <c r="V380" i="34"/>
  <c r="V385" i="34"/>
  <c r="V390" i="34"/>
  <c r="V394" i="34"/>
  <c r="V400" i="34"/>
  <c r="V404" i="34"/>
  <c r="V409" i="34"/>
  <c r="V74" i="34"/>
  <c r="V78" i="34"/>
  <c r="V82" i="34"/>
  <c r="V83" i="34"/>
  <c r="V87" i="34"/>
  <c r="V91" i="34"/>
  <c r="V95" i="34"/>
  <c r="V99" i="34"/>
  <c r="V104" i="34"/>
  <c r="V108" i="34"/>
  <c r="V112" i="34"/>
  <c r="V117" i="34"/>
  <c r="V122" i="34"/>
  <c r="V126" i="34"/>
  <c r="V130" i="34"/>
  <c r="V134" i="34"/>
  <c r="V138" i="34"/>
  <c r="V142" i="34"/>
  <c r="V146" i="34"/>
  <c r="V150" i="34"/>
  <c r="V156" i="34"/>
  <c r="V160" i="34"/>
  <c r="V164" i="34"/>
  <c r="V170" i="34"/>
  <c r="V174" i="34"/>
  <c r="V178" i="34"/>
  <c r="V182" i="34"/>
  <c r="V186" i="34"/>
  <c r="V190" i="34"/>
  <c r="V194" i="34"/>
  <c r="V198" i="34"/>
  <c r="V204" i="34"/>
  <c r="V208" i="34"/>
  <c r="V212" i="34"/>
  <c r="V216" i="34"/>
  <c r="V220" i="34"/>
  <c r="V224" i="34"/>
  <c r="V228" i="34"/>
  <c r="V232" i="34"/>
  <c r="V236" i="34"/>
  <c r="V240" i="34"/>
  <c r="V245" i="34"/>
  <c r="V249" i="34"/>
  <c r="V253" i="34"/>
  <c r="V257" i="34"/>
  <c r="V261" i="34"/>
  <c r="V265" i="34"/>
  <c r="V266" i="34"/>
  <c r="V270" i="34"/>
  <c r="V277" i="34"/>
  <c r="V281" i="34"/>
  <c r="V285" i="34"/>
  <c r="V290" i="34"/>
  <c r="V294" i="34"/>
  <c r="V298" i="34"/>
  <c r="V303" i="34"/>
  <c r="V308" i="34"/>
  <c r="V312" i="34"/>
  <c r="V317" i="34"/>
  <c r="V322" i="34"/>
  <c r="V328" i="34"/>
  <c r="V333" i="34"/>
  <c r="V337" i="34"/>
  <c r="V342" i="34"/>
  <c r="V346" i="34"/>
  <c r="V352" i="34"/>
  <c r="V357" i="34"/>
  <c r="V362" i="34"/>
  <c r="V367" i="34"/>
  <c r="V373" i="34"/>
  <c r="V379" i="34"/>
  <c r="V384" i="34"/>
  <c r="V389" i="34"/>
  <c r="V393" i="34"/>
  <c r="V398" i="34"/>
  <c r="V403" i="34"/>
  <c r="V408" i="34"/>
  <c r="V73" i="34"/>
  <c r="V77" i="34"/>
  <c r="V81" i="34"/>
  <c r="V86" i="34"/>
  <c r="V90" i="34"/>
  <c r="V94" i="34"/>
  <c r="V98" i="34"/>
  <c r="V102" i="34"/>
  <c r="V103" i="34"/>
  <c r="V107" i="34"/>
  <c r="V111" i="34"/>
  <c r="V115" i="34"/>
  <c r="V116" i="34"/>
  <c r="V121" i="34"/>
  <c r="V125" i="34"/>
  <c r="V129" i="34"/>
  <c r="V133" i="34"/>
  <c r="V137" i="34"/>
  <c r="V141" i="34"/>
  <c r="V145" i="34"/>
  <c r="V149" i="34"/>
  <c r="V155" i="34"/>
  <c r="V159" i="34"/>
  <c r="V163" i="34"/>
  <c r="V169" i="34"/>
  <c r="V173" i="34"/>
  <c r="V177" i="34"/>
  <c r="V181" i="34"/>
  <c r="V185" i="34"/>
  <c r="V189" i="34"/>
  <c r="V193" i="34"/>
  <c r="V197" i="34"/>
  <c r="V203" i="34"/>
  <c r="V207" i="34"/>
  <c r="V211" i="34"/>
  <c r="V215" i="34"/>
  <c r="V219" i="34"/>
  <c r="V223" i="34"/>
  <c r="V227" i="34"/>
  <c r="V231" i="34"/>
  <c r="V235" i="34"/>
  <c r="V239" i="34"/>
  <c r="V244" i="34"/>
  <c r="V248" i="34"/>
  <c r="V252" i="34"/>
  <c r="V256" i="34"/>
  <c r="V260" i="34"/>
  <c r="V264" i="34"/>
  <c r="V269" i="34"/>
  <c r="V273" i="34"/>
  <c r="V274" i="34"/>
  <c r="V275" i="34"/>
  <c r="V276" i="34"/>
  <c r="V280" i="34"/>
  <c r="V284" i="34"/>
  <c r="V289" i="34"/>
  <c r="V293" i="34"/>
  <c r="V297" i="34"/>
  <c r="V302" i="34"/>
  <c r="V307" i="34"/>
  <c r="V311" i="34"/>
  <c r="V316" i="34"/>
  <c r="V321" i="34"/>
  <c r="V326" i="34"/>
  <c r="V331" i="34"/>
  <c r="V336" i="34"/>
  <c r="V340" i="34"/>
  <c r="V345" i="34"/>
  <c r="V350" i="34"/>
  <c r="V356" i="34"/>
  <c r="V361" i="34"/>
  <c r="V366" i="34"/>
  <c r="V371" i="34"/>
  <c r="V378" i="34"/>
  <c r="V383" i="34"/>
  <c r="V388" i="34"/>
  <c r="V392" i="34"/>
  <c r="V397" i="34"/>
  <c r="V402" i="34"/>
  <c r="V407" i="34"/>
  <c r="V72" i="34"/>
  <c r="V76" i="34"/>
  <c r="V80" i="34"/>
  <c r="V85" i="34"/>
  <c r="V89" i="34"/>
  <c r="V93" i="34"/>
  <c r="V97" i="34"/>
  <c r="V101" i="34"/>
  <c r="V106" i="34"/>
  <c r="V110" i="34"/>
  <c r="V114" i="34"/>
  <c r="V120" i="34"/>
  <c r="V124" i="34"/>
  <c r="V128" i="34"/>
  <c r="V132" i="34"/>
  <c r="V136" i="34"/>
  <c r="V140" i="34"/>
  <c r="V144" i="34"/>
  <c r="V148" i="34"/>
  <c r="V152" i="34"/>
  <c r="V153" i="34"/>
  <c r="V154" i="34"/>
  <c r="V158" i="34"/>
  <c r="V162" i="34"/>
  <c r="V166" i="34"/>
  <c r="V167" i="34"/>
  <c r="V168" i="34"/>
  <c r="V172" i="34"/>
  <c r="V176" i="34"/>
  <c r="V180" i="34"/>
  <c r="V184" i="34"/>
  <c r="V188" i="34"/>
  <c r="V192" i="34"/>
  <c r="V196" i="34"/>
  <c r="V200" i="34"/>
  <c r="V201" i="34"/>
  <c r="V202" i="34"/>
  <c r="V206" i="34"/>
  <c r="V210" i="34"/>
  <c r="V214" i="34"/>
  <c r="V218" i="34"/>
  <c r="V222" i="34"/>
  <c r="V226" i="34"/>
  <c r="V230" i="34"/>
  <c r="V234" i="34"/>
  <c r="V238" i="34"/>
  <c r="V242" i="34"/>
  <c r="V243" i="34"/>
  <c r="V247" i="34"/>
  <c r="V251" i="34"/>
  <c r="V255" i="34"/>
  <c r="V259" i="34"/>
  <c r="V263" i="34"/>
  <c r="V268" i="34"/>
  <c r="V272" i="34"/>
  <c r="V279" i="34"/>
  <c r="V283" i="34"/>
  <c r="V288" i="34"/>
  <c r="V292" i="34"/>
  <c r="V296" i="34"/>
  <c r="V301" i="34"/>
  <c r="V305" i="34"/>
  <c r="V310" i="34"/>
  <c r="V315" i="34"/>
  <c r="V320" i="34"/>
  <c r="V325" i="34"/>
  <c r="V330" i="34"/>
  <c r="V335" i="34"/>
  <c r="V339" i="34"/>
  <c r="V344" i="34"/>
  <c r="V349" i="34"/>
  <c r="V354" i="34"/>
  <c r="V360" i="34"/>
  <c r="V364" i="34"/>
  <c r="V370" i="34"/>
  <c r="V377" i="34"/>
  <c r="V382" i="34"/>
  <c r="V386" i="34"/>
  <c r="V391" i="34"/>
  <c r="V395" i="34"/>
  <c r="V401" i="34"/>
  <c r="V405" i="34"/>
  <c r="V411" i="34"/>
  <c r="V413" i="34"/>
  <c r="V419" i="34"/>
  <c r="V425" i="34"/>
  <c r="V431" i="34"/>
  <c r="V438" i="34"/>
  <c r="V444" i="34"/>
  <c r="V450" i="34"/>
  <c r="V455" i="34"/>
  <c r="V460" i="34"/>
  <c r="V466" i="34"/>
  <c r="V471" i="34"/>
  <c r="V477" i="34"/>
  <c r="V483" i="34"/>
  <c r="V489" i="34"/>
  <c r="V494" i="34"/>
  <c r="V499" i="34"/>
  <c r="V503" i="34"/>
  <c r="V507" i="34"/>
  <c r="V513" i="34"/>
  <c r="V519" i="34"/>
  <c r="V523" i="34"/>
  <c r="V527" i="34"/>
  <c r="V533" i="34"/>
  <c r="V538" i="34"/>
  <c r="V543" i="34"/>
  <c r="V549" i="34"/>
  <c r="V553" i="34"/>
  <c r="V558" i="34"/>
  <c r="V564" i="34"/>
  <c r="V570" i="34"/>
  <c r="V575" i="34"/>
  <c r="V579" i="34"/>
  <c r="V583" i="34"/>
  <c r="V587" i="34"/>
  <c r="V593" i="34"/>
  <c r="V598" i="34"/>
  <c r="V603" i="34"/>
  <c r="V607" i="34"/>
  <c r="V611" i="34"/>
  <c r="V618" i="34"/>
  <c r="V624" i="34"/>
  <c r="V628" i="34"/>
  <c r="V633" i="34"/>
  <c r="V637" i="34"/>
  <c r="V642" i="34"/>
  <c r="V643" i="34"/>
  <c r="V647" i="34"/>
  <c r="V653" i="34"/>
  <c r="V661" i="34"/>
  <c r="V665" i="34"/>
  <c r="V670" i="34"/>
  <c r="V675" i="34"/>
  <c r="V680" i="34"/>
  <c r="V684" i="34"/>
  <c r="V688" i="34"/>
  <c r="V692" i="34"/>
  <c r="V697" i="34"/>
  <c r="V702" i="34"/>
  <c r="V706" i="34"/>
  <c r="V710" i="34"/>
  <c r="V715" i="34"/>
  <c r="V719" i="34"/>
  <c r="V723" i="34"/>
  <c r="V728" i="34"/>
  <c r="V736" i="34"/>
  <c r="V740" i="34"/>
  <c r="V746" i="34"/>
  <c r="V750" i="34"/>
  <c r="V754" i="34"/>
  <c r="V763" i="34"/>
  <c r="V768" i="34"/>
  <c r="V772" i="34"/>
  <c r="V776" i="34"/>
  <c r="V783" i="34"/>
  <c r="V787" i="34"/>
  <c r="V793" i="34"/>
  <c r="V797" i="34"/>
  <c r="V412" i="34"/>
  <c r="V417" i="34"/>
  <c r="V423" i="34"/>
  <c r="V429" i="34"/>
  <c r="V436" i="34"/>
  <c r="V442" i="34"/>
  <c r="V448" i="34"/>
  <c r="V454" i="34"/>
  <c r="V459" i="34"/>
  <c r="V464" i="34"/>
  <c r="V470" i="34"/>
  <c r="V476" i="34"/>
  <c r="V482" i="34"/>
  <c r="V488" i="34"/>
  <c r="V493" i="34"/>
  <c r="V498" i="34"/>
  <c r="V502" i="34"/>
  <c r="V506" i="34"/>
  <c r="V512" i="34"/>
  <c r="V518" i="34"/>
  <c r="V522" i="34"/>
  <c r="V526" i="34"/>
  <c r="V531" i="34"/>
  <c r="V536" i="34"/>
  <c r="V541" i="34"/>
  <c r="V547" i="34"/>
  <c r="V552" i="34"/>
  <c r="V557" i="34"/>
  <c r="V563" i="34"/>
  <c r="V569" i="34"/>
  <c r="V573" i="34"/>
  <c r="V578" i="34"/>
  <c r="V582" i="34"/>
  <c r="V586" i="34"/>
  <c r="V591" i="34"/>
  <c r="V597" i="34"/>
  <c r="V602" i="34"/>
  <c r="V606" i="34"/>
  <c r="V610" i="34"/>
  <c r="V617" i="34"/>
  <c r="V622" i="34"/>
  <c r="V627" i="34"/>
  <c r="V632" i="34"/>
  <c r="V636" i="34"/>
  <c r="V640" i="34"/>
  <c r="V646" i="34"/>
  <c r="V651" i="34"/>
  <c r="V658" i="34"/>
  <c r="V659" i="34"/>
  <c r="V660" i="34"/>
  <c r="V664" i="34"/>
  <c r="V669" i="34"/>
  <c r="V674" i="34"/>
  <c r="V679" i="34"/>
  <c r="V683" i="34"/>
  <c r="V687" i="34"/>
  <c r="V691" i="34"/>
  <c r="V696" i="34"/>
  <c r="V701" i="34"/>
  <c r="V705" i="34"/>
  <c r="V709" i="34"/>
  <c r="V714" i="34"/>
  <c r="V718" i="34"/>
  <c r="V722" i="34"/>
  <c r="V727" i="34"/>
  <c r="V732" i="34"/>
  <c r="V733" i="34"/>
  <c r="V735" i="34"/>
  <c r="V739" i="34"/>
  <c r="V744" i="34"/>
  <c r="V749" i="34"/>
  <c r="V753" i="34"/>
  <c r="V762" i="34"/>
  <c r="V767" i="34"/>
  <c r="V771" i="34"/>
  <c r="V775" i="34"/>
  <c r="V782" i="34"/>
  <c r="V786" i="34"/>
  <c r="V791" i="34"/>
  <c r="V792" i="34"/>
  <c r="V796" i="34"/>
  <c r="V422" i="34"/>
  <c r="V428" i="34"/>
  <c r="V435" i="34"/>
  <c r="V441" i="34"/>
  <c r="V447" i="34"/>
  <c r="V452" i="34"/>
  <c r="V457" i="34"/>
  <c r="V463" i="34"/>
  <c r="V468" i="34"/>
  <c r="V474" i="34"/>
  <c r="V480" i="34"/>
  <c r="V486" i="34"/>
  <c r="V492" i="34"/>
  <c r="V496" i="34"/>
  <c r="V501" i="34"/>
  <c r="V505" i="34"/>
  <c r="V510" i="34"/>
  <c r="V516" i="34"/>
  <c r="V521" i="34"/>
  <c r="V525" i="34"/>
  <c r="V530" i="34"/>
  <c r="V535" i="34"/>
  <c r="V540" i="34"/>
  <c r="V546" i="34"/>
  <c r="V551" i="34"/>
  <c r="V556" i="34"/>
  <c r="V561" i="34"/>
  <c r="V567" i="34"/>
  <c r="V572" i="34"/>
  <c r="V577" i="34"/>
  <c r="V581" i="34"/>
  <c r="V585" i="34"/>
  <c r="V590" i="34"/>
  <c r="V596" i="34"/>
  <c r="V600" i="34"/>
  <c r="V605" i="34"/>
  <c r="V609" i="34"/>
  <c r="V613" i="34"/>
  <c r="V615" i="34"/>
  <c r="V621" i="34"/>
  <c r="V626" i="34"/>
  <c r="V631" i="34"/>
  <c r="V635" i="34"/>
  <c r="V639" i="34"/>
  <c r="V645" i="34"/>
  <c r="V650" i="34"/>
  <c r="V656" i="34"/>
  <c r="V663" i="34"/>
  <c r="V668" i="34"/>
  <c r="V672" i="34"/>
  <c r="V677" i="34"/>
  <c r="V678" i="34"/>
  <c r="V682" i="34"/>
  <c r="V686" i="34"/>
  <c r="V690" i="34"/>
  <c r="V694" i="34"/>
  <c r="V700" i="34"/>
  <c r="V704" i="34"/>
  <c r="V708" i="34"/>
  <c r="V712" i="34"/>
  <c r="V717" i="34"/>
  <c r="V721" i="34"/>
  <c r="V726" i="34"/>
  <c r="V730" i="34"/>
  <c r="V731" i="34"/>
  <c r="V738" i="34"/>
  <c r="V743" i="34"/>
  <c r="V748" i="34"/>
  <c r="V752" i="34"/>
  <c r="V756" i="34"/>
  <c r="V757" i="34"/>
  <c r="V758" i="34"/>
  <c r="V761" i="34"/>
  <c r="V766" i="34"/>
  <c r="V770" i="34"/>
  <c r="V774" i="34"/>
  <c r="V778" i="34"/>
  <c r="V779" i="34"/>
  <c r="V780" i="34"/>
  <c r="V785" i="34"/>
  <c r="V790" i="34"/>
  <c r="V795" i="34"/>
  <c r="V799" i="34"/>
  <c r="V415" i="34"/>
  <c r="V420" i="34"/>
  <c r="V426" i="34"/>
  <c r="V432" i="34"/>
  <c r="V439" i="34"/>
  <c r="V445" i="34"/>
  <c r="V451" i="34"/>
  <c r="V456" i="34"/>
  <c r="V461" i="34"/>
  <c r="V467" i="34"/>
  <c r="V473" i="34"/>
  <c r="V479" i="34"/>
  <c r="V485" i="34"/>
  <c r="V491" i="34"/>
  <c r="V495" i="34"/>
  <c r="V500" i="34"/>
  <c r="V504" i="34"/>
  <c r="V509" i="34"/>
  <c r="V515" i="34"/>
  <c r="V520" i="34"/>
  <c r="V524" i="34"/>
  <c r="V529" i="34"/>
  <c r="V534" i="34"/>
  <c r="V539" i="34"/>
  <c r="V544" i="34"/>
  <c r="V550" i="34"/>
  <c r="V554" i="34"/>
  <c r="V560" i="34"/>
  <c r="V566" i="34"/>
  <c r="V571" i="34"/>
  <c r="V576" i="34"/>
  <c r="V580" i="34"/>
  <c r="V584" i="34"/>
  <c r="V588" i="34"/>
  <c r="V594" i="34"/>
  <c r="V599" i="34"/>
  <c r="V604" i="34"/>
  <c r="V608" i="34"/>
  <c r="V612" i="34"/>
  <c r="V614" i="34"/>
  <c r="V620" i="34"/>
  <c r="V625" i="34"/>
  <c r="V629" i="34"/>
  <c r="V634" i="34"/>
  <c r="V638" i="34"/>
  <c r="V644" i="34"/>
  <c r="V648" i="34"/>
  <c r="V654" i="34"/>
  <c r="V655" i="34"/>
  <c r="V662" i="34"/>
  <c r="V667" i="34"/>
  <c r="V671" i="34"/>
  <c r="V676" i="34"/>
  <c r="V681" i="34"/>
  <c r="V685" i="34"/>
  <c r="V689" i="34"/>
  <c r="V693" i="34"/>
  <c r="V699" i="34"/>
  <c r="V703" i="34"/>
  <c r="V707" i="34"/>
  <c r="V711" i="34"/>
  <c r="V716" i="34"/>
  <c r="V720" i="34"/>
  <c r="V725" i="34"/>
  <c r="V729" i="34"/>
  <c r="V737" i="34"/>
  <c r="V741" i="34"/>
  <c r="V742" i="34"/>
  <c r="V747" i="34"/>
  <c r="V751" i="34"/>
  <c r="V755" i="34"/>
  <c r="V765" i="34"/>
  <c r="V769" i="34"/>
  <c r="V773" i="34"/>
  <c r="V777" i="34"/>
  <c r="V784" i="34"/>
  <c r="V788" i="34"/>
  <c r="V794" i="34"/>
  <c r="V798" i="34"/>
  <c r="V804" i="34"/>
  <c r="V809" i="34"/>
  <c r="V813" i="34"/>
  <c r="V818" i="34"/>
  <c r="V822" i="34"/>
  <c r="V850" i="34"/>
  <c r="V855" i="34"/>
  <c r="V860" i="34"/>
  <c r="V870" i="34"/>
  <c r="V874" i="34"/>
  <c r="V878" i="34"/>
  <c r="V883" i="34"/>
  <c r="V887" i="34"/>
  <c r="V892" i="34"/>
  <c r="V896" i="34"/>
  <c r="V900" i="34"/>
  <c r="V902" i="34"/>
  <c r="V907" i="34"/>
  <c r="V911" i="34"/>
  <c r="V916" i="34"/>
  <c r="V921" i="34"/>
  <c r="V925" i="34"/>
  <c r="V929" i="34"/>
  <c r="V933" i="34"/>
  <c r="V938" i="34"/>
  <c r="V942" i="34"/>
  <c r="V947" i="34"/>
  <c r="V951" i="34"/>
  <c r="V955" i="34"/>
  <c r="V961" i="34"/>
  <c r="V966" i="34"/>
  <c r="V970" i="34"/>
  <c r="V974" i="34"/>
  <c r="V978" i="34"/>
  <c r="V983" i="34"/>
  <c r="V988" i="34"/>
  <c r="V992" i="34"/>
  <c r="V996" i="34"/>
  <c r="V1000" i="34"/>
  <c r="V1005" i="34"/>
  <c r="V1010" i="34"/>
  <c r="V1014" i="34"/>
  <c r="V1019" i="34"/>
  <c r="V1024" i="34"/>
  <c r="V1029" i="34"/>
  <c r="V1033" i="34"/>
  <c r="V1038" i="34"/>
  <c r="V1043" i="34"/>
  <c r="V1047" i="34"/>
  <c r="V1052" i="34"/>
  <c r="V1056" i="34"/>
  <c r="V1060" i="34"/>
  <c r="V1065" i="34"/>
  <c r="V1070" i="34"/>
  <c r="V1074" i="34"/>
  <c r="V1078" i="34"/>
  <c r="V1082" i="34"/>
  <c r="V1087" i="34"/>
  <c r="V1091" i="34"/>
  <c r="V1095" i="34"/>
  <c r="V1099" i="34"/>
  <c r="V24" i="34"/>
  <c r="V28" i="34"/>
  <c r="V32" i="34"/>
  <c r="V36" i="34"/>
  <c r="V40" i="34"/>
  <c r="V44" i="34"/>
  <c r="V48" i="34"/>
  <c r="V52" i="34"/>
  <c r="V56" i="34"/>
  <c r="V60" i="34"/>
  <c r="V1103" i="34"/>
  <c r="V1107" i="34"/>
  <c r="V1111" i="34"/>
  <c r="V1115" i="34"/>
  <c r="V1119" i="34"/>
  <c r="V1123" i="34"/>
  <c r="V1127" i="34"/>
  <c r="V1131" i="34"/>
  <c r="V1137" i="34"/>
  <c r="V1141" i="34"/>
  <c r="V1145" i="34"/>
  <c r="V1149" i="34"/>
  <c r="V1153" i="34"/>
  <c r="V803" i="34"/>
  <c r="V808" i="34"/>
  <c r="V812" i="34"/>
  <c r="V817" i="34"/>
  <c r="V821" i="34"/>
  <c r="V849" i="34"/>
  <c r="V854" i="34"/>
  <c r="V859" i="34"/>
  <c r="V869" i="34"/>
  <c r="V873" i="34"/>
  <c r="V877" i="34"/>
  <c r="V882" i="34"/>
  <c r="V886" i="34"/>
  <c r="V891" i="34"/>
  <c r="V895" i="34"/>
  <c r="V899" i="34"/>
  <c r="V901" i="34"/>
  <c r="V906" i="34"/>
  <c r="V910" i="34"/>
  <c r="V915" i="34"/>
  <c r="V920" i="34"/>
  <c r="V924" i="34"/>
  <c r="V928" i="34"/>
  <c r="V932" i="34"/>
  <c r="V937" i="34"/>
  <c r="V941" i="34"/>
  <c r="V945" i="34"/>
  <c r="V950" i="34"/>
  <c r="V954" i="34"/>
  <c r="V960" i="34"/>
  <c r="V965" i="34"/>
  <c r="V969" i="34"/>
  <c r="V973" i="34"/>
  <c r="V977" i="34"/>
  <c r="V982" i="34"/>
  <c r="V987" i="34"/>
  <c r="V991" i="34"/>
  <c r="V995" i="34"/>
  <c r="V999" i="34"/>
  <c r="V1004" i="34"/>
  <c r="V1009" i="34"/>
  <c r="V1013" i="34"/>
  <c r="V1018" i="34"/>
  <c r="V1022" i="34"/>
  <c r="V1027" i="34"/>
  <c r="V1032" i="34"/>
  <c r="V1037" i="34"/>
  <c r="V1042" i="34"/>
  <c r="V1046" i="34"/>
  <c r="V1050" i="34"/>
  <c r="V1055" i="34"/>
  <c r="V1059" i="34"/>
  <c r="V1064" i="34"/>
  <c r="V1069" i="34"/>
  <c r="V1073" i="34"/>
  <c r="V1077" i="34"/>
  <c r="V1081" i="34"/>
  <c r="V1085" i="34"/>
  <c r="V1090" i="34"/>
  <c r="V1094" i="34"/>
  <c r="V1098" i="34"/>
  <c r="V23" i="34"/>
  <c r="V27" i="34"/>
  <c r="V31" i="34"/>
  <c r="V35" i="34"/>
  <c r="V39" i="34"/>
  <c r="V43" i="34"/>
  <c r="V47" i="34"/>
  <c r="V51" i="34"/>
  <c r="V55" i="34"/>
  <c r="V59" i="34"/>
  <c r="V1102" i="34"/>
  <c r="V1106" i="34"/>
  <c r="V1110" i="34"/>
  <c r="V1114" i="34"/>
  <c r="V1118" i="34"/>
  <c r="V1122" i="34"/>
  <c r="V1126" i="34"/>
  <c r="V1130" i="34"/>
  <c r="V1136" i="34"/>
  <c r="V1140" i="34"/>
  <c r="V1144" i="34"/>
  <c r="V1148" i="34"/>
  <c r="V1152" i="34"/>
  <c r="V1156" i="34"/>
  <c r="V801" i="34"/>
  <c r="V807" i="34"/>
  <c r="V811" i="34"/>
  <c r="V816" i="34"/>
  <c r="V820" i="34"/>
  <c r="V847" i="34"/>
  <c r="V848" i="34"/>
  <c r="V852" i="34"/>
  <c r="V858" i="34"/>
  <c r="V862" i="34"/>
  <c r="V872" i="34"/>
  <c r="V876" i="34"/>
  <c r="V881" i="34"/>
  <c r="V885" i="34"/>
  <c r="V890" i="34"/>
  <c r="V894" i="34"/>
  <c r="V898" i="34"/>
  <c r="V905" i="34"/>
  <c r="V909" i="34"/>
  <c r="V914" i="34"/>
  <c r="V919" i="34"/>
  <c r="V923" i="34"/>
  <c r="V927" i="34"/>
  <c r="V931" i="34"/>
  <c r="V935" i="34"/>
  <c r="V940" i="34"/>
  <c r="V944" i="34"/>
  <c r="V949" i="34"/>
  <c r="V953" i="34"/>
  <c r="V958" i="34"/>
  <c r="V964" i="34"/>
  <c r="V968" i="34"/>
  <c r="V972" i="34"/>
  <c r="V976" i="34"/>
  <c r="V980" i="34"/>
  <c r="V985" i="34"/>
  <c r="V990" i="34"/>
  <c r="V994" i="34"/>
  <c r="V998" i="34"/>
  <c r="V1002" i="34"/>
  <c r="V1007" i="34"/>
  <c r="V1012" i="34"/>
  <c r="V1017" i="34"/>
  <c r="V1021" i="34"/>
  <c r="V1026" i="34"/>
  <c r="V1031" i="34"/>
  <c r="V1036" i="34"/>
  <c r="V1041" i="34"/>
  <c r="V1045" i="34"/>
  <c r="V1049" i="34"/>
  <c r="V1054" i="34"/>
  <c r="V1058" i="34"/>
  <c r="V1062" i="34"/>
  <c r="V1067" i="34"/>
  <c r="V1072" i="34"/>
  <c r="V1076" i="34"/>
  <c r="V1080" i="34"/>
  <c r="V1084" i="34"/>
  <c r="V1089" i="34"/>
  <c r="V1093" i="34"/>
  <c r="V1097" i="34"/>
  <c r="V22" i="34"/>
  <c r="V26" i="34"/>
  <c r="V30" i="34"/>
  <c r="V34" i="34"/>
  <c r="V38" i="34"/>
  <c r="V42" i="34"/>
  <c r="V46" i="34"/>
  <c r="V50" i="34"/>
  <c r="V54" i="34"/>
  <c r="V58" i="34"/>
  <c r="V1101" i="34"/>
  <c r="V1105" i="34"/>
  <c r="V1109" i="34"/>
  <c r="V1113" i="34"/>
  <c r="V1117" i="34"/>
  <c r="V1121" i="34"/>
  <c r="V1125" i="34"/>
  <c r="V1129" i="34"/>
  <c r="V1133" i="34"/>
  <c r="V1135" i="34"/>
  <c r="V1139" i="34"/>
  <c r="V1143" i="34"/>
  <c r="V1147" i="34"/>
  <c r="V1151" i="34"/>
  <c r="V1155" i="34"/>
  <c r="V800" i="34"/>
  <c r="V806" i="34"/>
  <c r="V810" i="34"/>
  <c r="V815" i="34"/>
  <c r="V819" i="34"/>
  <c r="V846" i="34"/>
  <c r="V851" i="34"/>
  <c r="V857" i="34"/>
  <c r="V861" i="34"/>
  <c r="V871" i="34"/>
  <c r="V875" i="34"/>
  <c r="V880" i="34"/>
  <c r="V884" i="34"/>
  <c r="V889" i="34"/>
  <c r="V893" i="34"/>
  <c r="V897" i="34"/>
  <c r="V903" i="34"/>
  <c r="V908" i="34"/>
  <c r="V913" i="34"/>
  <c r="V918" i="34"/>
  <c r="V922" i="34"/>
  <c r="V926" i="34"/>
  <c r="V930" i="34"/>
  <c r="V934" i="34"/>
  <c r="V939" i="34"/>
  <c r="V943" i="34"/>
  <c r="V948" i="34"/>
  <c r="V952" i="34"/>
  <c r="V957" i="34"/>
  <c r="V962" i="34"/>
  <c r="V967" i="34"/>
  <c r="V971" i="34"/>
  <c r="V975" i="34"/>
  <c r="V979" i="34"/>
  <c r="V984" i="34"/>
  <c r="V989" i="34"/>
  <c r="V993" i="34"/>
  <c r="V997" i="34"/>
  <c r="V1001" i="34"/>
  <c r="V1006" i="34"/>
  <c r="V1011" i="34"/>
  <c r="V1016" i="34"/>
  <c r="V1020" i="34"/>
  <c r="V1025" i="34"/>
  <c r="V1030" i="34"/>
  <c r="V1034" i="34"/>
  <c r="V1040" i="34"/>
  <c r="V1044" i="34"/>
  <c r="V1048" i="34"/>
  <c r="V1053" i="34"/>
  <c r="V1057" i="34"/>
  <c r="V1061" i="34"/>
  <c r="V1066" i="34"/>
  <c r="V1071" i="34"/>
  <c r="V1075" i="34"/>
  <c r="V1079" i="34"/>
  <c r="V1083" i="34"/>
  <c r="V1088" i="34"/>
  <c r="V1092" i="34"/>
  <c r="V1096" i="34"/>
  <c r="V1100" i="34"/>
  <c r="V25" i="34"/>
  <c r="V29" i="34"/>
  <c r="V33" i="34"/>
  <c r="V37" i="34"/>
  <c r="V41" i="34"/>
  <c r="V45" i="34"/>
  <c r="V49" i="34"/>
  <c r="V53" i="34"/>
  <c r="V57" i="34"/>
  <c r="V61" i="34"/>
  <c r="V1104" i="34"/>
  <c r="V1108" i="34"/>
  <c r="V1112" i="34"/>
  <c r="V1116" i="34"/>
  <c r="V1120" i="34"/>
  <c r="V1124" i="34"/>
  <c r="V1128" i="34"/>
  <c r="V1132" i="34"/>
  <c r="V1134" i="34"/>
  <c r="V1138" i="34"/>
  <c r="V1142" i="34"/>
  <c r="V1146" i="34"/>
  <c r="V1150" i="34"/>
  <c r="V1154" i="34"/>
  <c r="V1159" i="34"/>
  <c r="V1163" i="34"/>
  <c r="V1167" i="34"/>
  <c r="V1168" i="34"/>
  <c r="V1169" i="34"/>
  <c r="V1170" i="34"/>
  <c r="V1171" i="34"/>
  <c r="V1172" i="34"/>
  <c r="V1173" i="34"/>
  <c r="V1174" i="34"/>
  <c r="V1178" i="34"/>
  <c r="V1182" i="34"/>
  <c r="V1188" i="34"/>
  <c r="V1192" i="34"/>
  <c r="V1196" i="34"/>
  <c r="V1200" i="34"/>
  <c r="V1204" i="34"/>
  <c r="V1208" i="34"/>
  <c r="V1212" i="34"/>
  <c r="V1216" i="34"/>
  <c r="V1220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6" i="34"/>
  <c r="V1430" i="34"/>
  <c r="V1434" i="34"/>
  <c r="V1438" i="34"/>
  <c r="V1442" i="34"/>
  <c r="V1446" i="34"/>
  <c r="V1450" i="34"/>
  <c r="V1451" i="34"/>
  <c r="V1455" i="34"/>
  <c r="V1459" i="34"/>
  <c r="V1463" i="34"/>
  <c r="V1467" i="34"/>
  <c r="V1471" i="34"/>
  <c r="V1158" i="34"/>
  <c r="V1162" i="34"/>
  <c r="V1166" i="34"/>
  <c r="V1177" i="34"/>
  <c r="V1181" i="34"/>
  <c r="V1187" i="34"/>
  <c r="V1191" i="34"/>
  <c r="V1195" i="34"/>
  <c r="V1199" i="34"/>
  <c r="V1203" i="34"/>
  <c r="V1207" i="34"/>
  <c r="V1211" i="34"/>
  <c r="V1215" i="34"/>
  <c r="V1219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429" i="34"/>
  <c r="V1433" i="34"/>
  <c r="V1437" i="34"/>
  <c r="V1441" i="34"/>
  <c r="V1445" i="34"/>
  <c r="V1449" i="34"/>
  <c r="V1454" i="34"/>
  <c r="V1458" i="34"/>
  <c r="V1462" i="34"/>
  <c r="V1466" i="34"/>
  <c r="V1157" i="34"/>
  <c r="V1161" i="34"/>
  <c r="V1165" i="34"/>
  <c r="V1176" i="34"/>
  <c r="V1180" i="34"/>
  <c r="V1184" i="34"/>
  <c r="V1185" i="34"/>
  <c r="V1186" i="34"/>
  <c r="V1190" i="34"/>
  <c r="V1194" i="34"/>
  <c r="V1198" i="34"/>
  <c r="V1202" i="34"/>
  <c r="V1206" i="34"/>
  <c r="V1210" i="34"/>
  <c r="V1214" i="34"/>
  <c r="V1218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8" i="34"/>
  <c r="V1432" i="34"/>
  <c r="V1436" i="34"/>
  <c r="V1440" i="34"/>
  <c r="V1444" i="34"/>
  <c r="V1448" i="34"/>
  <c r="V1453" i="34"/>
  <c r="V1457" i="34"/>
  <c r="V1461" i="34"/>
  <c r="V1465" i="34"/>
  <c r="V1469" i="34"/>
  <c r="V1160" i="34"/>
  <c r="V1164" i="34"/>
  <c r="V1175" i="34"/>
  <c r="V1179" i="34"/>
  <c r="V1183" i="34"/>
  <c r="V1189" i="34"/>
  <c r="V1193" i="34"/>
  <c r="V1197" i="34"/>
  <c r="V1201" i="34"/>
  <c r="V1205" i="34"/>
  <c r="V1209" i="34"/>
  <c r="V1213" i="34"/>
  <c r="V1217" i="34"/>
  <c r="V1221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7" i="34"/>
  <c r="V1431" i="34"/>
  <c r="V1435" i="34"/>
  <c r="V1439" i="34"/>
  <c r="V1443" i="34"/>
  <c r="V1447" i="34"/>
  <c r="V1452" i="34"/>
  <c r="V1456" i="34"/>
  <c r="V1460" i="34"/>
  <c r="V1464" i="34"/>
  <c r="V1468" i="34"/>
  <c r="V1470" i="34"/>
  <c r="V1473" i="34"/>
  <c r="V1482" i="34"/>
  <c r="V1486" i="34"/>
  <c r="V1490" i="34"/>
  <c r="V1494" i="34"/>
  <c r="V1498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3" i="34"/>
  <c r="V1657" i="34"/>
  <c r="V1661" i="34"/>
  <c r="V1666" i="34"/>
  <c r="V1670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7" i="34"/>
  <c r="V1874" i="34"/>
  <c r="V1878" i="34"/>
  <c r="V1882" i="34"/>
  <c r="V1886" i="34"/>
  <c r="V1887" i="34"/>
  <c r="V1891" i="34"/>
  <c r="V1895" i="34"/>
  <c r="V1899" i="34"/>
  <c r="V1903" i="34"/>
  <c r="V1907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100" i="34"/>
  <c r="V2104" i="34"/>
  <c r="V1472" i="34"/>
  <c r="V1481" i="34"/>
  <c r="V1485" i="34"/>
  <c r="V1489" i="34"/>
  <c r="V1493" i="34"/>
  <c r="V1497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6" i="34"/>
  <c r="V1660" i="34"/>
  <c r="V1664" i="34"/>
  <c r="V1665" i="34"/>
  <c r="V1669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6" i="34"/>
  <c r="V1870" i="34"/>
  <c r="V1871" i="34"/>
  <c r="V1872" i="34"/>
  <c r="V1873" i="34"/>
  <c r="V1877" i="34"/>
  <c r="V1881" i="34"/>
  <c r="V1885" i="34"/>
  <c r="V1890" i="34"/>
  <c r="V1894" i="34"/>
  <c r="V1898" i="34"/>
  <c r="V1902" i="34"/>
  <c r="V1906" i="34"/>
  <c r="V1910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098" i="34"/>
  <c r="V2099" i="34"/>
  <c r="V2103" i="34"/>
  <c r="V1475" i="34"/>
  <c r="V1476" i="34"/>
  <c r="V1477" i="34"/>
  <c r="V1478" i="34"/>
  <c r="V1479" i="34"/>
  <c r="V1480" i="34"/>
  <c r="V1484" i="34"/>
  <c r="V1488" i="34"/>
  <c r="V1492" i="34"/>
  <c r="V1496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5" i="34"/>
  <c r="V1659" i="34"/>
  <c r="V1663" i="34"/>
  <c r="V1668" i="34"/>
  <c r="V1672" i="34"/>
  <c r="V1673" i="34"/>
  <c r="V1674" i="34"/>
  <c r="V1675" i="34"/>
  <c r="V1676" i="34"/>
  <c r="V1677" i="34"/>
  <c r="V1678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9" i="34"/>
  <c r="V1876" i="34"/>
  <c r="V1880" i="34"/>
  <c r="V1884" i="34"/>
  <c r="V1889" i="34"/>
  <c r="V1893" i="34"/>
  <c r="V1897" i="34"/>
  <c r="V1901" i="34"/>
  <c r="V1905" i="34"/>
  <c r="V1909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79" i="34"/>
  <c r="V1980" i="34"/>
  <c r="V1981" i="34"/>
  <c r="V1982" i="34"/>
  <c r="V1983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2" i="34"/>
  <c r="V1474" i="34"/>
  <c r="V1483" i="34"/>
  <c r="V1487" i="34"/>
  <c r="V1491" i="34"/>
  <c r="V1495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4" i="34"/>
  <c r="V1658" i="34"/>
  <c r="V1662" i="34"/>
  <c r="V1667" i="34"/>
  <c r="V1671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8" i="34"/>
  <c r="V1875" i="34"/>
  <c r="V1879" i="34"/>
  <c r="V1883" i="34"/>
  <c r="V1888" i="34"/>
  <c r="V1892" i="34"/>
  <c r="V1896" i="34"/>
  <c r="V1900" i="34"/>
  <c r="V1904" i="34"/>
  <c r="V1908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101" i="34"/>
  <c r="V2105" i="34"/>
  <c r="V2107" i="34"/>
  <c r="V2108" i="34"/>
  <c r="V2109" i="34"/>
  <c r="V2110" i="34"/>
  <c r="V2106" i="34"/>
  <c r="E251" i="60"/>
  <c r="E252" i="60"/>
  <c r="D253" i="60"/>
  <c r="G253" i="60"/>
  <c r="F258" i="60"/>
  <c r="F259" i="60"/>
  <c r="F260" i="60"/>
  <c r="E261" i="60"/>
  <c r="D262" i="60"/>
  <c r="G262" i="60"/>
  <c r="D263" i="60"/>
  <c r="G263" i="60"/>
  <c r="D264" i="60"/>
  <c r="G264" i="60"/>
  <c r="F266" i="60"/>
  <c r="F267" i="60"/>
  <c r="F268" i="60"/>
  <c r="E269" i="60"/>
  <c r="D270" i="60"/>
  <c r="G270" i="60"/>
  <c r="D271" i="60"/>
  <c r="G271" i="60"/>
  <c r="D272" i="60"/>
  <c r="G272" i="60"/>
  <c r="F274" i="60"/>
  <c r="F275" i="60"/>
  <c r="F276" i="60"/>
  <c r="F277" i="60"/>
  <c r="E278" i="60"/>
  <c r="E279" i="60"/>
  <c r="E280" i="60"/>
  <c r="E281" i="60"/>
  <c r="D282" i="60"/>
  <c r="G282" i="60"/>
  <c r="D283" i="60"/>
  <c r="G283" i="60"/>
  <c r="D284" i="60"/>
  <c r="G284" i="60"/>
  <c r="D285" i="60"/>
  <c r="G285" i="60"/>
  <c r="F290" i="60"/>
  <c r="F291" i="60"/>
  <c r="F292" i="60"/>
  <c r="F293" i="60"/>
  <c r="E294" i="60"/>
  <c r="E295" i="60"/>
  <c r="E296" i="60"/>
  <c r="E297" i="60"/>
  <c r="D298" i="60"/>
  <c r="G298" i="60"/>
  <c r="D299" i="60"/>
  <c r="G299" i="60"/>
  <c r="D300" i="60"/>
  <c r="G300" i="60"/>
  <c r="D301" i="60"/>
  <c r="G301" i="60"/>
  <c r="F306" i="60"/>
  <c r="F307" i="60"/>
  <c r="F308" i="60"/>
  <c r="F309" i="60"/>
  <c r="E310" i="60"/>
  <c r="E311" i="60"/>
  <c r="E312" i="60"/>
  <c r="E313" i="60"/>
  <c r="D314" i="60"/>
  <c r="G314" i="60"/>
  <c r="D315" i="60"/>
  <c r="G315" i="60"/>
  <c r="D316" i="60"/>
  <c r="G316" i="60"/>
  <c r="D317" i="60"/>
  <c r="G317" i="60"/>
  <c r="F322" i="60"/>
  <c r="F323" i="60"/>
  <c r="F324" i="60"/>
  <c r="F325" i="60"/>
  <c r="E326" i="60"/>
  <c r="E327" i="60"/>
  <c r="E328" i="60"/>
  <c r="E329" i="60"/>
  <c r="D330" i="60"/>
  <c r="G330" i="60"/>
  <c r="D331" i="60"/>
  <c r="G331" i="60"/>
  <c r="D332" i="60"/>
  <c r="F251" i="60"/>
  <c r="F252" i="60"/>
  <c r="E253" i="60"/>
  <c r="D254" i="60"/>
  <c r="G254" i="60"/>
  <c r="D255" i="60"/>
  <c r="G255" i="60"/>
  <c r="D256" i="60"/>
  <c r="G256" i="60"/>
  <c r="D257" i="60"/>
  <c r="G257" i="60"/>
  <c r="F261" i="60"/>
  <c r="E262" i="60"/>
  <c r="E263" i="60"/>
  <c r="E264" i="60"/>
  <c r="D265" i="60"/>
  <c r="G265" i="60"/>
  <c r="F269" i="60"/>
  <c r="E270" i="60"/>
  <c r="E271" i="60"/>
  <c r="E272" i="60"/>
  <c r="D273" i="60"/>
  <c r="G273" i="60"/>
  <c r="F278" i="60"/>
  <c r="F279" i="60"/>
  <c r="F280" i="60"/>
  <c r="F281" i="60"/>
  <c r="E282" i="60"/>
  <c r="E283" i="60"/>
  <c r="E284" i="60"/>
  <c r="E285" i="60"/>
  <c r="F253" i="60"/>
  <c r="E254" i="60"/>
  <c r="E255" i="60"/>
  <c r="E256" i="60"/>
  <c r="E257" i="60"/>
  <c r="D258" i="60"/>
  <c r="G258" i="60"/>
  <c r="D259" i="60"/>
  <c r="G259" i="60"/>
  <c r="D260" i="60"/>
  <c r="G260" i="60"/>
  <c r="F262" i="60"/>
  <c r="F263" i="60"/>
  <c r="F264" i="60"/>
  <c r="E265" i="60"/>
  <c r="D266" i="60"/>
  <c r="G266" i="60"/>
  <c r="D267" i="60"/>
  <c r="G267" i="60"/>
  <c r="D268" i="60"/>
  <c r="G268" i="60"/>
  <c r="F270" i="60"/>
  <c r="F271" i="60"/>
  <c r="F272" i="60"/>
  <c r="E273" i="60"/>
  <c r="D274" i="60"/>
  <c r="G274" i="60"/>
  <c r="D275" i="60"/>
  <c r="D251" i="60"/>
  <c r="H251" i="60" s="1"/>
  <c r="G251" i="60"/>
  <c r="D252" i="60"/>
  <c r="H252" i="60" s="1"/>
  <c r="G252" i="60"/>
  <c r="F254" i="60"/>
  <c r="F255" i="60"/>
  <c r="F256" i="60"/>
  <c r="F257" i="60"/>
  <c r="E258" i="60"/>
  <c r="E259" i="60"/>
  <c r="E260" i="60"/>
  <c r="D261" i="60"/>
  <c r="G261" i="60"/>
  <c r="F265" i="60"/>
  <c r="E266" i="60"/>
  <c r="E267" i="60"/>
  <c r="E268" i="60"/>
  <c r="D269" i="60"/>
  <c r="G269" i="60"/>
  <c r="F273" i="60"/>
  <c r="E274" i="60"/>
  <c r="E275" i="60"/>
  <c r="E276" i="60"/>
  <c r="E277" i="60"/>
  <c r="D278" i="60"/>
  <c r="G278" i="60"/>
  <c r="D279" i="60"/>
  <c r="G279" i="60"/>
  <c r="D280" i="60"/>
  <c r="G280" i="60"/>
  <c r="D281" i="60"/>
  <c r="G281" i="60"/>
  <c r="F286" i="60"/>
  <c r="F287" i="60"/>
  <c r="F288" i="60"/>
  <c r="F289" i="60"/>
  <c r="E290" i="60"/>
  <c r="E291" i="60"/>
  <c r="E292" i="60"/>
  <c r="E293" i="60"/>
  <c r="D294" i="60"/>
  <c r="G294" i="60"/>
  <c r="D295" i="60"/>
  <c r="G295" i="60"/>
  <c r="D296" i="60"/>
  <c r="G296" i="60"/>
  <c r="D297" i="60"/>
  <c r="G297" i="60"/>
  <c r="F302" i="60"/>
  <c r="F303" i="60"/>
  <c r="F304" i="60"/>
  <c r="F305" i="60"/>
  <c r="E306" i="60"/>
  <c r="E307" i="60"/>
  <c r="E308" i="60"/>
  <c r="E309" i="60"/>
  <c r="D310" i="60"/>
  <c r="G310" i="60"/>
  <c r="D311" i="60"/>
  <c r="G311" i="60"/>
  <c r="D312" i="60"/>
  <c r="G312" i="60"/>
  <c r="D313" i="60"/>
  <c r="G313" i="60"/>
  <c r="F318" i="60"/>
  <c r="F319" i="60"/>
  <c r="F320" i="60"/>
  <c r="F321" i="60"/>
  <c r="E322" i="60"/>
  <c r="E323" i="60"/>
  <c r="E324" i="60"/>
  <c r="E325" i="60"/>
  <c r="D326" i="60"/>
  <c r="G326" i="60"/>
  <c r="D327" i="60"/>
  <c r="G327" i="60"/>
  <c r="D328" i="60"/>
  <c r="G328" i="60"/>
  <c r="D329" i="60"/>
  <c r="G329" i="60"/>
  <c r="G275" i="60"/>
  <c r="G277" i="60"/>
  <c r="F283" i="60"/>
  <c r="F285" i="60"/>
  <c r="E286" i="60"/>
  <c r="E287" i="60"/>
  <c r="E288" i="60"/>
  <c r="E289" i="60"/>
  <c r="D290" i="60"/>
  <c r="D291" i="60"/>
  <c r="D292" i="60"/>
  <c r="D293" i="60"/>
  <c r="G306" i="60"/>
  <c r="G307" i="60"/>
  <c r="G308" i="60"/>
  <c r="G309" i="60"/>
  <c r="F314" i="60"/>
  <c r="F315" i="60"/>
  <c r="F316" i="60"/>
  <c r="F317" i="60"/>
  <c r="E318" i="60"/>
  <c r="E319" i="60"/>
  <c r="E320" i="60"/>
  <c r="E321" i="60"/>
  <c r="D322" i="60"/>
  <c r="D323" i="60"/>
  <c r="D324" i="60"/>
  <c r="D325" i="60"/>
  <c r="F332" i="60"/>
  <c r="F333" i="60"/>
  <c r="E334" i="60"/>
  <c r="E335" i="60"/>
  <c r="E336" i="60"/>
  <c r="E337" i="60"/>
  <c r="D338" i="60"/>
  <c r="G338" i="60"/>
  <c r="D339" i="60"/>
  <c r="G339" i="60"/>
  <c r="D340" i="60"/>
  <c r="G340" i="60"/>
  <c r="D341" i="60"/>
  <c r="G341" i="60"/>
  <c r="F346" i="60"/>
  <c r="F347" i="60"/>
  <c r="F348" i="60"/>
  <c r="F349" i="60"/>
  <c r="E350" i="60"/>
  <c r="E351" i="60"/>
  <c r="E352" i="60"/>
  <c r="E353" i="60"/>
  <c r="D354" i="60"/>
  <c r="G354" i="60"/>
  <c r="D355" i="60"/>
  <c r="G355" i="60"/>
  <c r="D356" i="60"/>
  <c r="G356" i="60"/>
  <c r="D357" i="60"/>
  <c r="G357" i="60"/>
  <c r="F362" i="60"/>
  <c r="F363" i="60"/>
  <c r="F364" i="60"/>
  <c r="F365" i="60"/>
  <c r="D276" i="60"/>
  <c r="G286" i="60"/>
  <c r="G287" i="60"/>
  <c r="G288" i="60"/>
  <c r="G289" i="60"/>
  <c r="F294" i="60"/>
  <c r="F295" i="60"/>
  <c r="F296" i="60"/>
  <c r="F297" i="60"/>
  <c r="E298" i="60"/>
  <c r="E299" i="60"/>
  <c r="E300" i="60"/>
  <c r="E301" i="60"/>
  <c r="D302" i="60"/>
  <c r="D303" i="60"/>
  <c r="D304" i="60"/>
  <c r="D305" i="60"/>
  <c r="G318" i="60"/>
  <c r="G319" i="60"/>
  <c r="G320" i="60"/>
  <c r="G321" i="60"/>
  <c r="F326" i="60"/>
  <c r="F327" i="60"/>
  <c r="F328" i="60"/>
  <c r="F329" i="60"/>
  <c r="E330" i="60"/>
  <c r="E331" i="60"/>
  <c r="F334" i="60"/>
  <c r="F335" i="60"/>
  <c r="F336" i="60"/>
  <c r="F337" i="60"/>
  <c r="E338" i="60"/>
  <c r="E339" i="60"/>
  <c r="E340" i="60"/>
  <c r="E341" i="60"/>
  <c r="D342" i="60"/>
  <c r="G342" i="60"/>
  <c r="D343" i="60"/>
  <c r="G343" i="60"/>
  <c r="D344" i="60"/>
  <c r="G344" i="60"/>
  <c r="D345" i="60"/>
  <c r="G345" i="60"/>
  <c r="F350" i="60"/>
  <c r="F351" i="60"/>
  <c r="F352" i="60"/>
  <c r="F353" i="60"/>
  <c r="E354" i="60"/>
  <c r="E355" i="60"/>
  <c r="E356" i="60"/>
  <c r="E357" i="60"/>
  <c r="D358" i="60"/>
  <c r="G358" i="60"/>
  <c r="D359" i="60"/>
  <c r="G359" i="60"/>
  <c r="D360" i="60"/>
  <c r="G360" i="60"/>
  <c r="D361" i="60"/>
  <c r="G361" i="60"/>
  <c r="G276" i="60"/>
  <c r="F282" i="60"/>
  <c r="F284" i="60"/>
  <c r="G290" i="60"/>
  <c r="G291" i="60"/>
  <c r="G292" i="60"/>
  <c r="G293" i="60"/>
  <c r="F298" i="60"/>
  <c r="F299" i="60"/>
  <c r="F300" i="60"/>
  <c r="F301" i="60"/>
  <c r="E302" i="60"/>
  <c r="E303" i="60"/>
  <c r="E304" i="60"/>
  <c r="E305" i="60"/>
  <c r="D306" i="60"/>
  <c r="D307" i="60"/>
  <c r="D308" i="60"/>
  <c r="D309" i="60"/>
  <c r="G322" i="60"/>
  <c r="G323" i="60"/>
  <c r="G324" i="60"/>
  <c r="G325" i="60"/>
  <c r="F330" i="60"/>
  <c r="F331" i="60"/>
  <c r="G332" i="60"/>
  <c r="D333" i="60"/>
  <c r="G333" i="60"/>
  <c r="F338" i="60"/>
  <c r="F339" i="60"/>
  <c r="F340" i="60"/>
  <c r="F341" i="60"/>
  <c r="E342" i="60"/>
  <c r="E343" i="60"/>
  <c r="E344" i="60"/>
  <c r="E345" i="60"/>
  <c r="D346" i="60"/>
  <c r="G346" i="60"/>
  <c r="D347" i="60"/>
  <c r="D277" i="60"/>
  <c r="D286" i="60"/>
  <c r="D287" i="60"/>
  <c r="D288" i="60"/>
  <c r="D289" i="60"/>
  <c r="G302" i="60"/>
  <c r="G303" i="60"/>
  <c r="G304" i="60"/>
  <c r="G305" i="60"/>
  <c r="F310" i="60"/>
  <c r="F311" i="60"/>
  <c r="F312" i="60"/>
  <c r="F313" i="60"/>
  <c r="E314" i="60"/>
  <c r="E315" i="60"/>
  <c r="E316" i="60"/>
  <c r="E317" i="60"/>
  <c r="D318" i="60"/>
  <c r="D319" i="60"/>
  <c r="D320" i="60"/>
  <c r="D321" i="60"/>
  <c r="E332" i="60"/>
  <c r="E333" i="60"/>
  <c r="D334" i="60"/>
  <c r="G334" i="60"/>
  <c r="D335" i="60"/>
  <c r="G335" i="60"/>
  <c r="D336" i="60"/>
  <c r="G336" i="60"/>
  <c r="D337" i="60"/>
  <c r="G337" i="60"/>
  <c r="F342" i="60"/>
  <c r="F343" i="60"/>
  <c r="F344" i="60"/>
  <c r="F345" i="60"/>
  <c r="E346" i="60"/>
  <c r="E347" i="60"/>
  <c r="E348" i="60"/>
  <c r="E349" i="60"/>
  <c r="D350" i="60"/>
  <c r="G350" i="60"/>
  <c r="D351" i="60"/>
  <c r="G351" i="60"/>
  <c r="D352" i="60"/>
  <c r="G352" i="60"/>
  <c r="D353" i="60"/>
  <c r="G353" i="60"/>
  <c r="F358" i="60"/>
  <c r="F359" i="60"/>
  <c r="F360" i="60"/>
  <c r="F361" i="60"/>
  <c r="E362" i="60"/>
  <c r="E363" i="60"/>
  <c r="E364" i="60"/>
  <c r="E365" i="60"/>
  <c r="G347" i="60"/>
  <c r="G349" i="60"/>
  <c r="F355" i="60"/>
  <c r="F357" i="60"/>
  <c r="E359" i="60"/>
  <c r="E361" i="60"/>
  <c r="D363" i="60"/>
  <c r="D348" i="60"/>
  <c r="G363" i="60"/>
  <c r="G364" i="60"/>
  <c r="G365" i="60"/>
  <c r="G348" i="60"/>
  <c r="F354" i="60"/>
  <c r="F356" i="60"/>
  <c r="E358" i="60"/>
  <c r="E360" i="60"/>
  <c r="D362" i="60"/>
  <c r="D349" i="60"/>
  <c r="G362" i="60"/>
  <c r="D364" i="60"/>
  <c r="D365" i="60"/>
  <c r="V2111" i="34"/>
  <c r="W12" i="34"/>
  <c r="W15" i="34"/>
  <c r="W17" i="34"/>
  <c r="W19" i="34"/>
  <c r="W21" i="34"/>
  <c r="W11" i="34"/>
  <c r="W16" i="34"/>
  <c r="W20" i="34"/>
  <c r="W13" i="34"/>
  <c r="W18" i="34"/>
  <c r="W2111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I217" i="55"/>
  <c r="G241" i="60"/>
  <c r="F241" i="60"/>
  <c r="D241" i="60"/>
  <c r="G240" i="60"/>
  <c r="F240" i="60"/>
  <c r="D240" i="60"/>
  <c r="G239" i="60"/>
  <c r="F239" i="60"/>
  <c r="D239" i="60"/>
  <c r="G238" i="60"/>
  <c r="F238" i="60"/>
  <c r="D238" i="60"/>
  <c r="G237" i="60"/>
  <c r="F237" i="60"/>
  <c r="D237" i="60"/>
  <c r="G236" i="60"/>
  <c r="F236" i="60"/>
  <c r="D236" i="60"/>
  <c r="G235" i="60"/>
  <c r="F235" i="60"/>
  <c r="D235" i="60"/>
  <c r="G234" i="60"/>
  <c r="F234" i="60"/>
  <c r="D234" i="60"/>
  <c r="G233" i="60"/>
  <c r="F233" i="60"/>
  <c r="D233" i="60"/>
  <c r="E241" i="60"/>
  <c r="E240" i="60"/>
  <c r="E239" i="60"/>
  <c r="E238" i="60"/>
  <c r="E237" i="60"/>
  <c r="E236" i="60"/>
  <c r="E235" i="60"/>
  <c r="E234" i="60"/>
  <c r="E233" i="60"/>
  <c r="E232" i="60"/>
  <c r="E231" i="60"/>
  <c r="E230" i="60"/>
  <c r="E229" i="60"/>
  <c r="E228" i="60"/>
  <c r="E227" i="60"/>
  <c r="E226" i="60"/>
  <c r="E225" i="60"/>
  <c r="E224" i="60"/>
  <c r="E223" i="60"/>
  <c r="E222" i="60"/>
  <c r="F232" i="60"/>
  <c r="G231" i="60"/>
  <c r="D231" i="60"/>
  <c r="F230" i="60"/>
  <c r="G229" i="60"/>
  <c r="D229" i="60"/>
  <c r="F228" i="60"/>
  <c r="G227" i="60"/>
  <c r="D227" i="60"/>
  <c r="F226" i="60"/>
  <c r="G225" i="60"/>
  <c r="D225" i="60"/>
  <c r="F224" i="60"/>
  <c r="G223" i="60"/>
  <c r="D223" i="60"/>
  <c r="F222" i="60"/>
  <c r="G221" i="60"/>
  <c r="E221" i="60"/>
  <c r="E220" i="60"/>
  <c r="E219" i="60"/>
  <c r="E218" i="60"/>
  <c r="E217" i="60"/>
  <c r="E216" i="60"/>
  <c r="E215" i="60"/>
  <c r="E214" i="60"/>
  <c r="E213" i="60"/>
  <c r="E212" i="60"/>
  <c r="E211" i="60"/>
  <c r="E210" i="60"/>
  <c r="E209" i="60"/>
  <c r="E208" i="60"/>
  <c r="E207" i="60"/>
  <c r="E206" i="60"/>
  <c r="E205" i="60"/>
  <c r="E204" i="60"/>
  <c r="E203" i="60"/>
  <c r="E202" i="60"/>
  <c r="E201" i="60"/>
  <c r="E200" i="60"/>
  <c r="E199" i="60"/>
  <c r="E198" i="60"/>
  <c r="E197" i="60"/>
  <c r="E196" i="60"/>
  <c r="E195" i="60"/>
  <c r="E194" i="60"/>
  <c r="E193" i="60"/>
  <c r="E192" i="60"/>
  <c r="E191" i="60"/>
  <c r="E190" i="60"/>
  <c r="E189" i="60"/>
  <c r="E188" i="60"/>
  <c r="E187" i="60"/>
  <c r="E186" i="60"/>
  <c r="E185" i="60"/>
  <c r="E184" i="60"/>
  <c r="E183" i="60"/>
  <c r="E182" i="60"/>
  <c r="E181" i="60"/>
  <c r="E180" i="60"/>
  <c r="E179" i="60"/>
  <c r="E178" i="60"/>
  <c r="E177" i="60"/>
  <c r="E176" i="60"/>
  <c r="G232" i="60"/>
  <c r="D232" i="60"/>
  <c r="F231" i="60"/>
  <c r="G230" i="60"/>
  <c r="D230" i="60"/>
  <c r="F229" i="60"/>
  <c r="G228" i="60"/>
  <c r="D228" i="60"/>
  <c r="F227" i="60"/>
  <c r="G226" i="60"/>
  <c r="D226" i="60"/>
  <c r="F225" i="60"/>
  <c r="G224" i="60"/>
  <c r="D224" i="60"/>
  <c r="F223" i="60"/>
  <c r="G222" i="60"/>
  <c r="D222" i="60"/>
  <c r="F221" i="60"/>
  <c r="D221" i="60"/>
  <c r="G220" i="60"/>
  <c r="F220" i="60"/>
  <c r="D220" i="60"/>
  <c r="G219" i="60"/>
  <c r="F219" i="60"/>
  <c r="D219" i="60"/>
  <c r="G218" i="60"/>
  <c r="F218" i="60"/>
  <c r="D218" i="60"/>
  <c r="G217" i="60"/>
  <c r="F217" i="60"/>
  <c r="D217" i="60"/>
  <c r="G216" i="60"/>
  <c r="F216" i="60"/>
  <c r="D216" i="60"/>
  <c r="G215" i="60"/>
  <c r="F215" i="60"/>
  <c r="D215" i="60"/>
  <c r="G214" i="60"/>
  <c r="F214" i="60"/>
  <c r="D214" i="60"/>
  <c r="G213" i="60"/>
  <c r="F213" i="60"/>
  <c r="D213" i="60"/>
  <c r="G212" i="60"/>
  <c r="F212" i="60"/>
  <c r="D212" i="60"/>
  <c r="G211" i="60"/>
  <c r="F211" i="60"/>
  <c r="D211" i="60"/>
  <c r="G210" i="60"/>
  <c r="F210" i="60"/>
  <c r="D210" i="60"/>
  <c r="G209" i="60"/>
  <c r="F209" i="60"/>
  <c r="D209" i="60"/>
  <c r="G208" i="60"/>
  <c r="F208" i="60"/>
  <c r="D208" i="60"/>
  <c r="G207" i="60"/>
  <c r="F207" i="60"/>
  <c r="D207" i="60"/>
  <c r="G206" i="60"/>
  <c r="F206" i="60"/>
  <c r="D206" i="60"/>
  <c r="G205" i="60"/>
  <c r="F205" i="60"/>
  <c r="D205" i="60"/>
  <c r="G204" i="60"/>
  <c r="F204" i="60"/>
  <c r="D204" i="60"/>
  <c r="G203" i="60"/>
  <c r="F203" i="60"/>
  <c r="D203" i="60"/>
  <c r="G202" i="60"/>
  <c r="F202" i="60"/>
  <c r="D202" i="60"/>
  <c r="G201" i="60"/>
  <c r="F201" i="60"/>
  <c r="D201" i="60"/>
  <c r="G200" i="60"/>
  <c r="F200" i="60"/>
  <c r="D200" i="60"/>
  <c r="G199" i="60"/>
  <c r="F199" i="60"/>
  <c r="D199" i="60"/>
  <c r="G198" i="60"/>
  <c r="F198" i="60"/>
  <c r="D198" i="60"/>
  <c r="G197" i="60"/>
  <c r="F197" i="60"/>
  <c r="D197" i="60"/>
  <c r="G196" i="60"/>
  <c r="F196" i="60"/>
  <c r="D196" i="60"/>
  <c r="G195" i="60"/>
  <c r="F195" i="60"/>
  <c r="D195" i="60"/>
  <c r="G194" i="60"/>
  <c r="F194" i="60"/>
  <c r="D194" i="60"/>
  <c r="G193" i="60"/>
  <c r="F193" i="60"/>
  <c r="D193" i="60"/>
  <c r="G192" i="60"/>
  <c r="F192" i="60"/>
  <c r="D192" i="60"/>
  <c r="G191" i="60"/>
  <c r="F191" i="60"/>
  <c r="D191" i="60"/>
  <c r="G190" i="60"/>
  <c r="F190" i="60"/>
  <c r="D190" i="60"/>
  <c r="G189" i="60"/>
  <c r="F189" i="60"/>
  <c r="D189" i="60"/>
  <c r="G188" i="60"/>
  <c r="F188" i="60"/>
  <c r="D188" i="60"/>
  <c r="G187" i="60"/>
  <c r="F187" i="60"/>
  <c r="D187" i="60"/>
  <c r="G186" i="60"/>
  <c r="F186" i="60"/>
  <c r="D186" i="60"/>
  <c r="G185" i="60"/>
  <c r="F185" i="60"/>
  <c r="D185" i="60"/>
  <c r="G184" i="60"/>
  <c r="F184" i="60"/>
  <c r="D184" i="60"/>
  <c r="G183" i="60"/>
  <c r="F183" i="60"/>
  <c r="D183" i="60"/>
  <c r="G182" i="60"/>
  <c r="F182" i="60"/>
  <c r="D182" i="60"/>
  <c r="G181" i="60"/>
  <c r="F181" i="60"/>
  <c r="D181" i="60"/>
  <c r="G180" i="60"/>
  <c r="F180" i="60"/>
  <c r="D180" i="60"/>
  <c r="G179" i="60"/>
  <c r="F179" i="60"/>
  <c r="D179" i="60"/>
  <c r="G178" i="60"/>
  <c r="F178" i="60"/>
  <c r="D178" i="60"/>
  <c r="G177" i="60"/>
  <c r="F177" i="60"/>
  <c r="D177" i="60"/>
  <c r="G176" i="60"/>
  <c r="F176" i="60"/>
  <c r="D176" i="60"/>
  <c r="G175" i="60"/>
  <c r="F175" i="60"/>
  <c r="D175" i="60"/>
  <c r="G174" i="60"/>
  <c r="F174" i="60"/>
  <c r="D174" i="60"/>
  <c r="G173" i="60"/>
  <c r="F173" i="60"/>
  <c r="D173" i="60"/>
  <c r="G172" i="60"/>
  <c r="F172" i="60"/>
  <c r="D172" i="60"/>
  <c r="G171" i="60"/>
  <c r="F171" i="60"/>
  <c r="D171" i="60"/>
  <c r="G170" i="60"/>
  <c r="F170" i="60"/>
  <c r="D170" i="60"/>
  <c r="G169" i="60"/>
  <c r="F169" i="60"/>
  <c r="D169" i="60"/>
  <c r="G168" i="60"/>
  <c r="F168" i="60"/>
  <c r="D168" i="60"/>
  <c r="G167" i="60"/>
  <c r="F167" i="60"/>
  <c r="D167" i="60"/>
  <c r="G166" i="60"/>
  <c r="F166" i="60"/>
  <c r="D166" i="60"/>
  <c r="G165" i="60"/>
  <c r="F165" i="60"/>
  <c r="D165" i="60"/>
  <c r="G164" i="60"/>
  <c r="E175" i="60"/>
  <c r="E174" i="60"/>
  <c r="E173" i="60"/>
  <c r="E172" i="60"/>
  <c r="E171" i="60"/>
  <c r="E170" i="60"/>
  <c r="E169" i="60"/>
  <c r="E168" i="60"/>
  <c r="E167" i="60"/>
  <c r="E166" i="60"/>
  <c r="E165" i="60"/>
  <c r="E164" i="60"/>
  <c r="E163" i="60"/>
  <c r="E162" i="60"/>
  <c r="E161" i="60"/>
  <c r="E160" i="60"/>
  <c r="E159" i="60"/>
  <c r="F164" i="60"/>
  <c r="G163" i="60"/>
  <c r="D163" i="60"/>
  <c r="F162" i="60"/>
  <c r="G161" i="60"/>
  <c r="D161" i="60"/>
  <c r="F160" i="60"/>
  <c r="G159" i="60"/>
  <c r="D159" i="60"/>
  <c r="G158" i="60"/>
  <c r="F158" i="60"/>
  <c r="D158" i="60"/>
  <c r="F157" i="60"/>
  <c r="G155" i="60"/>
  <c r="F155" i="60"/>
  <c r="D155" i="60"/>
  <c r="D154" i="60"/>
  <c r="G153" i="60"/>
  <c r="F153" i="60"/>
  <c r="D152" i="60"/>
  <c r="G151" i="60"/>
  <c r="F151" i="60"/>
  <c r="D150" i="60"/>
  <c r="G149" i="60"/>
  <c r="F149" i="60"/>
  <c r="D149" i="60"/>
  <c r="D164" i="60"/>
  <c r="F163" i="60"/>
  <c r="G162" i="60"/>
  <c r="D162" i="60"/>
  <c r="F161" i="60"/>
  <c r="G160" i="60"/>
  <c r="D160" i="60"/>
  <c r="F159" i="60"/>
  <c r="E158" i="60"/>
  <c r="E157" i="60"/>
  <c r="E156" i="60"/>
  <c r="E155" i="60"/>
  <c r="E154" i="60"/>
  <c r="E153" i="60"/>
  <c r="E152" i="60"/>
  <c r="E151" i="60"/>
  <c r="E150" i="60"/>
  <c r="E149" i="60"/>
  <c r="G157" i="60"/>
  <c r="D157" i="60"/>
  <c r="G156" i="60"/>
  <c r="F156" i="60"/>
  <c r="D156" i="60"/>
  <c r="G154" i="60"/>
  <c r="F154" i="60"/>
  <c r="D153" i="60"/>
  <c r="G152" i="60"/>
  <c r="F152" i="60"/>
  <c r="D151" i="60"/>
  <c r="G150" i="60"/>
  <c r="F150" i="60"/>
  <c r="F63" i="60"/>
  <c r="D64" i="60"/>
  <c r="G64" i="60"/>
  <c r="E64" i="60"/>
  <c r="D63" i="60"/>
  <c r="G63" i="60"/>
  <c r="F64" i="60"/>
  <c r="E63" i="60"/>
  <c r="L14" i="54"/>
  <c r="L15" i="54" s="1"/>
  <c r="L16" i="54" s="1"/>
  <c r="L18" i="54"/>
  <c r="L19" i="54" s="1"/>
  <c r="F145" i="60"/>
  <c r="D146" i="60"/>
  <c r="G146" i="60"/>
  <c r="F147" i="60"/>
  <c r="D148" i="60"/>
  <c r="G148" i="60"/>
  <c r="E145" i="60"/>
  <c r="E147" i="60"/>
  <c r="F144" i="60"/>
  <c r="D144" i="60"/>
  <c r="E146" i="60"/>
  <c r="D145" i="60"/>
  <c r="F146" i="60"/>
  <c r="G147" i="60"/>
  <c r="E144" i="60"/>
  <c r="E148" i="60"/>
  <c r="G144" i="60"/>
  <c r="G145" i="60"/>
  <c r="D147" i="60"/>
  <c r="F148" i="60"/>
  <c r="G6" i="60"/>
  <c r="E6" i="60"/>
  <c r="F6" i="60"/>
  <c r="D250" i="60"/>
  <c r="F250" i="60"/>
  <c r="E250" i="60"/>
  <c r="G250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107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381" i="55"/>
  <c r="V10" i="34"/>
  <c r="A30" i="47" s="1"/>
  <c r="K1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G381" i="55"/>
  <c r="G16" i="55"/>
  <c r="K12" i="55"/>
  <c r="K18" i="55"/>
  <c r="I13" i="61"/>
  <c r="I14" i="61" s="1"/>
  <c r="C13" i="61"/>
  <c r="C14" i="61" s="1"/>
  <c r="H250" i="60" l="1"/>
  <c r="H321" i="60"/>
  <c r="H289" i="60"/>
  <c r="H318" i="60"/>
  <c r="H286" i="60"/>
  <c r="H73" i="60"/>
  <c r="J73" i="60" s="1"/>
  <c r="H77" i="60"/>
  <c r="J77" i="60" s="1"/>
  <c r="H69" i="60"/>
  <c r="J69" i="60" s="1"/>
  <c r="H261" i="60"/>
  <c r="H349" i="60"/>
  <c r="H277" i="60"/>
  <c r="H365" i="60"/>
  <c r="H320" i="60"/>
  <c r="H288" i="60"/>
  <c r="H364" i="60"/>
  <c r="H319" i="60"/>
  <c r="H287" i="60"/>
  <c r="H38" i="60"/>
  <c r="J38" i="60" s="1"/>
  <c r="H269" i="60"/>
  <c r="H346" i="60"/>
  <c r="H307" i="60"/>
  <c r="H360" i="60"/>
  <c r="H358" i="60"/>
  <c r="H344" i="60"/>
  <c r="H342" i="60"/>
  <c r="H302" i="60"/>
  <c r="H325" i="60"/>
  <c r="H293" i="60"/>
  <c r="H329" i="60"/>
  <c r="H327" i="60"/>
  <c r="H313" i="60"/>
  <c r="H311" i="60"/>
  <c r="H297" i="60"/>
  <c r="H295" i="60"/>
  <c r="H281" i="60"/>
  <c r="H279" i="60"/>
  <c r="H274" i="60"/>
  <c r="H259" i="60"/>
  <c r="H265" i="60"/>
  <c r="H271" i="60"/>
  <c r="H363" i="60"/>
  <c r="H352" i="60"/>
  <c r="H350" i="60"/>
  <c r="H336" i="60"/>
  <c r="H334" i="60"/>
  <c r="H306" i="60"/>
  <c r="H305" i="60"/>
  <c r="H276" i="60"/>
  <c r="H356" i="60"/>
  <c r="H354" i="60"/>
  <c r="H340" i="60"/>
  <c r="H338" i="60"/>
  <c r="H324" i="60"/>
  <c r="H292" i="60"/>
  <c r="H267" i="60"/>
  <c r="H257" i="60"/>
  <c r="H255" i="60"/>
  <c r="H331" i="60"/>
  <c r="H317" i="60"/>
  <c r="H315" i="60"/>
  <c r="H301" i="60"/>
  <c r="H299" i="60"/>
  <c r="H285" i="60"/>
  <c r="H283" i="60"/>
  <c r="H264" i="60"/>
  <c r="H262" i="60"/>
  <c r="H153" i="60"/>
  <c r="H348" i="60"/>
  <c r="H347" i="60"/>
  <c r="H333" i="60"/>
  <c r="H309" i="60"/>
  <c r="H361" i="60"/>
  <c r="H359" i="60"/>
  <c r="H345" i="60"/>
  <c r="H343" i="60"/>
  <c r="H304" i="60"/>
  <c r="H323" i="60"/>
  <c r="H291" i="60"/>
  <c r="H328" i="60"/>
  <c r="H326" i="60"/>
  <c r="H312" i="60"/>
  <c r="H310" i="60"/>
  <c r="H296" i="60"/>
  <c r="H294" i="60"/>
  <c r="H280" i="60"/>
  <c r="H278" i="60"/>
  <c r="H275" i="60"/>
  <c r="H258" i="60"/>
  <c r="H272" i="60"/>
  <c r="H270" i="60"/>
  <c r="H362" i="60"/>
  <c r="H353" i="60"/>
  <c r="H351" i="60"/>
  <c r="H337" i="60"/>
  <c r="H335" i="60"/>
  <c r="H308" i="60"/>
  <c r="H303" i="60"/>
  <c r="H357" i="60"/>
  <c r="H355" i="60"/>
  <c r="H341" i="60"/>
  <c r="H339" i="60"/>
  <c r="H322" i="60"/>
  <c r="H290" i="60"/>
  <c r="H268" i="60"/>
  <c r="H266" i="60"/>
  <c r="H273" i="60"/>
  <c r="H256" i="60"/>
  <c r="H254" i="60"/>
  <c r="H332" i="60"/>
  <c r="H330" i="60"/>
  <c r="H316" i="60"/>
  <c r="H314" i="60"/>
  <c r="H300" i="60"/>
  <c r="H298" i="60"/>
  <c r="H284" i="60"/>
  <c r="H282" i="60"/>
  <c r="H263" i="60"/>
  <c r="H253" i="60"/>
  <c r="H147" i="60"/>
  <c r="H145" i="60"/>
  <c r="H150" i="60"/>
  <c r="H149" i="60"/>
  <c r="H146" i="60"/>
  <c r="H151" i="60"/>
  <c r="H154" i="60"/>
  <c r="H144" i="60"/>
  <c r="H148" i="60"/>
  <c r="H152" i="60"/>
  <c r="H133" i="60"/>
  <c r="J133" i="60" s="1"/>
  <c r="H110" i="60"/>
  <c r="J110" i="60" s="1"/>
  <c r="H80" i="60"/>
  <c r="J80" i="60" s="1"/>
  <c r="H83" i="60"/>
  <c r="J83" i="60" s="1"/>
  <c r="H67" i="60"/>
  <c r="J67" i="60" s="1"/>
  <c r="H70" i="60"/>
  <c r="J70" i="60" s="1"/>
  <c r="H65" i="60"/>
  <c r="J65" i="60" s="1"/>
  <c r="H131" i="60"/>
  <c r="J131" i="60" s="1"/>
  <c r="H129" i="60"/>
  <c r="J129" i="60" s="1"/>
  <c r="H127" i="60"/>
  <c r="J127" i="60" s="1"/>
  <c r="H125" i="60"/>
  <c r="J125" i="60" s="1"/>
  <c r="H123" i="60"/>
  <c r="J123" i="60" s="1"/>
  <c r="H121" i="60"/>
  <c r="J121" i="60" s="1"/>
  <c r="H119" i="60"/>
  <c r="J119" i="60" s="1"/>
  <c r="H117" i="60"/>
  <c r="J117" i="60" s="1"/>
  <c r="H115" i="60"/>
  <c r="J115" i="60" s="1"/>
  <c r="H113" i="60"/>
  <c r="J113" i="60" s="1"/>
  <c r="H111" i="60"/>
  <c r="J111" i="60" s="1"/>
  <c r="H109" i="60"/>
  <c r="J109" i="60" s="1"/>
  <c r="H104" i="60"/>
  <c r="J104" i="60" s="1"/>
  <c r="H100" i="60"/>
  <c r="J100" i="60" s="1"/>
  <c r="H96" i="60"/>
  <c r="J96" i="60" s="1"/>
  <c r="H92" i="60"/>
  <c r="J92" i="60" s="1"/>
  <c r="H88" i="60"/>
  <c r="J88" i="60" s="1"/>
  <c r="H84" i="60"/>
  <c r="J84" i="60" s="1"/>
  <c r="H68" i="60"/>
  <c r="J68" i="60" s="1"/>
  <c r="H71" i="60"/>
  <c r="J71" i="60" s="1"/>
  <c r="H105" i="60"/>
  <c r="J105" i="60" s="1"/>
  <c r="H101" i="60"/>
  <c r="J101" i="60" s="1"/>
  <c r="H97" i="60"/>
  <c r="J97" i="60" s="1"/>
  <c r="H93" i="60"/>
  <c r="J93" i="60" s="1"/>
  <c r="H89" i="60"/>
  <c r="J89" i="60" s="1"/>
  <c r="H85" i="60"/>
  <c r="J85" i="60" s="1"/>
  <c r="H74" i="60"/>
  <c r="J74" i="60" s="1"/>
  <c r="H72" i="60"/>
  <c r="J72" i="60" s="1"/>
  <c r="H75" i="60"/>
  <c r="J75" i="60" s="1"/>
  <c r="H78" i="60"/>
  <c r="J78" i="60" s="1"/>
  <c r="H63" i="60"/>
  <c r="H64" i="60"/>
  <c r="H134" i="60"/>
  <c r="J134" i="60" s="1"/>
  <c r="H132" i="60"/>
  <c r="J132" i="60" s="1"/>
  <c r="H130" i="60"/>
  <c r="J130" i="60" s="1"/>
  <c r="H128" i="60"/>
  <c r="J128" i="60" s="1"/>
  <c r="H126" i="60"/>
  <c r="J126" i="60" s="1"/>
  <c r="H124" i="60"/>
  <c r="J124" i="60" s="1"/>
  <c r="H122" i="60"/>
  <c r="J122" i="60" s="1"/>
  <c r="H120" i="60"/>
  <c r="J120" i="60" s="1"/>
  <c r="H118" i="60"/>
  <c r="J118" i="60" s="1"/>
  <c r="H116" i="60"/>
  <c r="J116" i="60" s="1"/>
  <c r="H114" i="60"/>
  <c r="J114" i="60" s="1"/>
  <c r="H112" i="60"/>
  <c r="J112" i="60" s="1"/>
  <c r="H108" i="60"/>
  <c r="J108" i="60" s="1"/>
  <c r="H106" i="60"/>
  <c r="J106" i="60" s="1"/>
  <c r="H102" i="60"/>
  <c r="J102" i="60" s="1"/>
  <c r="H98" i="60"/>
  <c r="J98" i="60" s="1"/>
  <c r="H94" i="60"/>
  <c r="J94" i="60" s="1"/>
  <c r="H90" i="60"/>
  <c r="J90" i="60" s="1"/>
  <c r="H86" i="60"/>
  <c r="J86" i="60" s="1"/>
  <c r="H76" i="60"/>
  <c r="J76" i="60" s="1"/>
  <c r="H79" i="60"/>
  <c r="J79" i="60" s="1"/>
  <c r="H107" i="60"/>
  <c r="J107" i="60" s="1"/>
  <c r="H103" i="60"/>
  <c r="J103" i="60" s="1"/>
  <c r="H99" i="60"/>
  <c r="J99" i="60" s="1"/>
  <c r="H95" i="60"/>
  <c r="J95" i="60" s="1"/>
  <c r="H91" i="60"/>
  <c r="J91" i="60" s="1"/>
  <c r="H87" i="60"/>
  <c r="J87" i="60" s="1"/>
  <c r="H82" i="60"/>
  <c r="J82" i="60" s="1"/>
  <c r="H66" i="60"/>
  <c r="J66" i="60" s="1"/>
  <c r="H51" i="60"/>
  <c r="J51" i="60" s="1"/>
  <c r="H54" i="60"/>
  <c r="J54" i="60" s="1"/>
  <c r="H50" i="60"/>
  <c r="J50" i="60" s="1"/>
  <c r="H53" i="60"/>
  <c r="J53" i="60" s="1"/>
  <c r="H52" i="60"/>
  <c r="J52" i="60" s="1"/>
  <c r="H16" i="60"/>
  <c r="J16" i="60" s="1"/>
  <c r="H28" i="60"/>
  <c r="J28" i="60" s="1"/>
  <c r="H12" i="60"/>
  <c r="J12" i="60" s="1"/>
  <c r="H48" i="60"/>
  <c r="J48" i="60" s="1"/>
  <c r="H32" i="60"/>
  <c r="J32" i="60" s="1"/>
  <c r="H31" i="60"/>
  <c r="J31" i="60" s="1"/>
  <c r="H15" i="60"/>
  <c r="J15" i="60" s="1"/>
  <c r="H18" i="60"/>
  <c r="J18" i="60" s="1"/>
  <c r="H34" i="60"/>
  <c r="J34" i="60" s="1"/>
  <c r="H33" i="60"/>
  <c r="J33" i="60" s="1"/>
  <c r="H29" i="60"/>
  <c r="J29" i="60" s="1"/>
  <c r="H13" i="60"/>
  <c r="J13" i="60" s="1"/>
  <c r="H6" i="60"/>
  <c r="H44" i="60"/>
  <c r="J44" i="60" s="1"/>
  <c r="H27" i="60"/>
  <c r="J27" i="60" s="1"/>
  <c r="H11" i="60"/>
  <c r="J11" i="60" s="1"/>
  <c r="H42" i="60"/>
  <c r="J42" i="60" s="1"/>
  <c r="H30" i="60"/>
  <c r="J30" i="60" s="1"/>
  <c r="H14" i="60"/>
  <c r="J14" i="60" s="1"/>
  <c r="H45" i="60"/>
  <c r="J45" i="60" s="1"/>
  <c r="H41" i="60"/>
  <c r="J41" i="60" s="1"/>
  <c r="H37" i="60"/>
  <c r="J37" i="60" s="1"/>
  <c r="H25" i="60"/>
  <c r="J25" i="60" s="1"/>
  <c r="H9" i="60"/>
  <c r="J9" i="60" s="1"/>
  <c r="H43" i="60"/>
  <c r="J43" i="60" s="1"/>
  <c r="H40" i="60"/>
  <c r="J40" i="60" s="1"/>
  <c r="H24" i="60"/>
  <c r="J24" i="60" s="1"/>
  <c r="H8" i="60"/>
  <c r="J8" i="60" s="1"/>
  <c r="H39" i="60"/>
  <c r="J39" i="60" s="1"/>
  <c r="H23" i="60"/>
  <c r="J23" i="60" s="1"/>
  <c r="H7" i="60"/>
  <c r="J7" i="60" s="1"/>
  <c r="H26" i="60"/>
  <c r="J26" i="60" s="1"/>
  <c r="H10" i="60"/>
  <c r="J10" i="60" s="1"/>
  <c r="H21" i="60"/>
  <c r="J21" i="60" s="1"/>
  <c r="H47" i="60"/>
  <c r="J47" i="60" s="1"/>
  <c r="H49" i="60"/>
  <c r="J49" i="60" s="1"/>
  <c r="H36" i="60"/>
  <c r="J36" i="60" s="1"/>
  <c r="H20" i="60"/>
  <c r="J20" i="60" s="1"/>
  <c r="H35" i="60"/>
  <c r="J35" i="60" s="1"/>
  <c r="H19" i="60"/>
  <c r="J19" i="60" s="1"/>
  <c r="H46" i="60"/>
  <c r="J46" i="60" s="1"/>
  <c r="H22" i="60"/>
  <c r="J22" i="60" s="1"/>
  <c r="H17" i="60"/>
  <c r="J17" i="60" s="1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106" i="14"/>
  <c r="J358" i="60"/>
  <c r="J348" i="60"/>
  <c r="J353" i="60"/>
  <c r="J351" i="60"/>
  <c r="J347" i="60"/>
  <c r="J333" i="60"/>
  <c r="J325" i="60"/>
  <c r="J293" i="60"/>
  <c r="J329" i="60"/>
  <c r="J327" i="60"/>
  <c r="J313" i="60"/>
  <c r="J311" i="60"/>
  <c r="J297" i="60"/>
  <c r="J295" i="60"/>
  <c r="J281" i="60"/>
  <c r="J279" i="60"/>
  <c r="J274" i="60"/>
  <c r="J259" i="60"/>
  <c r="J265" i="60"/>
  <c r="J331" i="60"/>
  <c r="J317" i="60"/>
  <c r="J315" i="60"/>
  <c r="J301" i="60"/>
  <c r="J299" i="60"/>
  <c r="J285" i="60"/>
  <c r="J283" i="60"/>
  <c r="J264" i="60"/>
  <c r="J262" i="60"/>
  <c r="J308" i="60"/>
  <c r="J361" i="60"/>
  <c r="J359" i="60"/>
  <c r="J345" i="60"/>
  <c r="J343" i="60"/>
  <c r="J305" i="60"/>
  <c r="J356" i="60"/>
  <c r="J350" i="60"/>
  <c r="J340" i="60"/>
  <c r="J324" i="60"/>
  <c r="J292" i="60"/>
  <c r="J280" i="60"/>
  <c r="J269" i="60"/>
  <c r="J267" i="60"/>
  <c r="J257" i="60"/>
  <c r="J272" i="60"/>
  <c r="J270" i="60"/>
  <c r="J362" i="60"/>
  <c r="J352" i="60"/>
  <c r="J342" i="60"/>
  <c r="J307" i="60"/>
  <c r="J304" i="60"/>
  <c r="J323" i="60"/>
  <c r="J291" i="60"/>
  <c r="J328" i="60"/>
  <c r="J326" i="60"/>
  <c r="J312" i="60"/>
  <c r="J310" i="60"/>
  <c r="J296" i="60"/>
  <c r="J294" i="60"/>
  <c r="J278" i="60"/>
  <c r="J275" i="60"/>
  <c r="J258" i="60"/>
  <c r="J256" i="60"/>
  <c r="J332" i="60"/>
  <c r="J330" i="60"/>
  <c r="J316" i="60"/>
  <c r="J314" i="60"/>
  <c r="J300" i="60"/>
  <c r="J298" i="60"/>
  <c r="J284" i="60"/>
  <c r="J282" i="60"/>
  <c r="J263" i="60"/>
  <c r="J306" i="60"/>
  <c r="J360" i="60"/>
  <c r="J354" i="60"/>
  <c r="J344" i="60"/>
  <c r="J338" i="60"/>
  <c r="J303" i="60"/>
  <c r="J357" i="60"/>
  <c r="J355" i="60"/>
  <c r="J341" i="60"/>
  <c r="J339" i="60"/>
  <c r="J322" i="60"/>
  <c r="J290" i="60"/>
  <c r="J252" i="60"/>
  <c r="J268" i="60"/>
  <c r="J266" i="60"/>
  <c r="J273" i="60"/>
  <c r="J271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346" i="60"/>
  <c r="J365" i="60"/>
  <c r="J349" i="60"/>
  <c r="J58" i="57"/>
  <c r="J59" i="57"/>
  <c r="J43" i="57"/>
  <c r="K217" i="55"/>
  <c r="J51" i="57"/>
  <c r="J33" i="57"/>
  <c r="J46" i="57"/>
  <c r="J47" i="57"/>
  <c r="J29" i="57"/>
  <c r="H164" i="60"/>
  <c r="J164" i="60" s="1"/>
  <c r="J28" i="57"/>
  <c r="J32" i="57"/>
  <c r="J25" i="57"/>
  <c r="H176" i="60"/>
  <c r="J176" i="60" s="1"/>
  <c r="H180" i="60"/>
  <c r="J180" i="60" s="1"/>
  <c r="H184" i="60"/>
  <c r="J184" i="60" s="1"/>
  <c r="H188" i="60"/>
  <c r="J188" i="60" s="1"/>
  <c r="H192" i="60"/>
  <c r="J192" i="60" s="1"/>
  <c r="H196" i="60"/>
  <c r="J196" i="60" s="1"/>
  <c r="H200" i="60"/>
  <c r="J200" i="60" s="1"/>
  <c r="H204" i="60"/>
  <c r="J204" i="60" s="1"/>
  <c r="H208" i="60"/>
  <c r="J208" i="60" s="1"/>
  <c r="H212" i="60"/>
  <c r="J212" i="60" s="1"/>
  <c r="H216" i="60"/>
  <c r="J216" i="60" s="1"/>
  <c r="H220" i="60"/>
  <c r="J220" i="60" s="1"/>
  <c r="H224" i="60"/>
  <c r="J224" i="60" s="1"/>
  <c r="H232" i="60"/>
  <c r="J232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J309" i="60"/>
  <c r="J319" i="60"/>
  <c r="J321" i="60"/>
  <c r="J335" i="60"/>
  <c r="J337" i="60"/>
  <c r="J318" i="60"/>
  <c r="J320" i="60"/>
  <c r="J334" i="60"/>
  <c r="J336" i="60"/>
  <c r="J363" i="60"/>
  <c r="J364" i="60"/>
  <c r="J261" i="60"/>
  <c r="J277" i="60"/>
  <c r="J276" i="60"/>
  <c r="J286" i="60"/>
  <c r="J288" i="60"/>
  <c r="J302" i="60"/>
  <c r="J287" i="60"/>
  <c r="J289" i="60"/>
  <c r="H179" i="60"/>
  <c r="J179" i="60" s="1"/>
  <c r="H183" i="60"/>
  <c r="J183" i="60" s="1"/>
  <c r="H187" i="60"/>
  <c r="J187" i="60" s="1"/>
  <c r="H191" i="60"/>
  <c r="J191" i="60" s="1"/>
  <c r="H195" i="60"/>
  <c r="J195" i="60" s="1"/>
  <c r="H199" i="60"/>
  <c r="J199" i="60" s="1"/>
  <c r="H203" i="60"/>
  <c r="J203" i="60" s="1"/>
  <c r="H207" i="60"/>
  <c r="J207" i="60" s="1"/>
  <c r="H211" i="60"/>
  <c r="J211" i="60" s="1"/>
  <c r="H215" i="60"/>
  <c r="J215" i="60" s="1"/>
  <c r="H219" i="60"/>
  <c r="J219" i="60" s="1"/>
  <c r="H222" i="60"/>
  <c r="J222" i="60" s="1"/>
  <c r="H230" i="60"/>
  <c r="J230" i="60" s="1"/>
  <c r="H157" i="60"/>
  <c r="J157" i="60" s="1"/>
  <c r="J149" i="60"/>
  <c r="J153" i="60"/>
  <c r="J152" i="60"/>
  <c r="J151" i="60"/>
  <c r="J150" i="60"/>
  <c r="H162" i="60"/>
  <c r="J162" i="60" s="1"/>
  <c r="B24" i="56"/>
  <c r="F24" i="56"/>
  <c r="H155" i="60"/>
  <c r="J155" i="60" s="1"/>
  <c r="H158" i="60"/>
  <c r="J158" i="60" s="1"/>
  <c r="H165" i="60"/>
  <c r="J165" i="60" s="1"/>
  <c r="H169" i="60"/>
  <c r="J169" i="60" s="1"/>
  <c r="H173" i="60"/>
  <c r="J173" i="60" s="1"/>
  <c r="H177" i="60"/>
  <c r="J177" i="60" s="1"/>
  <c r="H181" i="60"/>
  <c r="J181" i="60" s="1"/>
  <c r="H185" i="60"/>
  <c r="J185" i="60" s="1"/>
  <c r="H189" i="60"/>
  <c r="J189" i="60" s="1"/>
  <c r="H193" i="60"/>
  <c r="J193" i="60" s="1"/>
  <c r="H197" i="60"/>
  <c r="J197" i="60" s="1"/>
  <c r="H201" i="60"/>
  <c r="J201" i="60" s="1"/>
  <c r="H205" i="60"/>
  <c r="J205" i="60" s="1"/>
  <c r="H209" i="60"/>
  <c r="J209" i="60" s="1"/>
  <c r="H213" i="60"/>
  <c r="J213" i="60" s="1"/>
  <c r="H217" i="60"/>
  <c r="J217" i="60" s="1"/>
  <c r="H221" i="60"/>
  <c r="J221" i="60" s="1"/>
  <c r="H226" i="60"/>
  <c r="J226" i="60" s="1"/>
  <c r="H225" i="60"/>
  <c r="J225" i="60" s="1"/>
  <c r="H234" i="60"/>
  <c r="J234" i="60" s="1"/>
  <c r="H238" i="60"/>
  <c r="J238" i="60" s="1"/>
  <c r="H163" i="60"/>
  <c r="J163" i="60" s="1"/>
  <c r="H168" i="60"/>
  <c r="J168" i="60" s="1"/>
  <c r="H172" i="60"/>
  <c r="J172" i="60" s="1"/>
  <c r="H223" i="60"/>
  <c r="J223" i="60" s="1"/>
  <c r="H231" i="60"/>
  <c r="J231" i="60" s="1"/>
  <c r="H233" i="60"/>
  <c r="J233" i="60" s="1"/>
  <c r="H237" i="60"/>
  <c r="J237" i="60" s="1"/>
  <c r="H241" i="60"/>
  <c r="J241" i="60" s="1"/>
  <c r="H161" i="60"/>
  <c r="J161" i="60" s="1"/>
  <c r="H167" i="60"/>
  <c r="J167" i="60" s="1"/>
  <c r="H171" i="60"/>
  <c r="J171" i="60" s="1"/>
  <c r="H175" i="60"/>
  <c r="J175" i="60" s="1"/>
  <c r="H229" i="60"/>
  <c r="J229" i="60" s="1"/>
  <c r="H236" i="60"/>
  <c r="J236" i="60" s="1"/>
  <c r="H240" i="60"/>
  <c r="J240" i="60" s="1"/>
  <c r="H156" i="60"/>
  <c r="J156" i="60" s="1"/>
  <c r="H160" i="60"/>
  <c r="J160" i="60" s="1"/>
  <c r="J154" i="60"/>
  <c r="H159" i="60"/>
  <c r="J159" i="60" s="1"/>
  <c r="H166" i="60"/>
  <c r="J166" i="60" s="1"/>
  <c r="H170" i="60"/>
  <c r="J170" i="60" s="1"/>
  <c r="H174" i="60"/>
  <c r="J174" i="60" s="1"/>
  <c r="H178" i="60"/>
  <c r="J178" i="60" s="1"/>
  <c r="H182" i="60"/>
  <c r="J182" i="60" s="1"/>
  <c r="H186" i="60"/>
  <c r="J186" i="60" s="1"/>
  <c r="H190" i="60"/>
  <c r="J190" i="60" s="1"/>
  <c r="H194" i="60"/>
  <c r="J194" i="60" s="1"/>
  <c r="H198" i="60"/>
  <c r="J198" i="60" s="1"/>
  <c r="H202" i="60"/>
  <c r="J202" i="60" s="1"/>
  <c r="H206" i="60"/>
  <c r="J206" i="60" s="1"/>
  <c r="H210" i="60"/>
  <c r="J210" i="60" s="1"/>
  <c r="H214" i="60"/>
  <c r="J214" i="60" s="1"/>
  <c r="H218" i="60"/>
  <c r="J218" i="60" s="1"/>
  <c r="H228" i="60"/>
  <c r="J228" i="60" s="1"/>
  <c r="H227" i="60"/>
  <c r="J227" i="60" s="1"/>
  <c r="H235" i="60"/>
  <c r="J235" i="60" s="1"/>
  <c r="H239" i="60"/>
  <c r="J239" i="60" s="1"/>
  <c r="J64" i="60"/>
  <c r="J63" i="60"/>
  <c r="M9" i="39"/>
  <c r="H102" i="14"/>
  <c r="G102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J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381" i="55"/>
  <c r="J17" i="57"/>
  <c r="H23" i="57"/>
  <c r="H16" i="57"/>
  <c r="H18" i="57"/>
  <c r="B13" i="61"/>
  <c r="H243" i="60" l="1"/>
  <c r="H245" i="60" s="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H136" i="60"/>
  <c r="H138" i="60" s="1"/>
  <c r="J255" i="60"/>
  <c r="J253" i="60"/>
  <c r="J254" i="60"/>
  <c r="J251" i="60"/>
  <c r="J147" i="60"/>
  <c r="J146" i="60"/>
  <c r="J148" i="60"/>
  <c r="J145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103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H56" i="60"/>
  <c r="H58" i="60" s="1"/>
  <c r="B14" i="61"/>
  <c r="I15" i="14"/>
  <c r="I13" i="42"/>
  <c r="J103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J250" i="60"/>
  <c r="H27" i="56"/>
  <c r="I16" i="71"/>
  <c r="J16" i="71"/>
  <c r="J16" i="14"/>
  <c r="G70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I16" i="47"/>
  <c r="H16" i="47"/>
  <c r="J26" i="71" l="1"/>
  <c r="J27" i="71" s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J29" i="71"/>
  <c r="I29" i="71"/>
  <c r="H19" i="47"/>
  <c r="I19" i="47"/>
  <c r="I29" i="14" l="1"/>
  <c r="J29" i="14"/>
  <c r="I30" i="71"/>
  <c r="J30" i="71"/>
  <c r="I20" i="47"/>
  <c r="H20" i="47"/>
  <c r="J30" i="14" l="1"/>
  <c r="H21" i="47"/>
  <c r="I21" i="47"/>
  <c r="I30" i="14"/>
  <c r="F38" i="43"/>
  <c r="F70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31" i="14" l="1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70" i="43"/>
  <c r="H71" i="43" s="1"/>
  <c r="J32" i="14" l="1"/>
  <c r="I23" i="47"/>
  <c r="H23" i="47"/>
  <c r="I32" i="14"/>
  <c r="I33" i="14" l="1"/>
  <c r="H24" i="47"/>
  <c r="I24" i="47"/>
  <c r="J33" i="14"/>
  <c r="J34" i="14" l="1"/>
  <c r="I25" i="47"/>
  <c r="H25" i="47"/>
  <c r="I34" i="14"/>
  <c r="I35" i="14" l="1"/>
  <c r="H26" i="47"/>
  <c r="I26" i="47"/>
  <c r="J35" i="14"/>
  <c r="J36" i="14" l="1"/>
  <c r="I27" i="47"/>
  <c r="H27" i="47"/>
  <c r="I36" i="14"/>
  <c r="I37" i="14" l="1"/>
  <c r="H28" i="47"/>
  <c r="I28" i="47"/>
  <c r="J37" i="14"/>
  <c r="J38" i="14" l="1"/>
  <c r="I29" i="47"/>
  <c r="H29" i="47"/>
  <c r="I38" i="14"/>
  <c r="I39" i="14" l="1"/>
  <c r="H30" i="47"/>
  <c r="I30" i="47"/>
  <c r="J39" i="14"/>
  <c r="J40" i="14" l="1"/>
  <c r="I31" i="47"/>
  <c r="H31" i="47"/>
  <c r="I40" i="14"/>
  <c r="I41" i="14" s="1"/>
  <c r="H32" i="47" l="1"/>
  <c r="I32" i="47"/>
  <c r="J41" i="14"/>
  <c r="J42" i="14" s="1"/>
  <c r="I33" i="47" l="1"/>
  <c r="H33" i="47"/>
  <c r="I42" i="14"/>
  <c r="I43" i="14" s="1"/>
  <c r="H34" i="47" l="1"/>
  <c r="I34" i="47"/>
  <c r="J43" i="14"/>
  <c r="J44" i="14" s="1"/>
  <c r="I35" i="47" l="1"/>
  <c r="H35" i="47"/>
  <c r="I44" i="14"/>
  <c r="I45" i="14" s="1"/>
  <c r="H36" i="47" l="1"/>
  <c r="I36" i="47"/>
  <c r="J45" i="14"/>
  <c r="J46" i="14" s="1"/>
  <c r="I37" i="47" l="1"/>
  <c r="H37" i="47"/>
  <c r="I46" i="14"/>
  <c r="I47" i="14" s="1"/>
  <c r="H38" i="47" l="1"/>
  <c r="I38" i="47"/>
  <c r="J47" i="14"/>
  <c r="J48" i="14" s="1"/>
  <c r="I39" i="47" l="1"/>
  <c r="H39" i="47"/>
  <c r="I48" i="14"/>
  <c r="I49" i="14" s="1"/>
  <c r="H40" i="47" l="1"/>
  <c r="I40" i="47"/>
  <c r="J49" i="14"/>
  <c r="J50" i="14" s="1"/>
  <c r="I41" i="47" l="1"/>
  <c r="I50" i="14"/>
  <c r="I51" i="14" s="1"/>
  <c r="H41" i="47"/>
  <c r="H42" i="47" l="1"/>
  <c r="J51" i="14"/>
  <c r="J52" i="14" s="1"/>
  <c r="I42" i="47"/>
  <c r="I43" i="47" l="1"/>
  <c r="I52" i="14"/>
  <c r="I53" i="14" s="1"/>
  <c r="H43" i="47"/>
  <c r="H44" i="47" l="1"/>
  <c r="J53" i="14"/>
  <c r="J54" i="14" s="1"/>
  <c r="I44" i="47"/>
  <c r="I45" i="47" l="1"/>
  <c r="I54" i="14"/>
  <c r="I55" i="14" s="1"/>
  <c r="H45" i="47"/>
  <c r="H46" i="47" l="1"/>
  <c r="J55" i="14"/>
  <c r="J56" i="14" s="1"/>
  <c r="I46" i="47"/>
  <c r="I47" i="47" l="1"/>
  <c r="I56" i="14"/>
  <c r="I57" i="14" s="1"/>
  <c r="H47" i="47"/>
  <c r="H48" i="47" l="1"/>
  <c r="J57" i="14"/>
  <c r="J58" i="14" s="1"/>
  <c r="I48" i="47"/>
  <c r="I49" i="47" s="1"/>
  <c r="I58" i="14" l="1"/>
  <c r="I59" i="14" s="1"/>
  <c r="H49" i="47"/>
  <c r="H50" i="47" s="1"/>
  <c r="J59" i="14" l="1"/>
  <c r="J60" i="14" s="1"/>
  <c r="I50" i="47"/>
  <c r="I51" i="47" s="1"/>
  <c r="I60" i="14" l="1"/>
  <c r="I61" i="14" s="1"/>
  <c r="H51" i="47"/>
  <c r="H52" i="47" s="1"/>
  <c r="J144" i="60"/>
  <c r="J61" i="14" l="1"/>
  <c r="J62" i="14" s="1"/>
  <c r="I52" i="47"/>
  <c r="I53" i="47" s="1"/>
  <c r="I62" i="14" l="1"/>
  <c r="I63" i="14" s="1"/>
  <c r="H53" i="47"/>
  <c r="H54" i="47" s="1"/>
  <c r="J63" i="14" l="1"/>
  <c r="J64" i="14" s="1"/>
  <c r="I54" i="47"/>
  <c r="I55" i="47" s="1"/>
  <c r="I64" i="14" l="1"/>
  <c r="I65" i="14" s="1"/>
  <c r="H55" i="47"/>
  <c r="H56" i="47" s="1"/>
  <c r="J65" i="14" l="1"/>
  <c r="J66" i="14" s="1"/>
  <c r="I56" i="47"/>
  <c r="I57" i="47" s="1"/>
  <c r="I66" i="14" l="1"/>
  <c r="I67" i="14" s="1"/>
  <c r="H57" i="47"/>
  <c r="H58" i="47" s="1"/>
  <c r="J67" i="14" l="1"/>
  <c r="J68" i="14" s="1"/>
  <c r="I58" i="47"/>
  <c r="I59" i="47" s="1"/>
  <c r="I68" i="14" l="1"/>
  <c r="I69" i="14" s="1"/>
  <c r="H59" i="47"/>
  <c r="H60" i="47" s="1"/>
  <c r="J69" i="14" l="1"/>
  <c r="J70" i="14" s="1"/>
  <c r="I60" i="47"/>
  <c r="I70" i="14" l="1"/>
  <c r="I71" i="14" s="1"/>
  <c r="J71" i="14" l="1"/>
  <c r="J72" i="14" s="1"/>
  <c r="I72" i="14" l="1"/>
  <c r="I73" i="14" s="1"/>
  <c r="J73" i="14" l="1"/>
  <c r="J74" i="14" s="1"/>
  <c r="I74" i="14" l="1"/>
  <c r="I75" i="14" s="1"/>
  <c r="J75" i="14" l="1"/>
  <c r="J76" i="14" s="1"/>
  <c r="I76" i="14" l="1"/>
  <c r="I77" i="14" s="1"/>
  <c r="J77" i="14" l="1"/>
  <c r="J78" i="14" s="1"/>
  <c r="I78" i="14" l="1"/>
  <c r="I79" i="14" s="1"/>
  <c r="J79" i="14" l="1"/>
  <c r="J80" i="14" s="1"/>
  <c r="I80" i="14" l="1"/>
  <c r="I81" i="14" s="1"/>
  <c r="J81" i="14" l="1"/>
  <c r="J82" i="14" s="1"/>
  <c r="I82" i="14" l="1"/>
  <c r="I83" i="14" s="1"/>
  <c r="J83" i="14" l="1"/>
  <c r="J84" i="14" s="1"/>
  <c r="I84" i="14" l="1"/>
  <c r="I85" i="14" s="1"/>
  <c r="J85" i="14" l="1"/>
  <c r="J86" i="14" s="1"/>
  <c r="I86" i="14" l="1"/>
  <c r="I87" i="14" s="1"/>
  <c r="J87" i="14" l="1"/>
  <c r="J88" i="14" s="1"/>
  <c r="I88" i="14" l="1"/>
  <c r="I89" i="14" s="1"/>
  <c r="J89" i="14" l="1"/>
  <c r="J90" i="14" s="1"/>
  <c r="I90" i="14" l="1"/>
  <c r="I91" i="14" s="1"/>
  <c r="J91" i="14" l="1"/>
  <c r="J92" i="14" s="1"/>
  <c r="I92" i="14" l="1"/>
  <c r="I93" i="14" s="1"/>
  <c r="J93" i="14" l="1"/>
  <c r="J94" i="14" s="1"/>
  <c r="I94" i="14" l="1"/>
  <c r="I95" i="14" s="1"/>
  <c r="J95" i="14" l="1"/>
  <c r="J96" i="14" s="1"/>
  <c r="I96" i="14" l="1"/>
  <c r="I97" i="14" s="1"/>
  <c r="J97" i="14" l="1"/>
  <c r="J98" i="14" s="1"/>
  <c r="I98" i="14" l="1"/>
  <c r="I99" i="14" s="1"/>
  <c r="J99" i="14" l="1"/>
  <c r="J100" i="14" s="1"/>
  <c r="I100" i="14" l="1"/>
  <c r="F42" i="57" l="1"/>
  <c r="J42" i="57" l="1"/>
  <c r="J74" i="57" s="1"/>
  <c r="H42" i="57"/>
  <c r="I24" i="73" l="1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252" i="60" l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K2121" i="34" l="1"/>
  <c r="J164" i="55" a="1"/>
  <c r="J164" i="55" s="1"/>
  <c r="F50" i="15" a="1"/>
  <c r="F50" i="15" s="1"/>
  <c r="J294" i="55" a="1"/>
  <c r="J294" i="55" s="1"/>
  <c r="J275" i="55" a="1"/>
  <c r="J275" i="55" s="1"/>
  <c r="J326" i="55" a="1"/>
  <c r="J326" i="55" s="1"/>
  <c r="J147" i="55" a="1"/>
  <c r="J147" i="55" s="1"/>
  <c r="J168" i="55" a="1"/>
  <c r="J168" i="55" s="1"/>
  <c r="J274" i="55" a="1"/>
  <c r="J274" i="55" s="1"/>
  <c r="J149" i="55" a="1"/>
  <c r="J149" i="55" s="1"/>
  <c r="J371" i="55" a="1"/>
  <c r="J371" i="55" s="1"/>
  <c r="J196" i="55" a="1"/>
  <c r="J196" i="55" s="1"/>
  <c r="J204" i="55" a="1"/>
  <c r="J204" i="55" s="1"/>
  <c r="J329" i="55" a="1"/>
  <c r="J329" i="55" s="1"/>
  <c r="D13" i="39"/>
  <c r="J209" i="55" a="1"/>
  <c r="J209" i="55" s="1"/>
  <c r="J323" i="55" a="1"/>
  <c r="J323" i="55" s="1"/>
  <c r="J176" i="55" a="1"/>
  <c r="J176" i="55" s="1"/>
  <c r="J219" i="55" a="1"/>
  <c r="J219" i="55" s="1"/>
  <c r="J190" i="55" a="1"/>
  <c r="J190" i="55" s="1"/>
  <c r="J169" i="55" a="1"/>
  <c r="J169" i="55" s="1"/>
  <c r="J310" i="55" a="1"/>
  <c r="J310" i="55" s="1"/>
  <c r="J173" i="55" a="1"/>
  <c r="J173" i="55" s="1"/>
  <c r="J259" i="55" a="1"/>
  <c r="J259" i="55" s="1"/>
  <c r="J231" i="55" a="1"/>
  <c r="J231" i="55" s="1"/>
  <c r="J195" i="55" a="1"/>
  <c r="J195" i="55" s="1"/>
  <c r="J199" i="55" a="1"/>
  <c r="J199" i="55" s="1"/>
  <c r="J376" i="55" a="1"/>
  <c r="J376" i="55" s="1"/>
  <c r="J373" i="55" a="1"/>
  <c r="J373" i="55" s="1"/>
  <c r="J284" i="55" a="1"/>
  <c r="J284" i="55" s="1"/>
  <c r="J161" i="55" a="1"/>
  <c r="J161" i="55" s="1"/>
  <c r="J198" i="55" a="1"/>
  <c r="J198" i="55" s="1"/>
  <c r="F51" i="15" a="1"/>
  <c r="F51" i="15" s="1"/>
  <c r="J188" i="55" a="1"/>
  <c r="J188" i="55" s="1"/>
  <c r="J145" i="55" a="1"/>
  <c r="J145" i="55" s="1"/>
  <c r="F53" i="15" a="1"/>
  <c r="F53" i="15" s="1"/>
  <c r="J158" i="55" a="1"/>
  <c r="J158" i="55" s="1"/>
  <c r="J157" i="55" a="1"/>
  <c r="J157" i="55" s="1"/>
  <c r="J359" i="55" a="1"/>
  <c r="J359" i="55" s="1"/>
  <c r="J311" i="55" a="1"/>
  <c r="J311" i="55" s="1"/>
  <c r="J244" i="55" a="1"/>
  <c r="J244" i="55" s="1"/>
  <c r="J339" i="55" a="1"/>
  <c r="J339" i="55" s="1"/>
  <c r="J263" i="55" a="1"/>
  <c r="J263" i="55" s="1"/>
  <c r="J211" i="55" a="1"/>
  <c r="J211" i="55" s="1"/>
  <c r="J250" i="55" a="1"/>
  <c r="J250" i="55" s="1"/>
  <c r="J210" i="55" a="1"/>
  <c r="J210" i="55" s="1"/>
  <c r="J251" i="55" a="1"/>
  <c r="J251" i="55" s="1"/>
  <c r="J138" i="55" a="1"/>
  <c r="J138" i="55" s="1"/>
  <c r="J13" i="55" a="1"/>
  <c r="J13" i="55" s="1"/>
  <c r="J136" i="55" a="1"/>
  <c r="J136" i="55" s="1"/>
  <c r="J372" i="55" a="1"/>
  <c r="J372" i="55" s="1"/>
  <c r="J159" i="55" a="1"/>
  <c r="J159" i="55" s="1"/>
  <c r="F48" i="15" a="1"/>
  <c r="F48" i="15" s="1"/>
  <c r="J361" i="55" a="1"/>
  <c r="J361" i="55" s="1"/>
  <c r="J358" i="55" a="1"/>
  <c r="J358" i="55" s="1"/>
  <c r="J352" i="55" a="1"/>
  <c r="J352" i="55" s="1"/>
  <c r="J234" i="55" a="1"/>
  <c r="J234" i="55" s="1"/>
  <c r="J282" i="55" a="1"/>
  <c r="J282" i="55" s="1"/>
  <c r="J253" i="55" a="1"/>
  <c r="J253" i="55" s="1"/>
  <c r="J307" i="55" a="1"/>
  <c r="J307" i="55" s="1"/>
  <c r="J285" i="55" a="1"/>
  <c r="J285" i="55" s="1"/>
  <c r="J271" i="55" a="1"/>
  <c r="J271" i="55" s="1"/>
  <c r="J309" i="55" a="1"/>
  <c r="J309" i="55" s="1"/>
  <c r="J332" i="55" a="1"/>
  <c r="J332" i="55" s="1"/>
  <c r="J140" i="55" a="1"/>
  <c r="J140" i="55" s="1"/>
  <c r="J152" i="55" a="1"/>
  <c r="J152" i="55" s="1"/>
  <c r="J191" i="55" a="1"/>
  <c r="J191" i="55" s="1"/>
  <c r="J207" i="55" a="1"/>
  <c r="J207" i="55" s="1"/>
  <c r="J289" i="55" a="1"/>
  <c r="J289" i="55" s="1"/>
  <c r="J14" i="55" a="1"/>
  <c r="J14" i="55" s="1"/>
  <c r="J229" i="55" a="1"/>
  <c r="J229" i="55" s="1"/>
  <c r="J226" i="55" a="1"/>
  <c r="J226" i="55" s="1"/>
  <c r="J295" i="55" a="1"/>
  <c r="J295" i="55" s="1"/>
  <c r="J266" i="55" a="1"/>
  <c r="J266" i="55" s="1"/>
  <c r="J287" i="55" a="1"/>
  <c r="J287" i="55" s="1"/>
  <c r="J235" i="55" a="1"/>
  <c r="J235" i="55" s="1"/>
  <c r="J180" i="55" a="1"/>
  <c r="J180" i="55" s="1"/>
  <c r="J320" i="55" a="1"/>
  <c r="J320" i="55" s="1"/>
  <c r="J154" i="55" a="1"/>
  <c r="J154" i="55" s="1"/>
  <c r="J135" i="55" a="1"/>
  <c r="J135" i="55" s="1"/>
  <c r="J202" i="55" a="1"/>
  <c r="J202" i="55" s="1"/>
  <c r="J139" i="55" a="1"/>
  <c r="J139" i="55" s="1"/>
  <c r="J343" i="55" a="1"/>
  <c r="J343" i="55" s="1"/>
  <c r="J335" i="55" a="1"/>
  <c r="J335" i="55" s="1"/>
  <c r="J273" i="55" a="1"/>
  <c r="J273" i="55" s="1"/>
  <c r="J369" i="55" a="1"/>
  <c r="J369" i="55" s="1"/>
  <c r="J367" i="55" a="1"/>
  <c r="J367" i="55" s="1"/>
  <c r="J319" i="55" a="1"/>
  <c r="J319" i="55" s="1"/>
  <c r="J177" i="55" a="1"/>
  <c r="J177" i="55" s="1"/>
  <c r="J238" i="55" a="1"/>
  <c r="J238" i="55" s="1"/>
  <c r="J360" i="55" a="1"/>
  <c r="J360" i="55" s="1"/>
  <c r="J201" i="55" a="1"/>
  <c r="J201" i="55" s="1"/>
  <c r="J349" i="55" a="1"/>
  <c r="J349" i="55" s="1"/>
  <c r="J313" i="55" a="1"/>
  <c r="J313" i="55" s="1"/>
  <c r="J182" i="55" a="1"/>
  <c r="J182" i="55" s="1"/>
  <c r="J298" i="55" a="1"/>
  <c r="J298" i="55" s="1"/>
  <c r="J316" i="55" a="1"/>
  <c r="J316" i="55" s="1"/>
  <c r="J366" i="55" a="1"/>
  <c r="J366" i="55" s="1"/>
  <c r="J255" i="55" a="1"/>
  <c r="J255" i="55" s="1"/>
  <c r="J365" i="55" a="1"/>
  <c r="J365" i="55" s="1"/>
  <c r="J232" i="55" a="1"/>
  <c r="J232" i="55" s="1"/>
  <c r="J353" i="55" a="1"/>
  <c r="J353" i="55" s="1"/>
  <c r="J205" i="55" a="1"/>
  <c r="J205" i="55" s="1"/>
  <c r="J333" i="55" a="1"/>
  <c r="J333" i="55" s="1"/>
  <c r="J350" i="55" a="1"/>
  <c r="J350" i="55" s="1"/>
  <c r="J268" i="55" a="1"/>
  <c r="J268" i="55" s="1"/>
  <c r="J374" i="55" a="1"/>
  <c r="J374" i="55" s="1"/>
  <c r="J293" i="55" a="1"/>
  <c r="J293" i="55" s="1"/>
  <c r="J368" i="55" a="1"/>
  <c r="J368" i="55" s="1"/>
  <c r="J355" i="55" a="1"/>
  <c r="J355" i="55" s="1"/>
  <c r="J174" i="55" a="1"/>
  <c r="J174" i="55" s="1"/>
  <c r="J254" i="55" a="1"/>
  <c r="J254" i="55" s="1"/>
  <c r="J223" i="55" a="1"/>
  <c r="J223" i="55" s="1"/>
  <c r="J378" i="55" a="1"/>
  <c r="J378" i="55" s="1"/>
  <c r="J224" i="55" a="1"/>
  <c r="J224" i="55" s="1"/>
  <c r="J379" i="55" a="1"/>
  <c r="J379" i="55" s="1"/>
  <c r="J324" i="55" a="1"/>
  <c r="J324" i="55" s="1"/>
  <c r="J283" i="55" a="1"/>
  <c r="J283" i="55" s="1"/>
  <c r="J246" i="55" a="1"/>
  <c r="J246" i="55" s="1"/>
  <c r="J280" i="55" a="1"/>
  <c r="J280" i="55" s="1"/>
  <c r="J377" i="55" a="1"/>
  <c r="J377" i="55" s="1"/>
  <c r="J362" i="55" a="1"/>
  <c r="J362" i="55" s="1"/>
  <c r="J288" i="55" a="1"/>
  <c r="J288" i="55" s="1"/>
  <c r="J338" i="55" a="1"/>
  <c r="J338" i="55" s="1"/>
  <c r="J249" i="55" a="1"/>
  <c r="J249" i="55" s="1"/>
  <c r="J245" i="55" a="1"/>
  <c r="J245" i="55" s="1"/>
  <c r="J227" i="55" a="1"/>
  <c r="J227" i="55" s="1"/>
  <c r="J330" i="55" a="1"/>
  <c r="J330" i="55" s="1"/>
  <c r="J279" i="55" a="1"/>
  <c r="J279" i="55" s="1"/>
  <c r="J242" i="55" a="1"/>
  <c r="J242" i="55" s="1"/>
  <c r="J214" i="55" a="1"/>
  <c r="J214" i="55" s="1"/>
  <c r="J292" i="55" a="1"/>
  <c r="J292" i="55" s="1"/>
  <c r="J300" i="55" a="1"/>
  <c r="J300" i="55" s="1"/>
  <c r="J261" i="55" a="1"/>
  <c r="J261" i="55" s="1"/>
  <c r="J328" i="55" a="1"/>
  <c r="J328" i="55" s="1"/>
  <c r="J237" i="55" a="1"/>
  <c r="J237" i="55" s="1"/>
  <c r="J233" i="55" a="1"/>
  <c r="J233" i="55" s="1"/>
  <c r="J334" i="55" a="1"/>
  <c r="J334" i="55" s="1"/>
  <c r="J248" i="55" a="1"/>
  <c r="J248" i="55" s="1"/>
  <c r="J301" i="55" a="1"/>
  <c r="J301" i="55" s="1"/>
  <c r="J341" i="55" a="1"/>
  <c r="J341" i="55" s="1"/>
  <c r="J347" i="55" a="1"/>
  <c r="J347" i="55" s="1"/>
  <c r="J192" i="55" a="1"/>
  <c r="J192" i="55" s="1"/>
  <c r="J303" i="55" a="1"/>
  <c r="J303" i="55" s="1"/>
  <c r="J265" i="55" a="1"/>
  <c r="J265" i="55" s="1"/>
  <c r="J314" i="55" a="1"/>
  <c r="J314" i="55" s="1"/>
  <c r="J375" i="55" a="1"/>
  <c r="J375" i="55" s="1"/>
  <c r="J342" i="55" a="1"/>
  <c r="J342" i="55" s="1"/>
  <c r="J247" i="55" a="1"/>
  <c r="J247" i="55" s="1"/>
  <c r="J363" i="55" a="1"/>
  <c r="J363" i="55" s="1"/>
  <c r="J264" i="55" a="1"/>
  <c r="J264" i="55" s="1"/>
  <c r="J286" i="55" a="1"/>
  <c r="J286" i="55" s="1"/>
  <c r="J345" i="55" a="1"/>
  <c r="J345" i="55" s="1"/>
  <c r="J262" i="55" a="1"/>
  <c r="J262" i="55" s="1"/>
  <c r="J243" i="55" a="1"/>
  <c r="J243" i="55" s="1"/>
  <c r="J304" i="55" a="1"/>
  <c r="J304" i="55" s="1"/>
  <c r="J299" i="55" a="1"/>
  <c r="J299" i="55" s="1"/>
  <c r="J291" i="55" a="1"/>
  <c r="J291" i="55" s="1"/>
  <c r="J340" i="55" a="1"/>
  <c r="J340" i="55" s="1"/>
  <c r="J200" i="55" a="1"/>
  <c r="J200" i="55" s="1"/>
  <c r="J260" i="55" a="1"/>
  <c r="J260" i="55" s="1"/>
  <c r="J256" i="55" a="1"/>
  <c r="J256" i="55" s="1"/>
  <c r="J241" i="55" a="1"/>
  <c r="J241" i="55" s="1"/>
  <c r="J321" i="55" a="1"/>
  <c r="J321" i="55" s="1"/>
  <c r="J236" i="55" a="1"/>
  <c r="J236" i="55" s="1"/>
  <c r="J167" i="55" a="1"/>
  <c r="J167" i="55" s="1"/>
  <c r="J370" i="55" a="1"/>
  <c r="J370" i="55" s="1"/>
  <c r="J220" i="55" a="1"/>
  <c r="J220" i="55" s="1"/>
  <c r="J305" i="55" a="1"/>
  <c r="J305" i="55" s="1"/>
  <c r="J364" i="55" a="1"/>
  <c r="J364" i="55" s="1"/>
  <c r="H170" i="55" a="1"/>
  <c r="H170" i="55" s="1"/>
  <c r="H336" i="55" a="1"/>
  <c r="H336" i="55" s="1"/>
  <c r="H329" i="55" a="1"/>
  <c r="H329" i="55" s="1"/>
  <c r="H156" i="55" a="1"/>
  <c r="H156" i="55" s="1"/>
  <c r="E50" i="15" a="1"/>
  <c r="E50" i="15" s="1"/>
  <c r="I50" i="15" s="1"/>
  <c r="F13" i="70" a="1"/>
  <c r="F13" i="70" s="1"/>
  <c r="H175" i="55" a="1"/>
  <c r="H175" i="55" s="1"/>
  <c r="H163" i="55" a="1"/>
  <c r="H163" i="55" s="1"/>
  <c r="H258" i="55" a="1"/>
  <c r="H258" i="55" s="1"/>
  <c r="H325" i="55" a="1"/>
  <c r="H325" i="55" s="1"/>
  <c r="J230" i="55" a="1"/>
  <c r="J230" i="55" s="1"/>
  <c r="H165" i="55" a="1"/>
  <c r="H165" i="55" s="1"/>
  <c r="E51" i="15" a="1"/>
  <c r="E51" i="15" s="1"/>
  <c r="I51" i="15" s="1"/>
  <c r="H171" i="55" a="1"/>
  <c r="H171" i="55" s="1"/>
  <c r="H221" i="55" a="1"/>
  <c r="H221" i="55" s="1"/>
  <c r="F43" i="15" a="1"/>
  <c r="F43" i="15" s="1"/>
  <c r="F44" i="15" s="1"/>
  <c r="E47" i="15" a="1"/>
  <c r="E47" i="15" s="1"/>
  <c r="H150" i="55" a="1"/>
  <c r="H150" i="55" s="1"/>
  <c r="H302" i="55" a="1"/>
  <c r="H302" i="55" s="1"/>
  <c r="H317" i="55" a="1"/>
  <c r="H317" i="55" s="1"/>
  <c r="H185" i="55" a="1"/>
  <c r="H185" i="55" s="1"/>
  <c r="H144" i="55" a="1"/>
  <c r="H144" i="55" s="1"/>
  <c r="H142" i="55" a="1"/>
  <c r="H142" i="55" s="1"/>
  <c r="H323" i="55" a="1"/>
  <c r="H323" i="55" s="1"/>
  <c r="L323" i="55" s="1"/>
  <c r="H215" i="55" a="1"/>
  <c r="H215" i="55" s="1"/>
  <c r="E49" i="15" a="1"/>
  <c r="E49" i="15" s="1"/>
  <c r="H143" i="55" a="1"/>
  <c r="H143" i="55" s="1"/>
  <c r="H315" i="55" a="1"/>
  <c r="H315" i="55" s="1"/>
  <c r="H228" i="55" a="1"/>
  <c r="H228" i="55" s="1"/>
  <c r="H270" i="55" a="1"/>
  <c r="H270" i="55" s="1"/>
  <c r="H278" i="55" a="1"/>
  <c r="H278" i="55" s="1"/>
  <c r="H225" i="55" a="1"/>
  <c r="H225" i="55" s="1"/>
  <c r="H203" i="55" a="1"/>
  <c r="H203" i="55" s="1"/>
  <c r="H344" i="55" a="1"/>
  <c r="H344" i="55" s="1"/>
  <c r="H267" i="55" a="1"/>
  <c r="H267" i="55" s="1"/>
  <c r="H318" i="55" a="1"/>
  <c r="H318" i="55" s="1"/>
  <c r="H152" i="55" a="1"/>
  <c r="H152" i="55" s="1"/>
  <c r="H349" i="55" a="1"/>
  <c r="H349" i="55" s="1"/>
  <c r="H191" i="55" a="1"/>
  <c r="H191" i="55" s="1"/>
  <c r="H207" i="55" a="1"/>
  <c r="H207" i="55" s="1"/>
  <c r="H297" i="55" a="1"/>
  <c r="H297" i="55" s="1"/>
  <c r="H277" i="55" a="1"/>
  <c r="H277" i="55" s="1"/>
  <c r="H238" i="55" a="1"/>
  <c r="H238" i="55" s="1"/>
  <c r="H320" i="55" a="1"/>
  <c r="H320" i="55" s="1"/>
  <c r="H251" i="55" a="1"/>
  <c r="H251" i="55" s="1"/>
  <c r="H314" i="55" a="1"/>
  <c r="H314" i="55" s="1"/>
  <c r="H205" i="55" a="1"/>
  <c r="H205" i="55" s="1"/>
  <c r="H219" i="55" a="1"/>
  <c r="H219" i="55" s="1"/>
  <c r="H310" i="55" a="1"/>
  <c r="H310" i="55" s="1"/>
  <c r="H239" i="55" a="1"/>
  <c r="H239" i="55" s="1"/>
  <c r="H184" i="55" a="1"/>
  <c r="H184" i="55" s="1"/>
  <c r="H211" i="55" a="1"/>
  <c r="H211" i="55" s="1"/>
  <c r="L211" i="55" s="1"/>
  <c r="M211" i="55" s="1"/>
  <c r="H327" i="55" a="1"/>
  <c r="H327" i="55" s="1"/>
  <c r="H196" i="55" a="1"/>
  <c r="H196" i="55" s="1"/>
  <c r="L196" i="55" s="1"/>
  <c r="M196" i="55" s="1"/>
  <c r="H240" i="55" a="1"/>
  <c r="H240" i="55" s="1"/>
  <c r="H371" i="55" a="1"/>
  <c r="H371" i="55" s="1"/>
  <c r="H208" i="55" a="1"/>
  <c r="H208" i="55" s="1"/>
  <c r="H147" i="55" a="1"/>
  <c r="H147" i="55" s="1"/>
  <c r="H186" i="55" a="1"/>
  <c r="H186" i="55" s="1"/>
  <c r="H269" i="55" a="1"/>
  <c r="H269" i="55" s="1"/>
  <c r="H294" i="55" a="1"/>
  <c r="H294" i="55" s="1"/>
  <c r="L294" i="55" s="1"/>
  <c r="H157" i="55" a="1"/>
  <c r="H157" i="55" s="1"/>
  <c r="H359" i="55" a="1"/>
  <c r="H359" i="55" s="1"/>
  <c r="H182" i="55" a="1"/>
  <c r="H182" i="55" s="1"/>
  <c r="H257" i="55" a="1"/>
  <c r="H257" i="55" s="1"/>
  <c r="H322" i="55" a="1"/>
  <c r="H322" i="55" s="1"/>
  <c r="H135" i="55" a="1"/>
  <c r="H135" i="55" s="1"/>
  <c r="H366" i="55" a="1"/>
  <c r="H366" i="55" s="1"/>
  <c r="L366" i="55" s="1"/>
  <c r="H309" i="55" a="1"/>
  <c r="H309" i="55" s="1"/>
  <c r="L309" i="55" s="1"/>
  <c r="H249" i="55" a="1"/>
  <c r="H249" i="55" s="1"/>
  <c r="H174" i="55" a="1"/>
  <c r="H174" i="55" s="1"/>
  <c r="H347" i="55" a="1"/>
  <c r="H347" i="55" s="1"/>
  <c r="H254" i="55" a="1"/>
  <c r="H254" i="55" s="1"/>
  <c r="H192" i="55" a="1"/>
  <c r="H192" i="55" s="1"/>
  <c r="H303" i="55" a="1"/>
  <c r="H303" i="55" s="1"/>
  <c r="H223" i="55" a="1"/>
  <c r="H223" i="55" s="1"/>
  <c r="H375" i="55" a="1"/>
  <c r="H375" i="55" s="1"/>
  <c r="H220" i="55" a="1"/>
  <c r="H220" i="55" s="1"/>
  <c r="L220" i="55" s="1"/>
  <c r="H199" i="55" a="1"/>
  <c r="H199" i="55" s="1"/>
  <c r="H176" i="55" a="1"/>
  <c r="H176" i="55" s="1"/>
  <c r="L176" i="55" s="1"/>
  <c r="M176" i="55" s="1"/>
  <c r="F17" i="70" a="1"/>
  <c r="F17" i="70" s="1"/>
  <c r="H197" i="55" a="1"/>
  <c r="H197" i="55" s="1"/>
  <c r="H153" i="55" a="1"/>
  <c r="H153" i="55" s="1"/>
  <c r="H274" i="55" a="1"/>
  <c r="H274" i="55" s="1"/>
  <c r="H168" i="55" a="1"/>
  <c r="H168" i="55" s="1"/>
  <c r="L168" i="55" s="1"/>
  <c r="M168" i="55" s="1"/>
  <c r="H141" i="55" a="1"/>
  <c r="H141" i="55" s="1"/>
  <c r="H148" i="55" a="1"/>
  <c r="H148" i="55" s="1"/>
  <c r="H189" i="55" a="1"/>
  <c r="H189" i="55" s="1"/>
  <c r="H193" i="55" a="1"/>
  <c r="H193" i="55" s="1"/>
  <c r="H151" i="55" a="1"/>
  <c r="H151" i="55" s="1"/>
  <c r="H356" i="55" a="1"/>
  <c r="H356" i="55" s="1"/>
  <c r="H178" i="55" a="1"/>
  <c r="H178" i="55" s="1"/>
  <c r="H140" i="55" a="1"/>
  <c r="H140" i="55" s="1"/>
  <c r="H272" i="55" a="1"/>
  <c r="H272" i="55" s="1"/>
  <c r="H351" i="55" a="1"/>
  <c r="H351" i="55" s="1"/>
  <c r="H194" i="55" a="1"/>
  <c r="H194" i="55" s="1"/>
  <c r="H213" i="55" a="1"/>
  <c r="H213" i="55" s="1"/>
  <c r="H166" i="55" a="1"/>
  <c r="H166" i="55" s="1"/>
  <c r="H222" i="55" a="1"/>
  <c r="H222" i="55" s="1"/>
  <c r="H348" i="55" a="1"/>
  <c r="H348" i="55" s="1"/>
  <c r="H372" i="55" a="1"/>
  <c r="H372" i="55" s="1"/>
  <c r="H202" i="55" a="1"/>
  <c r="H202" i="55" s="1"/>
  <c r="H159" i="55" a="1"/>
  <c r="H159" i="55" s="1"/>
  <c r="L159" i="55" s="1"/>
  <c r="M159" i="55" s="1"/>
  <c r="E48" i="15" a="1"/>
  <c r="E48" i="15" s="1"/>
  <c r="I48" i="15" s="1"/>
  <c r="H139" i="55" a="1"/>
  <c r="H139" i="55" s="1"/>
  <c r="H195" i="55" a="1"/>
  <c r="H195" i="55" s="1"/>
  <c r="H181" i="55" a="1"/>
  <c r="H181" i="55" s="1"/>
  <c r="H136" i="55" a="1"/>
  <c r="H136" i="55" s="1"/>
  <c r="L136" i="55" s="1"/>
  <c r="M136" i="55" s="1"/>
  <c r="H259" i="55" a="1"/>
  <c r="H259" i="55" s="1"/>
  <c r="L259" i="55" s="1"/>
  <c r="H231" i="55" a="1"/>
  <c r="H231" i="55" s="1"/>
  <c r="L231" i="55" s="1"/>
  <c r="H190" i="55" a="1"/>
  <c r="H190" i="55" s="1"/>
  <c r="L190" i="55" s="1"/>
  <c r="M190" i="55" s="1"/>
  <c r="H290" i="55" a="1"/>
  <c r="H290" i="55" s="1"/>
  <c r="H354" i="55" a="1"/>
  <c r="H354" i="55" s="1"/>
  <c r="H162" i="55" a="1"/>
  <c r="H162" i="55" s="1"/>
  <c r="H308" i="55" a="1"/>
  <c r="H308" i="55" s="1"/>
  <c r="H284" i="55" a="1"/>
  <c r="H284" i="55" s="1"/>
  <c r="H357" i="55" a="1"/>
  <c r="H357" i="55" s="1"/>
  <c r="H373" i="55" a="1"/>
  <c r="H373" i="55" s="1"/>
  <c r="L373" i="55" s="1"/>
  <c r="H158" i="55" a="1"/>
  <c r="H158" i="55" s="1"/>
  <c r="L158" i="55" s="1"/>
  <c r="M158" i="55" s="1"/>
  <c r="H285" i="55" a="1"/>
  <c r="H285" i="55" s="1"/>
  <c r="H340" i="55" a="1"/>
  <c r="H340" i="55" s="1"/>
  <c r="H281" i="55" a="1"/>
  <c r="H281" i="55" s="1"/>
  <c r="H252" i="55" a="1"/>
  <c r="H252" i="55" s="1"/>
  <c r="H331" i="55" a="1"/>
  <c r="H331" i="55" s="1"/>
  <c r="H306" i="55" a="1"/>
  <c r="H306" i="55" s="1"/>
  <c r="H206" i="55" a="1"/>
  <c r="H206" i="55" s="1"/>
  <c r="H212" i="55" a="1"/>
  <c r="H212" i="55" s="1"/>
  <c r="H244" i="55" a="1"/>
  <c r="H244" i="55" s="1"/>
  <c r="H229" i="55" a="1"/>
  <c r="H229" i="55" s="1"/>
  <c r="H237" i="55" a="1"/>
  <c r="H237" i="55" s="1"/>
  <c r="H260" i="55" a="1"/>
  <c r="H260" i="55" s="1"/>
  <c r="L260" i="55" s="1"/>
  <c r="H256" i="55" a="1"/>
  <c r="H256" i="55" s="1"/>
  <c r="H241" i="55" a="1"/>
  <c r="H241" i="55" s="1"/>
  <c r="H321" i="55" a="1"/>
  <c r="H321" i="55" s="1"/>
  <c r="L321" i="55" s="1"/>
  <c r="H214" i="55" a="1"/>
  <c r="H214" i="55" s="1"/>
  <c r="H167" i="55" a="1"/>
  <c r="H167" i="55" s="1"/>
  <c r="H305" i="55" a="1"/>
  <c r="H305" i="55" s="1"/>
  <c r="H224" i="55" a="1"/>
  <c r="H224" i="55" s="1"/>
  <c r="H177" i="55" a="1"/>
  <c r="H177" i="55" s="1"/>
  <c r="L177" i="55" s="1"/>
  <c r="M177" i="55" s="1"/>
  <c r="H342" i="55" a="1"/>
  <c r="H342" i="55" s="1"/>
  <c r="H146" i="55" a="1"/>
  <c r="H146" i="55" s="1"/>
  <c r="H173" i="55" a="1"/>
  <c r="H173" i="55" s="1"/>
  <c r="H200" i="55" a="1"/>
  <c r="H200" i="55" s="1"/>
  <c r="H287" i="55" a="1"/>
  <c r="H287" i="55" s="1"/>
  <c r="E31" i="15" a="1"/>
  <c r="E31" i="15" s="1"/>
  <c r="E13" i="12" a="1"/>
  <c r="E13" i="12" s="1"/>
  <c r="E8" i="12" a="1"/>
  <c r="E8" i="12" s="1"/>
  <c r="E28" i="15" a="1"/>
  <c r="E28" i="15" s="1"/>
  <c r="E18" i="12" s="1"/>
  <c r="F12" i="12" a="1"/>
  <c r="F12" i="12" s="1"/>
  <c r="H204" i="55" a="1"/>
  <c r="H204" i="55" s="1"/>
  <c r="L204" i="55" s="1"/>
  <c r="M204" i="55" s="1"/>
  <c r="E45" i="15" a="1"/>
  <c r="E45" i="15" s="1"/>
  <c r="F10" i="12" a="1"/>
  <c r="F10" i="12" s="1"/>
  <c r="F22" i="15" a="1"/>
  <c r="F22" i="15" s="1"/>
  <c r="E38" i="70" a="1"/>
  <c r="E38" i="70" s="1"/>
  <c r="H243" i="55" a="1"/>
  <c r="H243" i="55" s="1"/>
  <c r="H334" i="55" a="1"/>
  <c r="H334" i="55" s="1"/>
  <c r="L334" i="55" s="1"/>
  <c r="H268" i="55" a="1"/>
  <c r="H268" i="55" s="1"/>
  <c r="H330" i="55" a="1"/>
  <c r="H330" i="55" s="1"/>
  <c r="H236" i="55" a="1"/>
  <c r="H236" i="55" s="1"/>
  <c r="H307" i="55" a="1"/>
  <c r="H307" i="55" s="1"/>
  <c r="H246" i="55" a="1"/>
  <c r="H246" i="55" s="1"/>
  <c r="L246" i="55" s="1"/>
  <c r="H343" i="55" a="1"/>
  <c r="H343" i="55" s="1"/>
  <c r="F36" i="15" a="1"/>
  <c r="F36" i="15" s="1"/>
  <c r="E11" i="12" a="1"/>
  <c r="E11" i="12" s="1"/>
  <c r="F38" i="70" a="1"/>
  <c r="F38" i="70" s="1"/>
  <c r="H253" i="55" a="1"/>
  <c r="H253" i="55" s="1"/>
  <c r="H273" i="55" a="1"/>
  <c r="H273" i="55" s="1"/>
  <c r="L273" i="55" s="1"/>
  <c r="H248" i="55" a="1"/>
  <c r="H248" i="55" s="1"/>
  <c r="H227" i="55" a="1"/>
  <c r="H227" i="55" s="1"/>
  <c r="H233" i="55" a="1"/>
  <c r="H233" i="55" s="1"/>
  <c r="E15" i="70" a="1"/>
  <c r="E15" i="70" s="1"/>
  <c r="E21" i="70" a="1"/>
  <c r="E21" i="70" s="1"/>
  <c r="H210" i="55" a="1"/>
  <c r="H210" i="55" s="1"/>
  <c r="H292" i="55" a="1"/>
  <c r="H292" i="55" s="1"/>
  <c r="L292" i="55" s="1"/>
  <c r="H172" i="55" a="1"/>
  <c r="H172" i="55" s="1"/>
  <c r="H13" i="55" a="1"/>
  <c r="H13" i="55" s="1"/>
  <c r="L13" i="55" s="1"/>
  <c r="H14" i="55" a="1"/>
  <c r="H14" i="55" s="1"/>
  <c r="H352" i="55" a="1"/>
  <c r="H352" i="55" s="1"/>
  <c r="L352" i="55" s="1"/>
  <c r="E46" i="15" a="1"/>
  <c r="E46" i="15" s="1"/>
  <c r="E52" i="15" a="1"/>
  <c r="E52" i="15" s="1"/>
  <c r="H376" i="55" a="1"/>
  <c r="H376" i="55" s="1"/>
  <c r="L376" i="55" s="1"/>
  <c r="H316" i="55" a="1"/>
  <c r="H316" i="55" s="1"/>
  <c r="L316" i="55" s="1"/>
  <c r="H311" i="55" a="1"/>
  <c r="H311" i="55" s="1"/>
  <c r="H155" i="55" a="1"/>
  <c r="H155" i="55" s="1"/>
  <c r="F28" i="15" a="1"/>
  <c r="F28" i="15" s="1"/>
  <c r="F18" i="12" s="1"/>
  <c r="E12" i="12" a="1"/>
  <c r="E12" i="12" s="1"/>
  <c r="F13" i="12" a="1"/>
  <c r="F13" i="12" s="1"/>
  <c r="H313" i="55" a="1"/>
  <c r="H313" i="55" s="1"/>
  <c r="L313" i="55" s="1"/>
  <c r="H160" i="55" a="1"/>
  <c r="H160" i="55" s="1"/>
  <c r="H169" i="55" a="1"/>
  <c r="H169" i="55" s="1"/>
  <c r="L169" i="55" s="1"/>
  <c r="M169" i="55" s="1"/>
  <c r="E22" i="15" a="1"/>
  <c r="E22" i="15" s="1"/>
  <c r="F27" i="70" a="1"/>
  <c r="F27" i="70" s="1"/>
  <c r="H362" i="55" a="1"/>
  <c r="H362" i="55" s="1"/>
  <c r="H378" i="55" a="1"/>
  <c r="H378" i="55" s="1"/>
  <c r="H282" i="55" a="1"/>
  <c r="H282" i="55" s="1"/>
  <c r="H339" i="55" a="1"/>
  <c r="H339" i="55" s="1"/>
  <c r="L339" i="55" s="1"/>
  <c r="F19" i="15" a="1"/>
  <c r="F19" i="15" s="1"/>
  <c r="H288" i="55" a="1"/>
  <c r="H288" i="55" s="1"/>
  <c r="H350" i="55" a="1"/>
  <c r="H350" i="55" s="1"/>
  <c r="L350" i="55" s="1"/>
  <c r="H328" i="55" a="1"/>
  <c r="H328" i="55" s="1"/>
  <c r="H245" i="55" a="1"/>
  <c r="H245" i="55" s="1"/>
  <c r="H300" i="55" a="1"/>
  <c r="H300" i="55" s="1"/>
  <c r="H295" i="55" a="1"/>
  <c r="H295" i="55" s="1"/>
  <c r="L295" i="55" s="1"/>
  <c r="H363" i="55" a="1"/>
  <c r="H363" i="55" s="1"/>
  <c r="L363" i="55" s="1"/>
  <c r="H187" i="55" a="1"/>
  <c r="H187" i="55" s="1"/>
  <c r="E14" i="12" a="1"/>
  <c r="E14" i="12" s="1"/>
  <c r="E34" i="15" a="1"/>
  <c r="E34" i="15" s="1"/>
  <c r="F31" i="70" a="1"/>
  <c r="F31" i="70" s="1"/>
  <c r="H266" i="55" a="1"/>
  <c r="H266" i="55" s="1"/>
  <c r="H289" i="55" a="1"/>
  <c r="H289" i="55" s="1"/>
  <c r="L289" i="55" s="1"/>
  <c r="H361" i="55" a="1"/>
  <c r="H361" i="55" s="1"/>
  <c r="E12" i="15" a="1"/>
  <c r="E12" i="15" s="1"/>
  <c r="F14" i="15" a="1"/>
  <c r="F14" i="15" s="1"/>
  <c r="E14" i="70" a="1"/>
  <c r="E14" i="70" s="1"/>
  <c r="E18" i="70" a="1"/>
  <c r="E18" i="70" s="1"/>
  <c r="F29" i="15" a="1"/>
  <c r="F29" i="15" s="1"/>
  <c r="F25" i="70" a="1"/>
  <c r="F25" i="70" s="1"/>
  <c r="H312" i="55" a="1"/>
  <c r="H312" i="55" s="1"/>
  <c r="F14" i="12" a="1"/>
  <c r="F14" i="12" s="1"/>
  <c r="H164" i="55" a="1"/>
  <c r="H164" i="55" s="1"/>
  <c r="L164" i="55" s="1"/>
  <c r="M164" i="55" s="1"/>
  <c r="H209" i="55" a="1"/>
  <c r="H209" i="55" s="1"/>
  <c r="L209" i="55" s="1"/>
  <c r="M209" i="55" s="1"/>
  <c r="H360" i="55" a="1"/>
  <c r="H360" i="55" s="1"/>
  <c r="H198" i="55" a="1"/>
  <c r="H198" i="55" s="1"/>
  <c r="E20" i="15" a="1"/>
  <c r="E20" i="15" s="1"/>
  <c r="H226" i="55" a="1"/>
  <c r="H226" i="55" s="1"/>
  <c r="L226" i="55" s="1"/>
  <c r="F12" i="70" a="1"/>
  <c r="F12" i="70" s="1"/>
  <c r="H377" i="55" a="1"/>
  <c r="H377" i="55" s="1"/>
  <c r="L377" i="55" s="1"/>
  <c r="H365" i="55" a="1"/>
  <c r="H365" i="55" s="1"/>
  <c r="L365" i="55" s="1"/>
  <c r="E26" i="15" a="1"/>
  <c r="E26" i="15" s="1"/>
  <c r="E27" i="15" s="1"/>
  <c r="J18" i="55" a="1"/>
  <c r="J18" i="55" s="1"/>
  <c r="H324" i="55" a="1"/>
  <c r="H324" i="55" s="1"/>
  <c r="L324" i="55" s="1"/>
  <c r="H319" i="55" a="1"/>
  <c r="H319" i="55" s="1"/>
  <c r="F30" i="15" a="1"/>
  <c r="F30" i="15" s="1"/>
  <c r="F41" i="15" a="1"/>
  <c r="F41" i="15" s="1"/>
  <c r="E43" i="15" a="1"/>
  <c r="E43" i="15" s="1"/>
  <c r="F38" i="15" a="1"/>
  <c r="F38" i="15" s="1"/>
  <c r="F6" i="12" a="1"/>
  <c r="F6" i="12" s="1"/>
  <c r="F15" i="70" a="1"/>
  <c r="F15" i="70" s="1"/>
  <c r="E25" i="70" a="1"/>
  <c r="E25" i="70" s="1"/>
  <c r="F10" i="15" a="1"/>
  <c r="F10" i="15" s="1"/>
  <c r="E30" i="15" a="1"/>
  <c r="E30" i="15" s="1"/>
  <c r="H180" i="55" a="1"/>
  <c r="H180" i="55" s="1"/>
  <c r="L180" i="55" s="1"/>
  <c r="M180" i="55" s="1"/>
  <c r="H370" i="55" a="1"/>
  <c r="H370" i="55" s="1"/>
  <c r="H161" i="55" a="1"/>
  <c r="H161" i="55" s="1"/>
  <c r="L161" i="55" s="1"/>
  <c r="M161" i="55" s="1"/>
  <c r="H301" i="55" a="1"/>
  <c r="H301" i="55" s="1"/>
  <c r="L301" i="55" s="1"/>
  <c r="H358" i="55" a="1"/>
  <c r="H358" i="55" s="1"/>
  <c r="E27" i="70" a="1"/>
  <c r="E27" i="70" s="1"/>
  <c r="H183" i="55" a="1"/>
  <c r="H183" i="55" s="1"/>
  <c r="H188" i="55" a="1"/>
  <c r="H188" i="55" s="1"/>
  <c r="F18" i="70" a="1"/>
  <c r="F18" i="70" s="1"/>
  <c r="E10" i="12" a="1"/>
  <c r="E10" i="12" s="1"/>
  <c r="H346" i="55" a="1"/>
  <c r="H346" i="55" s="1"/>
  <c r="E15" i="12" a="1"/>
  <c r="E15" i="12" s="1"/>
  <c r="E31" i="70" a="1"/>
  <c r="E31" i="70" s="1"/>
  <c r="E14" i="15" a="1"/>
  <c r="E14" i="15" s="1"/>
  <c r="F14" i="70" a="1"/>
  <c r="F14" i="70" s="1"/>
  <c r="E24" i="15" a="1"/>
  <c r="E24" i="15" s="1"/>
  <c r="E17" i="70" a="1"/>
  <c r="E17" i="70" s="1"/>
  <c r="H368" i="55" a="1"/>
  <c r="H368" i="55" s="1"/>
  <c r="L368" i="55" s="1"/>
  <c r="H291" i="55" a="1"/>
  <c r="H291" i="55" s="1"/>
  <c r="H374" i="55" a="1"/>
  <c r="H374" i="55" s="1"/>
  <c r="L374" i="55" s="1"/>
  <c r="H333" i="55" a="1"/>
  <c r="H333" i="55" s="1"/>
  <c r="H242" i="55" a="1"/>
  <c r="H242" i="55" s="1"/>
  <c r="H298" i="55" a="1"/>
  <c r="H298" i="55" s="1"/>
  <c r="H293" i="55" a="1"/>
  <c r="H293" i="55" s="1"/>
  <c r="L293" i="55" s="1"/>
  <c r="H345" i="55" a="1"/>
  <c r="H345" i="55" s="1"/>
  <c r="L345" i="55" s="1"/>
  <c r="H286" i="55" a="1"/>
  <c r="H286" i="55" s="1"/>
  <c r="H341" i="55" a="1"/>
  <c r="H341" i="55" s="1"/>
  <c r="L341" i="55" s="1"/>
  <c r="H261" i="55" a="1"/>
  <c r="H261" i="55" s="1"/>
  <c r="H326" i="55" a="1"/>
  <c r="H326" i="55" s="1"/>
  <c r="H283" i="55" a="1"/>
  <c r="H283" i="55" s="1"/>
  <c r="H262" i="55" a="1"/>
  <c r="H262" i="55" s="1"/>
  <c r="L262" i="55" s="1"/>
  <c r="H369" i="55" a="1"/>
  <c r="H369" i="55" s="1"/>
  <c r="H271" i="55" a="1"/>
  <c r="H271" i="55" s="1"/>
  <c r="H255" i="55" a="1"/>
  <c r="H255" i="55" s="1"/>
  <c r="F40" i="15" a="1"/>
  <c r="F40" i="15" s="1"/>
  <c r="E23" i="15" a="1"/>
  <c r="E23" i="15" s="1"/>
  <c r="F20" i="15" a="1"/>
  <c r="F20" i="15" s="1"/>
  <c r="F19" i="70" a="1"/>
  <c r="F19" i="70" s="1"/>
  <c r="E10" i="15" a="1"/>
  <c r="E10" i="15" s="1"/>
  <c r="H299" i="55" a="1"/>
  <c r="H299" i="55" s="1"/>
  <c r="L299" i="55" s="1"/>
  <c r="F21" i="70" a="1"/>
  <c r="F21" i="70" s="1"/>
  <c r="H367" i="55" a="1"/>
  <c r="H367" i="55" s="1"/>
  <c r="F35" i="70" a="1"/>
  <c r="F35" i="70" s="1"/>
  <c r="E29" i="15" a="1"/>
  <c r="E29" i="15" s="1"/>
  <c r="F15" i="15" a="1"/>
  <c r="F15" i="15" s="1"/>
  <c r="E17" i="15" a="1"/>
  <c r="E17" i="15" s="1"/>
  <c r="E36" i="15" a="1"/>
  <c r="E36" i="15" s="1"/>
  <c r="H201" i="55" a="1"/>
  <c r="H201" i="55" s="1"/>
  <c r="L201" i="55" s="1"/>
  <c r="M201" i="55" s="1"/>
  <c r="F11" i="12" a="1"/>
  <c r="F11" i="12" s="1"/>
  <c r="F12" i="15" a="1"/>
  <c r="F12" i="15" s="1"/>
  <c r="F8" i="12" a="1"/>
  <c r="F8" i="12" s="1"/>
  <c r="H263" i="55" a="1"/>
  <c r="H263" i="55" s="1"/>
  <c r="L263" i="55" s="1"/>
  <c r="H279" i="55" a="1"/>
  <c r="H279" i="55" s="1"/>
  <c r="E11" i="70" a="1"/>
  <c r="E11" i="70" s="1"/>
  <c r="H355" i="55" a="1"/>
  <c r="H355" i="55" s="1"/>
  <c r="L355" i="55" s="1"/>
  <c r="E19" i="15" a="1"/>
  <c r="E19" i="15" s="1"/>
  <c r="E38" i="15" a="1"/>
  <c r="E38" i="15" s="1"/>
  <c r="E12" i="70" a="1"/>
  <c r="E12" i="70" s="1"/>
  <c r="F17" i="15" a="1"/>
  <c r="F17" i="15" s="1"/>
  <c r="H275" i="55" a="1"/>
  <c r="H275" i="55" s="1"/>
  <c r="L275" i="55" s="1"/>
  <c r="H12" i="55" a="1"/>
  <c r="H12" i="55" s="1"/>
  <c r="F24" i="15" a="1"/>
  <c r="F24" i="15" s="1"/>
  <c r="E13" i="70" a="1"/>
  <c r="E13" i="70" s="1"/>
  <c r="G13" i="70" s="1"/>
  <c r="H179" i="55" a="1"/>
  <c r="H179" i="55" s="1"/>
  <c r="E15" i="15" a="1"/>
  <c r="E15" i="15" s="1"/>
  <c r="F31" i="15" a="1"/>
  <c r="F31" i="15" s="1"/>
  <c r="F23" i="15" a="1"/>
  <c r="F23" i="15" s="1"/>
  <c r="H379" i="55" a="1"/>
  <c r="H379" i="55" s="1"/>
  <c r="L379" i="55" s="1"/>
  <c r="H232" i="55" a="1"/>
  <c r="H232" i="55" s="1"/>
  <c r="H18" i="55" a="1"/>
  <c r="H18" i="55" s="1"/>
  <c r="H280" i="55" a="1"/>
  <c r="H280" i="55" s="1"/>
  <c r="H353" i="55" a="1"/>
  <c r="H353" i="55" s="1"/>
  <c r="E6" i="12" a="1"/>
  <c r="E6" i="12" s="1"/>
  <c r="E41" i="15" a="1"/>
  <c r="E41" i="15" s="1"/>
  <c r="H235" i="55" a="1"/>
  <c r="H235" i="55" s="1"/>
  <c r="L235" i="55" s="1"/>
  <c r="E53" i="15" a="1"/>
  <c r="E53" i="15" s="1"/>
  <c r="I53" i="15" s="1"/>
  <c r="H154" i="55" a="1"/>
  <c r="H154" i="55" s="1"/>
  <c r="H276" i="55" a="1"/>
  <c r="H276" i="55" s="1"/>
  <c r="F34" i="15" a="1"/>
  <c r="F34" i="15" s="1"/>
  <c r="H332" i="55" a="1"/>
  <c r="H332" i="55" s="1"/>
  <c r="H137" i="55" a="1"/>
  <c r="H137" i="55" s="1"/>
  <c r="H364" i="55" a="1"/>
  <c r="H364" i="55" s="1"/>
  <c r="H234" i="55" a="1"/>
  <c r="H234" i="55" s="1"/>
  <c r="L234" i="55" s="1"/>
  <c r="F26" i="15" a="1"/>
  <c r="F26" i="15" s="1"/>
  <c r="F27" i="15" s="1"/>
  <c r="H304" i="55" a="1"/>
  <c r="H304" i="55" s="1"/>
  <c r="F7" i="70" a="1"/>
  <c r="F7" i="70" s="1"/>
  <c r="E40" i="15" a="1"/>
  <c r="E40" i="15" s="1"/>
  <c r="H250" i="55" a="1"/>
  <c r="H250" i="55" s="1"/>
  <c r="L250" i="55" s="1"/>
  <c r="H338" i="55" a="1"/>
  <c r="H338" i="55" s="1"/>
  <c r="H265" i="55" a="1"/>
  <c r="H265" i="55" s="1"/>
  <c r="E7" i="70" a="1"/>
  <c r="E7" i="70" s="1"/>
  <c r="H335" i="55" a="1"/>
  <c r="H335" i="55" s="1"/>
  <c r="F15" i="12" a="1"/>
  <c r="F15" i="12" s="1"/>
  <c r="H149" i="55" a="1"/>
  <c r="H149" i="55" s="1"/>
  <c r="H145" i="55" a="1"/>
  <c r="H145" i="55" s="1"/>
  <c r="L145" i="55" s="1"/>
  <c r="M145" i="55" s="1"/>
  <c r="L207" i="55" l="1"/>
  <c r="M207" i="55" s="1"/>
  <c r="L200" i="55"/>
  <c r="M200" i="55" s="1"/>
  <c r="L303" i="55"/>
  <c r="L135" i="55"/>
  <c r="M135" i="55" s="1"/>
  <c r="L195" i="55"/>
  <c r="M195" i="55" s="1"/>
  <c r="L157" i="55"/>
  <c r="M157" i="55" s="1"/>
  <c r="L353" i="55"/>
  <c r="L261" i="55"/>
  <c r="L188" i="55"/>
  <c r="M188" i="55" s="1"/>
  <c r="L362" i="55"/>
  <c r="L210" i="55"/>
  <c r="M210" i="55" s="1"/>
  <c r="L139" i="55"/>
  <c r="M139" i="55" s="1"/>
  <c r="L149" i="55"/>
  <c r="M149" i="55" s="1"/>
  <c r="L361" i="55"/>
  <c r="L282" i="55"/>
  <c r="L238" i="55"/>
  <c r="L154" i="55"/>
  <c r="M154" i="55" s="1"/>
  <c r="G17" i="70"/>
  <c r="L358" i="55"/>
  <c r="L288" i="55"/>
  <c r="L173" i="55"/>
  <c r="M173" i="55" s="1"/>
  <c r="L224" i="55"/>
  <c r="L147" i="55"/>
  <c r="M147" i="55" s="1"/>
  <c r="L248" i="55"/>
  <c r="L182" i="55"/>
  <c r="M182" i="55" s="1"/>
  <c r="L219" i="55"/>
  <c r="L255" i="55"/>
  <c r="L370" i="55"/>
  <c r="L214" i="55"/>
  <c r="M214" i="55" s="1"/>
  <c r="L359" i="55"/>
  <c r="L205" i="55"/>
  <c r="M205" i="55" s="1"/>
  <c r="L191" i="55"/>
  <c r="M191" i="55" s="1"/>
  <c r="H13" i="12"/>
  <c r="J81" i="55" a="1"/>
  <c r="J81" i="55" s="1"/>
  <c r="J50" i="55" a="1"/>
  <c r="J50" i="55" s="1"/>
  <c r="J123" i="55" a="1"/>
  <c r="J123" i="55" s="1"/>
  <c r="J90" i="55" a="1"/>
  <c r="J90" i="55" s="1"/>
  <c r="J99" i="55" a="1"/>
  <c r="J99" i="55" s="1"/>
  <c r="H60" i="55" a="1"/>
  <c r="H60" i="55" s="1"/>
  <c r="H131" i="55" a="1"/>
  <c r="H131" i="55" s="1"/>
  <c r="J83" i="55" a="1"/>
  <c r="J83" i="55" s="1"/>
  <c r="J67" i="55" a="1"/>
  <c r="J67" i="55" s="1"/>
  <c r="J38" i="55" a="1"/>
  <c r="J38" i="55" s="1"/>
  <c r="H97" i="55" a="1"/>
  <c r="H97" i="55" s="1"/>
  <c r="J51" i="55" a="1"/>
  <c r="J51" i="55" s="1"/>
  <c r="J124" i="55" a="1"/>
  <c r="J124" i="55" s="1"/>
  <c r="H96" i="55" a="1"/>
  <c r="H96" i="55" s="1"/>
  <c r="J25" i="55" a="1"/>
  <c r="J25" i="55" s="1"/>
  <c r="H49" i="55" a="1"/>
  <c r="H49" i="55" s="1"/>
  <c r="J102" i="55" a="1"/>
  <c r="J102" i="55" s="1"/>
  <c r="J79" i="55" a="1"/>
  <c r="J79" i="55" s="1"/>
  <c r="H121" i="55" a="1"/>
  <c r="H121" i="55" s="1"/>
  <c r="H22" i="55" a="1"/>
  <c r="H22" i="55" s="1"/>
  <c r="J63" i="55" a="1"/>
  <c r="J63" i="55" s="1"/>
  <c r="H32" i="55" a="1"/>
  <c r="H32" i="55" s="1"/>
  <c r="H103" i="55" a="1"/>
  <c r="H103" i="55" s="1"/>
  <c r="J89" i="55" a="1"/>
  <c r="J89" i="55" s="1"/>
  <c r="J74" i="55" a="1"/>
  <c r="J74" i="55" s="1"/>
  <c r="J39" i="55" a="1"/>
  <c r="J39" i="55" s="1"/>
  <c r="H111" i="55" a="1"/>
  <c r="H111" i="55" s="1"/>
  <c r="H81" i="55" a="1"/>
  <c r="H81" i="55" s="1"/>
  <c r="J52" i="55" a="1"/>
  <c r="J52" i="55" s="1"/>
  <c r="J125" i="55" a="1"/>
  <c r="J125" i="55" s="1"/>
  <c r="J41" i="55" a="1"/>
  <c r="J41" i="55" s="1"/>
  <c r="H20" i="55" a="1"/>
  <c r="H20" i="55" s="1"/>
  <c r="J114" i="55" a="1"/>
  <c r="J114" i="55" s="1"/>
  <c r="J20" i="55" a="1"/>
  <c r="J20" i="55" s="1"/>
  <c r="H54" i="55" a="1"/>
  <c r="H54" i="55" s="1"/>
  <c r="J126" i="55" a="1"/>
  <c r="J126" i="55" s="1"/>
  <c r="J93" i="55" a="1"/>
  <c r="J93" i="55" s="1"/>
  <c r="J103" i="55" a="1"/>
  <c r="J103" i="55" s="1"/>
  <c r="H64" i="55" a="1"/>
  <c r="H64" i="55" s="1"/>
  <c r="H28" i="55" a="1"/>
  <c r="H28" i="55" s="1"/>
  <c r="H94" i="55" a="1"/>
  <c r="H94" i="55" s="1"/>
  <c r="H72" i="55" a="1"/>
  <c r="H72" i="55" s="1"/>
  <c r="J42" i="55" a="1"/>
  <c r="J42" i="55" s="1"/>
  <c r="J115" i="55" a="1"/>
  <c r="J115" i="55" s="1"/>
  <c r="J26" i="55" a="1"/>
  <c r="J26" i="55" s="1"/>
  <c r="J59" i="55" a="1"/>
  <c r="J59" i="55" s="1"/>
  <c r="H29" i="55" a="1"/>
  <c r="H29" i="55" s="1"/>
  <c r="H99" i="55" a="1"/>
  <c r="H99" i="55" s="1"/>
  <c r="L99" i="55" s="1"/>
  <c r="M99" i="55" s="1"/>
  <c r="H113" i="55" a="1"/>
  <c r="H113" i="55" s="1"/>
  <c r="H70" i="55" a="1"/>
  <c r="H70" i="55" s="1"/>
  <c r="H35" i="55" a="1"/>
  <c r="H35" i="55" s="1"/>
  <c r="H106" i="55" a="1"/>
  <c r="H106" i="55" s="1"/>
  <c r="J77" i="55" a="1"/>
  <c r="J77" i="55" s="1"/>
  <c r="J48" i="55" a="1"/>
  <c r="J48" i="55" s="1"/>
  <c r="J120" i="55" a="1"/>
  <c r="J120" i="55" s="1"/>
  <c r="J60" i="55" a="1"/>
  <c r="J60" i="55" s="1"/>
  <c r="J28" i="55" a="1"/>
  <c r="J28" i="55" s="1"/>
  <c r="J106" i="55" a="1"/>
  <c r="J106" i="55" s="1"/>
  <c r="H73" i="55" a="1"/>
  <c r="H73" i="55" s="1"/>
  <c r="H42" i="55" a="1"/>
  <c r="H42" i="55" s="1"/>
  <c r="H115" i="55" a="1"/>
  <c r="H115" i="55" s="1"/>
  <c r="H82" i="55" a="1"/>
  <c r="H82" i="55" s="1"/>
  <c r="J87" i="55" a="1"/>
  <c r="J87" i="55" s="1"/>
  <c r="J49" i="55" a="1"/>
  <c r="J49" i="55" s="1"/>
  <c r="H122" i="55" a="1"/>
  <c r="H122" i="55" s="1"/>
  <c r="J88" i="55" a="1"/>
  <c r="J88" i="55" s="1"/>
  <c r="J61" i="55" a="1"/>
  <c r="J61" i="55" s="1"/>
  <c r="H30" i="55" a="1"/>
  <c r="H30" i="55" s="1"/>
  <c r="J76" i="55" a="1"/>
  <c r="J76" i="55" s="1"/>
  <c r="H43" i="55" a="1"/>
  <c r="H43" i="55" s="1"/>
  <c r="J117" i="55" a="1"/>
  <c r="J117" i="55" s="1"/>
  <c r="J23" i="55" a="1"/>
  <c r="J23" i="55" s="1"/>
  <c r="H26" i="55" a="1"/>
  <c r="H26" i="55" s="1"/>
  <c r="L26" i="55" s="1"/>
  <c r="M26" i="55" s="1"/>
  <c r="H33" i="55" a="1"/>
  <c r="H33" i="55" s="1"/>
  <c r="J94" i="55" a="1"/>
  <c r="J94" i="55" s="1"/>
  <c r="H71" i="55" a="1"/>
  <c r="H71" i="55" s="1"/>
  <c r="H100" i="55" a="1"/>
  <c r="H100" i="55" s="1"/>
  <c r="H134" i="55" a="1"/>
  <c r="H134" i="55" s="1"/>
  <c r="J55" i="55" a="1"/>
  <c r="J55" i="55" s="1"/>
  <c r="H128" i="55" a="1"/>
  <c r="H128" i="55" s="1"/>
  <c r="H95" i="55" a="1"/>
  <c r="H95" i="55" s="1"/>
  <c r="J107" i="55" a="1"/>
  <c r="J107" i="55" s="1"/>
  <c r="H66" i="55" a="1"/>
  <c r="H66" i="55" s="1"/>
  <c r="H31" i="55" a="1"/>
  <c r="H31" i="55" s="1"/>
  <c r="J96" i="55" a="1"/>
  <c r="J96" i="55" s="1"/>
  <c r="J73" i="55" a="1"/>
  <c r="J73" i="55" s="1"/>
  <c r="J45" i="55" a="1"/>
  <c r="J45" i="55" s="1"/>
  <c r="H117" i="55" a="1"/>
  <c r="H117" i="55" s="1"/>
  <c r="J122" i="55" a="1"/>
  <c r="J122" i="55" s="1"/>
  <c r="J24" i="55" a="1"/>
  <c r="J24" i="55" s="1"/>
  <c r="J27" i="55" a="1"/>
  <c r="J27" i="55" s="1"/>
  <c r="H77" i="55" a="1"/>
  <c r="H77" i="55" s="1"/>
  <c r="L77" i="55" s="1"/>
  <c r="M77" i="55" s="1"/>
  <c r="J46" i="55" a="1"/>
  <c r="J46" i="55" s="1"/>
  <c r="H120" i="55" a="1"/>
  <c r="H120" i="55" s="1"/>
  <c r="H85" i="55" a="1"/>
  <c r="H85" i="55" s="1"/>
  <c r="H84" i="55" a="1"/>
  <c r="H84" i="55" s="1"/>
  <c r="H56" i="55" a="1"/>
  <c r="H56" i="55" s="1"/>
  <c r="H127" i="55" a="1"/>
  <c r="H127" i="55" s="1"/>
  <c r="J95" i="55" a="1"/>
  <c r="J95" i="55" s="1"/>
  <c r="J64" i="55" a="1"/>
  <c r="J64" i="55" s="1"/>
  <c r="H34" i="55" a="1"/>
  <c r="H34" i="55" s="1"/>
  <c r="H55" i="55" a="1"/>
  <c r="H55" i="55" s="1"/>
  <c r="J133" i="55" a="1"/>
  <c r="J133" i="55" s="1"/>
  <c r="H52" i="55" a="1"/>
  <c r="H52" i="55" s="1"/>
  <c r="L52" i="55" s="1"/>
  <c r="M52" i="55" s="1"/>
  <c r="H125" i="55" a="1"/>
  <c r="H125" i="55" s="1"/>
  <c r="H92" i="55" a="1"/>
  <c r="H92" i="55" s="1"/>
  <c r="H101" i="55" a="1"/>
  <c r="H101" i="55" s="1"/>
  <c r="J62" i="55" a="1"/>
  <c r="J62" i="55" s="1"/>
  <c r="J132" i="55" a="1"/>
  <c r="J132" i="55" s="1"/>
  <c r="H87" i="55" a="1"/>
  <c r="H87" i="55" s="1"/>
  <c r="H69" i="55" a="1"/>
  <c r="H69" i="55" s="1"/>
  <c r="H40" i="55" a="1"/>
  <c r="H40" i="55" s="1"/>
  <c r="H109" i="55" a="1"/>
  <c r="H109" i="55" s="1"/>
  <c r="J53" i="55" a="1"/>
  <c r="J53" i="55" s="1"/>
  <c r="J127" i="55" a="1"/>
  <c r="J127" i="55" s="1"/>
  <c r="J98" i="55" a="1"/>
  <c r="J98" i="55" s="1"/>
  <c r="J65" i="55" a="1"/>
  <c r="J65" i="55" s="1"/>
  <c r="J34" i="55" a="1"/>
  <c r="J34" i="55" s="1"/>
  <c r="J105" i="55" a="1"/>
  <c r="J105" i="55" s="1"/>
  <c r="H91" i="55" a="1"/>
  <c r="H91" i="55" s="1"/>
  <c r="H76" i="55" a="1"/>
  <c r="H76" i="55" s="1"/>
  <c r="L76" i="55" s="1"/>
  <c r="M76" i="55" s="1"/>
  <c r="H41" i="55" a="1"/>
  <c r="H41" i="55" s="1"/>
  <c r="J112" i="55" a="1"/>
  <c r="J112" i="55" s="1"/>
  <c r="H86" i="55" a="1"/>
  <c r="H86" i="55" s="1"/>
  <c r="H53" i="55" a="1"/>
  <c r="H53" i="55" s="1"/>
  <c r="H126" i="55" a="1"/>
  <c r="H126" i="55" s="1"/>
  <c r="L126" i="55" s="1"/>
  <c r="M126" i="55" s="1"/>
  <c r="H68" i="55" a="1"/>
  <c r="H68" i="55" s="1"/>
  <c r="J35" i="55" a="1"/>
  <c r="J35" i="55" s="1"/>
  <c r="J111" i="55" a="1"/>
  <c r="J111" i="55" s="1"/>
  <c r="J134" i="55" a="1"/>
  <c r="J134" i="55" s="1"/>
  <c r="H74" i="55" a="1"/>
  <c r="H74" i="55" s="1"/>
  <c r="L74" i="55" s="1"/>
  <c r="M74" i="55" s="1"/>
  <c r="J131" i="55" a="1"/>
  <c r="J131" i="55" s="1"/>
  <c r="H19" i="55" a="1"/>
  <c r="H19" i="55" s="1"/>
  <c r="J47" i="55" a="1"/>
  <c r="J47" i="55" s="1"/>
  <c r="J19" i="55" a="1"/>
  <c r="J19" i="55" s="1"/>
  <c r="H80" i="55" a="1"/>
  <c r="H80" i="55" s="1"/>
  <c r="H48" i="55" a="1"/>
  <c r="H48" i="55" s="1"/>
  <c r="J121" i="55" a="1"/>
  <c r="J121" i="55" s="1"/>
  <c r="H88" i="55" a="1"/>
  <c r="H88" i="55" s="1"/>
  <c r="H93" i="55" a="1"/>
  <c r="H93" i="55" s="1"/>
  <c r="L93" i="55" s="1"/>
  <c r="M93" i="55" s="1"/>
  <c r="J58" i="55" a="1"/>
  <c r="J58" i="55" s="1"/>
  <c r="J129" i="55" a="1"/>
  <c r="J129" i="55" s="1"/>
  <c r="H105" i="55" a="1"/>
  <c r="H105" i="55" s="1"/>
  <c r="L105" i="55" s="1"/>
  <c r="M105" i="55" s="1"/>
  <c r="H65" i="55" a="1"/>
  <c r="H65" i="55" s="1"/>
  <c r="H37" i="55" a="1"/>
  <c r="H37" i="55" s="1"/>
  <c r="H90" i="55" a="1"/>
  <c r="H90" i="55" s="1"/>
  <c r="L90" i="55" s="1"/>
  <c r="M90" i="55" s="1"/>
  <c r="J109" i="55" a="1"/>
  <c r="J109" i="55" s="1"/>
  <c r="H62" i="55" a="1"/>
  <c r="H62" i="55" s="1"/>
  <c r="L62" i="55" s="1"/>
  <c r="M62" i="55" s="1"/>
  <c r="H133" i="55" a="1"/>
  <c r="H133" i="55" s="1"/>
  <c r="J69" i="55" a="1"/>
  <c r="J69" i="55" s="1"/>
  <c r="H38" i="55" a="1"/>
  <c r="H38" i="55" s="1"/>
  <c r="H110" i="55" a="1"/>
  <c r="H110" i="55" s="1"/>
  <c r="J100" i="55" a="1"/>
  <c r="J100" i="55" s="1"/>
  <c r="H79" i="55" a="1"/>
  <c r="H79" i="55" s="1"/>
  <c r="L79" i="55" s="1"/>
  <c r="M79" i="55" s="1"/>
  <c r="H44" i="55" a="1"/>
  <c r="H44" i="55" s="1"/>
  <c r="J116" i="55" a="1"/>
  <c r="J116" i="55" s="1"/>
  <c r="J82" i="55" a="1"/>
  <c r="J82" i="55" s="1"/>
  <c r="J57" i="55" a="1"/>
  <c r="J57" i="55" s="1"/>
  <c r="H130" i="55" a="1"/>
  <c r="H130" i="55" s="1"/>
  <c r="H129" i="55" a="1"/>
  <c r="H129" i="55" s="1"/>
  <c r="J75" i="55" a="1"/>
  <c r="J75" i="55" s="1"/>
  <c r="H45" i="55" a="1"/>
  <c r="H45" i="55" s="1"/>
  <c r="H118" i="55" a="1"/>
  <c r="H118" i="55" s="1"/>
  <c r="J84" i="55" a="1"/>
  <c r="J84" i="55" s="1"/>
  <c r="H89" i="55" a="1"/>
  <c r="H89" i="55" s="1"/>
  <c r="L89" i="55" s="1"/>
  <c r="M89" i="55" s="1"/>
  <c r="H51" i="55" a="1"/>
  <c r="H51" i="55" s="1"/>
  <c r="L51" i="55" s="1"/>
  <c r="M51" i="55" s="1"/>
  <c r="H124" i="55" a="1"/>
  <c r="H124" i="55" s="1"/>
  <c r="L124" i="55" s="1"/>
  <c r="M124" i="55" s="1"/>
  <c r="J92" i="55" a="1"/>
  <c r="J92" i="55" s="1"/>
  <c r="H63" i="55" a="1"/>
  <c r="H63" i="55" s="1"/>
  <c r="L63" i="55" s="1"/>
  <c r="M63" i="55" s="1"/>
  <c r="J32" i="55" a="1"/>
  <c r="J32" i="55" s="1"/>
  <c r="H78" i="55" a="1"/>
  <c r="H78" i="55" s="1"/>
  <c r="J44" i="55" a="1"/>
  <c r="J44" i="55" s="1"/>
  <c r="J119" i="55" a="1"/>
  <c r="J119" i="55" s="1"/>
  <c r="H25" i="55" a="1"/>
  <c r="H25" i="55" s="1"/>
  <c r="H57" i="55" a="1"/>
  <c r="H57" i="55" s="1"/>
  <c r="J130" i="55" a="1"/>
  <c r="J130" i="55" s="1"/>
  <c r="J97" i="55" a="1"/>
  <c r="J97" i="55" s="1"/>
  <c r="J110" i="55" a="1"/>
  <c r="J110" i="55" s="1"/>
  <c r="J68" i="55" a="1"/>
  <c r="J68" i="55" s="1"/>
  <c r="J33" i="55" a="1"/>
  <c r="J33" i="55" s="1"/>
  <c r="J104" i="55" a="1"/>
  <c r="J104" i="55" s="1"/>
  <c r="H75" i="55" a="1"/>
  <c r="H75" i="55" s="1"/>
  <c r="L75" i="55" s="1"/>
  <c r="M75" i="55" s="1"/>
  <c r="H46" i="55" a="1"/>
  <c r="H46" i="55" s="1"/>
  <c r="L46" i="55" s="1"/>
  <c r="M46" i="55" s="1"/>
  <c r="J118" i="55" a="1"/>
  <c r="J118" i="55" s="1"/>
  <c r="H58" i="55" a="1"/>
  <c r="H58" i="55" s="1"/>
  <c r="L58" i="55" s="1"/>
  <c r="M58" i="55" s="1"/>
  <c r="H132" i="55" a="1"/>
  <c r="H132" i="55" s="1"/>
  <c r="L132" i="55" s="1"/>
  <c r="M132" i="55" s="1"/>
  <c r="H104" i="55" a="1"/>
  <c r="H104" i="55" s="1"/>
  <c r="J22" i="55" a="1"/>
  <c r="J22" i="55" s="1"/>
  <c r="J66" i="55" a="1"/>
  <c r="J66" i="55" s="1"/>
  <c r="H116" i="55" a="1"/>
  <c r="H116" i="55" s="1"/>
  <c r="L116" i="55" s="1"/>
  <c r="M116" i="55" s="1"/>
  <c r="H23" i="55" a="1"/>
  <c r="H23" i="55" s="1"/>
  <c r="L23" i="55" s="1"/>
  <c r="M23" i="55" s="1"/>
  <c r="H39" i="55" a="1"/>
  <c r="H39" i="55" s="1"/>
  <c r="L39" i="55" s="1"/>
  <c r="M39" i="55" s="1"/>
  <c r="J21" i="55" a="1"/>
  <c r="J21" i="55" s="1"/>
  <c r="J72" i="55" a="1"/>
  <c r="J72" i="55" s="1"/>
  <c r="J40" i="55" a="1"/>
  <c r="J40" i="55" s="1"/>
  <c r="J113" i="55" a="1"/>
  <c r="J113" i="55" s="1"/>
  <c r="H102" i="55" a="1"/>
  <c r="H102" i="55" s="1"/>
  <c r="L102" i="55" s="1"/>
  <c r="M102" i="55" s="1"/>
  <c r="H83" i="55" a="1"/>
  <c r="H83" i="55" s="1"/>
  <c r="L83" i="55" s="1"/>
  <c r="M83" i="55" s="1"/>
  <c r="H47" i="55" a="1"/>
  <c r="H47" i="55" s="1"/>
  <c r="H119" i="55" a="1"/>
  <c r="H119" i="55" s="1"/>
  <c r="J85" i="55" a="1"/>
  <c r="J85" i="55" s="1"/>
  <c r="H59" i="55" a="1"/>
  <c r="H59" i="55" s="1"/>
  <c r="L59" i="55" s="1"/>
  <c r="M59" i="55" s="1"/>
  <c r="J29" i="55" a="1"/>
  <c r="J29" i="55" s="1"/>
  <c r="J56" i="55" a="1"/>
  <c r="J56" i="55" s="1"/>
  <c r="H21" i="55" a="1"/>
  <c r="H21" i="55" s="1"/>
  <c r="L21" i="55" s="1"/>
  <c r="M21" i="55" s="1"/>
  <c r="J31" i="55" a="1"/>
  <c r="J31" i="55" s="1"/>
  <c r="H24" i="55" a="1"/>
  <c r="H24" i="55" s="1"/>
  <c r="H61" i="55" a="1"/>
  <c r="H61" i="55" s="1"/>
  <c r="J30" i="55" a="1"/>
  <c r="J30" i="55" s="1"/>
  <c r="J101" i="55" a="1"/>
  <c r="J101" i="55" s="1"/>
  <c r="J86" i="55" a="1"/>
  <c r="J86" i="55" s="1"/>
  <c r="J71" i="55" a="1"/>
  <c r="J71" i="55" s="1"/>
  <c r="J36" i="55" a="1"/>
  <c r="J36" i="55" s="1"/>
  <c r="J108" i="55" a="1"/>
  <c r="J108" i="55" s="1"/>
  <c r="J80" i="55" a="1"/>
  <c r="J80" i="55" s="1"/>
  <c r="H50" i="55" a="1"/>
  <c r="H50" i="55" s="1"/>
  <c r="L50" i="55" s="1"/>
  <c r="M50" i="55" s="1"/>
  <c r="H123" i="55" a="1"/>
  <c r="H123" i="55" s="1"/>
  <c r="H108" i="55" a="1"/>
  <c r="H108" i="55" s="1"/>
  <c r="L108" i="55" s="1"/>
  <c r="M108" i="55" s="1"/>
  <c r="H67" i="55" a="1"/>
  <c r="H67" i="55" s="1"/>
  <c r="L67" i="55" s="1"/>
  <c r="M67" i="55" s="1"/>
  <c r="J37" i="55" a="1"/>
  <c r="J37" i="55" s="1"/>
  <c r="H107" i="55" a="1"/>
  <c r="H107" i="55" s="1"/>
  <c r="H98" i="55" a="1"/>
  <c r="H98" i="55" s="1"/>
  <c r="L98" i="55" s="1"/>
  <c r="M98" i="55" s="1"/>
  <c r="J78" i="55" a="1"/>
  <c r="J78" i="55" s="1"/>
  <c r="J43" i="55" a="1"/>
  <c r="J43" i="55" s="1"/>
  <c r="H114" i="55" a="1"/>
  <c r="H114" i="55" s="1"/>
  <c r="L114" i="55" s="1"/>
  <c r="M114" i="55" s="1"/>
  <c r="J91" i="55" a="1"/>
  <c r="J91" i="55" s="1"/>
  <c r="J54" i="55" a="1"/>
  <c r="J54" i="55" s="1"/>
  <c r="J128" i="55" a="1"/>
  <c r="J128" i="55" s="1"/>
  <c r="J70" i="55" a="1"/>
  <c r="J70" i="55" s="1"/>
  <c r="H36" i="55" a="1"/>
  <c r="H36" i="55" s="1"/>
  <c r="L36" i="55" s="1"/>
  <c r="M36" i="55" s="1"/>
  <c r="H112" i="55" a="1"/>
  <c r="H112" i="55" s="1"/>
  <c r="L112" i="55" s="1"/>
  <c r="M112" i="55" s="1"/>
  <c r="H27" i="55" a="1"/>
  <c r="H27" i="55" s="1"/>
  <c r="L152" i="55"/>
  <c r="M152" i="55" s="1"/>
  <c r="E7" i="12" a="1"/>
  <c r="E7" i="12" s="1"/>
  <c r="F7" i="12" a="1"/>
  <c r="F7" i="12" s="1"/>
  <c r="L249" i="55"/>
  <c r="L378" i="55"/>
  <c r="L329" i="55"/>
  <c r="L229" i="55"/>
  <c r="L237" i="55"/>
  <c r="L300" i="55"/>
  <c r="L328" i="55"/>
  <c r="L265" i="55"/>
  <c r="L342" i="55"/>
  <c r="L320" i="55"/>
  <c r="L284" i="55"/>
  <c r="L285" i="55"/>
  <c r="L304" i="55"/>
  <c r="L266" i="55"/>
  <c r="L279" i="55"/>
  <c r="L332" i="55"/>
  <c r="L286" i="55"/>
  <c r="L343" i="55"/>
  <c r="L227" i="55"/>
  <c r="L319" i="55"/>
  <c r="L335" i="55"/>
  <c r="L283" i="55"/>
  <c r="L298" i="55"/>
  <c r="L232" i="55"/>
  <c r="L236" i="55"/>
  <c r="L233" i="55"/>
  <c r="L326" i="55"/>
  <c r="L375" i="55"/>
  <c r="L333" i="55"/>
  <c r="L245" i="55"/>
  <c r="L360" i="55"/>
  <c r="L253" i="55"/>
  <c r="L251" i="55"/>
  <c r="L254" i="55"/>
  <c r="L271" i="55"/>
  <c r="L305" i="55"/>
  <c r="L291" i="55"/>
  <c r="L274" i="55"/>
  <c r="L311" i="55"/>
  <c r="L369" i="55"/>
  <c r="L307" i="55"/>
  <c r="L367" i="55"/>
  <c r="L310" i="55"/>
  <c r="L330" i="55"/>
  <c r="L287" i="55"/>
  <c r="L372" i="55"/>
  <c r="L140" i="55"/>
  <c r="M140" i="55" s="1"/>
  <c r="L199" i="55"/>
  <c r="M199" i="55" s="1"/>
  <c r="L167" i="55"/>
  <c r="M167" i="55" s="1"/>
  <c r="L241" i="55"/>
  <c r="L340" i="55"/>
  <c r="L202" i="55"/>
  <c r="M202" i="55" s="1"/>
  <c r="L338" i="55"/>
  <c r="L364" i="55"/>
  <c r="L280" i="55"/>
  <c r="L242" i="55"/>
  <c r="L198" i="55"/>
  <c r="M198" i="55" s="1"/>
  <c r="L268" i="55"/>
  <c r="L244" i="55"/>
  <c r="L371" i="55"/>
  <c r="L192" i="55"/>
  <c r="M192" i="55" s="1"/>
  <c r="L243" i="55"/>
  <c r="L223" i="55"/>
  <c r="L349" i="55"/>
  <c r="F9" i="12" a="1"/>
  <c r="F9" i="12" s="1"/>
  <c r="E9" i="12" a="1"/>
  <c r="E9" i="12" s="1"/>
  <c r="L314" i="55"/>
  <c r="F37" i="70" a="1"/>
  <c r="F37" i="70" s="1"/>
  <c r="E37" i="70" a="1"/>
  <c r="E37" i="70" s="1"/>
  <c r="J170" i="55" a="1"/>
  <c r="J170" i="55" s="1"/>
  <c r="L170" i="55" s="1"/>
  <c r="M170" i="55" s="1"/>
  <c r="E39" i="70" a="1"/>
  <c r="E39" i="70" s="1"/>
  <c r="F9" i="70" a="1"/>
  <c r="F9" i="70" s="1"/>
  <c r="E6" i="70" a="1"/>
  <c r="E6" i="70" s="1"/>
  <c r="F34" i="70" a="1"/>
  <c r="F34" i="70" s="1"/>
  <c r="F16" i="70" a="1"/>
  <c r="F16" i="70" s="1"/>
  <c r="E41" i="70" a="1"/>
  <c r="E41" i="70" s="1"/>
  <c r="E16" i="70" a="1"/>
  <c r="E16" i="70" s="1"/>
  <c r="F41" i="70" a="1"/>
  <c r="F41" i="70" s="1"/>
  <c r="F8" i="70" a="1"/>
  <c r="F8" i="70" s="1"/>
  <c r="F28" i="70" a="1"/>
  <c r="F28" i="70" s="1"/>
  <c r="F20" i="70" a="1"/>
  <c r="F20" i="70" s="1"/>
  <c r="F6" i="70" a="1"/>
  <c r="F6" i="70" s="1"/>
  <c r="E32" i="70" a="1"/>
  <c r="E32" i="70" s="1"/>
  <c r="F23" i="70" a="1"/>
  <c r="F23" i="70" s="1"/>
  <c r="E33" i="70" a="1"/>
  <c r="E33" i="70" s="1"/>
  <c r="E20" i="70" a="1"/>
  <c r="E20" i="70" s="1"/>
  <c r="E24" i="70" a="1"/>
  <c r="E24" i="70" s="1"/>
  <c r="E9" i="70" a="1"/>
  <c r="E9" i="70" s="1"/>
  <c r="G9" i="70" s="1"/>
  <c r="F39" i="70" a="1"/>
  <c r="F39" i="70" s="1"/>
  <c r="E26" i="70" a="1"/>
  <c r="E26" i="70" s="1"/>
  <c r="F29" i="70" a="1"/>
  <c r="F29" i="70" s="1"/>
  <c r="E40" i="70" a="1"/>
  <c r="E40" i="70" s="1"/>
  <c r="F40" i="70" a="1"/>
  <c r="F40" i="70" s="1"/>
  <c r="E8" i="70" a="1"/>
  <c r="E8" i="70" s="1"/>
  <c r="E29" i="70" a="1"/>
  <c r="E29" i="70" s="1"/>
  <c r="F24" i="70" a="1"/>
  <c r="F24" i="70" s="1"/>
  <c r="E34" i="70" a="1"/>
  <c r="E34" i="70" s="1"/>
  <c r="F32" i="70" a="1"/>
  <c r="F32" i="70" s="1"/>
  <c r="E22" i="70" a="1"/>
  <c r="E22" i="70" s="1"/>
  <c r="F26" i="70" a="1"/>
  <c r="F26" i="70" s="1"/>
  <c r="E23" i="70" a="1"/>
  <c r="E23" i="70" s="1"/>
  <c r="F33" i="70" a="1"/>
  <c r="F33" i="70" s="1"/>
  <c r="E28" i="70" a="1"/>
  <c r="E28" i="70" s="1"/>
  <c r="E10" i="70" a="1"/>
  <c r="E10" i="70" s="1"/>
  <c r="F10" i="70" a="1"/>
  <c r="F10" i="70" s="1"/>
  <c r="F22" i="70" a="1"/>
  <c r="F22" i="70" s="1"/>
  <c r="J296" i="55" a="1"/>
  <c r="J296" i="55" s="1"/>
  <c r="J186" i="55" a="1"/>
  <c r="J186" i="55" s="1"/>
  <c r="L186" i="55" s="1"/>
  <c r="M186" i="55" s="1"/>
  <c r="J165" i="55" a="1"/>
  <c r="J165" i="55" s="1"/>
  <c r="L165" i="55" s="1"/>
  <c r="M165" i="55" s="1"/>
  <c r="J156" i="55" a="1"/>
  <c r="J156" i="55" s="1"/>
  <c r="L156" i="55" s="1"/>
  <c r="M156" i="55" s="1"/>
  <c r="J357" i="55" a="1"/>
  <c r="J357" i="55" s="1"/>
  <c r="L357" i="55" s="1"/>
  <c r="J183" i="55" a="1"/>
  <c r="J183" i="55" s="1"/>
  <c r="L183" i="55" s="1"/>
  <c r="M183" i="55" s="1"/>
  <c r="J297" i="55" a="1"/>
  <c r="J297" i="55" s="1"/>
  <c r="L297" i="55" s="1"/>
  <c r="J346" i="55" a="1"/>
  <c r="J346" i="55" s="1"/>
  <c r="L346" i="55" s="1"/>
  <c r="J277" i="55" a="1"/>
  <c r="J277" i="55" s="1"/>
  <c r="L277" i="55" s="1"/>
  <c r="J269" i="55" a="1"/>
  <c r="J269" i="55" s="1"/>
  <c r="L269" i="55" s="1"/>
  <c r="J179" i="55" a="1"/>
  <c r="J179" i="55" s="1"/>
  <c r="L179" i="55" s="1"/>
  <c r="M179" i="55" s="1"/>
  <c r="J171" i="55" a="1"/>
  <c r="J171" i="55" s="1"/>
  <c r="L171" i="55" s="1"/>
  <c r="M171" i="55" s="1"/>
  <c r="L256" i="55"/>
  <c r="G29" i="15"/>
  <c r="L347" i="55"/>
  <c r="H21" i="70"/>
  <c r="E30" i="70" a="1"/>
  <c r="E30" i="70" s="1"/>
  <c r="E36" i="70" a="1"/>
  <c r="E36" i="70" s="1"/>
  <c r="F36" i="70" a="1"/>
  <c r="F36" i="70" s="1"/>
  <c r="F30" i="70" a="1"/>
  <c r="F30" i="70" s="1"/>
  <c r="H11" i="12"/>
  <c r="H15" i="70"/>
  <c r="L174" i="55"/>
  <c r="M174" i="55" s="1"/>
  <c r="L14" i="55"/>
  <c r="G12" i="70"/>
  <c r="H8" i="12"/>
  <c r="G31" i="70"/>
  <c r="G27" i="70"/>
  <c r="H14" i="12"/>
  <c r="H15" i="12"/>
  <c r="G10" i="12"/>
  <c r="G25" i="70"/>
  <c r="G12" i="12"/>
  <c r="G22" i="15"/>
  <c r="H24" i="15"/>
  <c r="H38" i="70"/>
  <c r="H40" i="15"/>
  <c r="J40" i="15" s="1"/>
  <c r="J276" i="55" a="1"/>
  <c r="J276" i="55" s="1"/>
  <c r="L276" i="55" s="1"/>
  <c r="G14" i="70"/>
  <c r="J146" i="55" a="1"/>
  <c r="J146" i="55" s="1"/>
  <c r="L146" i="55" s="1"/>
  <c r="M146" i="55" s="1"/>
  <c r="J290" i="55" a="1"/>
  <c r="J290" i="55" s="1"/>
  <c r="L290" i="55" s="1"/>
  <c r="H7" i="70"/>
  <c r="H18" i="70"/>
  <c r="J137" i="55" a="1"/>
  <c r="J137" i="55" s="1"/>
  <c r="L137" i="55" s="1"/>
  <c r="M137" i="55" s="1"/>
  <c r="E42" i="15"/>
  <c r="G41" i="15"/>
  <c r="G15" i="15"/>
  <c r="E16" i="15"/>
  <c r="G38" i="15"/>
  <c r="E39" i="15"/>
  <c r="H15" i="15"/>
  <c r="H16" i="15" s="1"/>
  <c r="F16" i="15"/>
  <c r="E25" i="15"/>
  <c r="G14" i="15"/>
  <c r="F11" i="15"/>
  <c r="H10" i="15"/>
  <c r="H11" i="15" s="1"/>
  <c r="H6" i="12"/>
  <c r="I43" i="15"/>
  <c r="E44" i="15"/>
  <c r="I44" i="15" s="1"/>
  <c r="H29" i="15"/>
  <c r="E13" i="15"/>
  <c r="G12" i="15"/>
  <c r="G13" i="15" s="1"/>
  <c r="G34" i="15"/>
  <c r="E35" i="15"/>
  <c r="F37" i="15"/>
  <c r="H36" i="15"/>
  <c r="H37" i="15" s="1"/>
  <c r="G13" i="12"/>
  <c r="H13" i="70"/>
  <c r="J336" i="55" a="1"/>
  <c r="J336" i="55" s="1"/>
  <c r="L336" i="55" s="1"/>
  <c r="J172" i="55" a="1"/>
  <c r="J172" i="55" s="1"/>
  <c r="L172" i="55" s="1"/>
  <c r="M172" i="55" s="1"/>
  <c r="J144" i="55" a="1"/>
  <c r="J144" i="55" s="1"/>
  <c r="L144" i="55" s="1"/>
  <c r="M144" i="55" s="1"/>
  <c r="F46" i="15" a="1"/>
  <c r="F46" i="15" s="1"/>
  <c r="I46" i="15" s="1"/>
  <c r="J281" i="55" a="1"/>
  <c r="J281" i="55" s="1"/>
  <c r="L281" i="55" s="1"/>
  <c r="J206" i="55" a="1"/>
  <c r="J206" i="55" s="1"/>
  <c r="L206" i="55" s="1"/>
  <c r="M206" i="55" s="1"/>
  <c r="J153" i="55" a="1"/>
  <c r="J153" i="55" s="1"/>
  <c r="L153" i="55" s="1"/>
  <c r="M153" i="55" s="1"/>
  <c r="J175" i="55" a="1"/>
  <c r="J175" i="55" s="1"/>
  <c r="L175" i="55" s="1"/>
  <c r="M175" i="55" s="1"/>
  <c r="J213" i="55" a="1"/>
  <c r="J213" i="55" s="1"/>
  <c r="L213" i="55" s="1"/>
  <c r="M213" i="55" s="1"/>
  <c r="J141" i="55" a="1"/>
  <c r="J141" i="55" s="1"/>
  <c r="L141" i="55" s="1"/>
  <c r="M141" i="55" s="1"/>
  <c r="J239" i="55" a="1"/>
  <c r="J239" i="55" s="1"/>
  <c r="L239" i="55" s="1"/>
  <c r="J155" i="55" a="1"/>
  <c r="J155" i="55" s="1"/>
  <c r="L155" i="55" s="1"/>
  <c r="M155" i="55" s="1"/>
  <c r="J151" i="55" a="1"/>
  <c r="J151" i="55" s="1"/>
  <c r="L151" i="55" s="1"/>
  <c r="M151" i="55" s="1"/>
  <c r="J270" i="55" a="1"/>
  <c r="J270" i="55" s="1"/>
  <c r="L270" i="55" s="1"/>
  <c r="J162" i="55" a="1"/>
  <c r="J162" i="55" s="1"/>
  <c r="L162" i="55" s="1"/>
  <c r="M162" i="55" s="1"/>
  <c r="J160" i="55" a="1"/>
  <c r="J160" i="55" s="1"/>
  <c r="L160" i="55" s="1"/>
  <c r="M160" i="55" s="1"/>
  <c r="H34" i="15"/>
  <c r="F35" i="15"/>
  <c r="G6" i="12"/>
  <c r="F13" i="15"/>
  <c r="H12" i="15"/>
  <c r="H13" i="15" s="1"/>
  <c r="F25" i="15"/>
  <c r="F42" i="15"/>
  <c r="H41" i="15"/>
  <c r="H12" i="70"/>
  <c r="G18" i="70"/>
  <c r="H22" i="15"/>
  <c r="H12" i="12"/>
  <c r="G31" i="15"/>
  <c r="G32" i="15" s="1"/>
  <c r="E32" i="15"/>
  <c r="E33" i="15" s="1"/>
  <c r="J327" i="55" a="1"/>
  <c r="J327" i="55" s="1"/>
  <c r="L327" i="55" s="1"/>
  <c r="F47" i="15" a="1"/>
  <c r="F47" i="15" s="1"/>
  <c r="I47" i="15" s="1"/>
  <c r="J258" i="55" a="1"/>
  <c r="J258" i="55" s="1"/>
  <c r="L258" i="55" s="1"/>
  <c r="J344" i="55" a="1"/>
  <c r="J344" i="55" s="1"/>
  <c r="L344" i="55" s="1"/>
  <c r="J215" i="55" a="1"/>
  <c r="J215" i="55" s="1"/>
  <c r="L215" i="55" s="1"/>
  <c r="M215" i="55" s="1"/>
  <c r="J178" i="55" a="1"/>
  <c r="J178" i="55" s="1"/>
  <c r="L178" i="55" s="1"/>
  <c r="M178" i="55" s="1"/>
  <c r="J252" i="55" a="1"/>
  <c r="J252" i="55" s="1"/>
  <c r="L252" i="55" s="1"/>
  <c r="J212" i="55" a="1"/>
  <c r="J212" i="55" s="1"/>
  <c r="L212" i="55" s="1"/>
  <c r="M212" i="55" s="1"/>
  <c r="J163" i="55" a="1"/>
  <c r="J163" i="55" s="1"/>
  <c r="L163" i="55" s="1"/>
  <c r="M163" i="55" s="1"/>
  <c r="J272" i="55" a="1"/>
  <c r="J272" i="55" s="1"/>
  <c r="L272" i="55" s="1"/>
  <c r="J166" i="55" a="1"/>
  <c r="J166" i="55" s="1"/>
  <c r="L166" i="55" s="1"/>
  <c r="M166" i="55" s="1"/>
  <c r="J354" i="55" a="1"/>
  <c r="J354" i="55" s="1"/>
  <c r="L354" i="55" s="1"/>
  <c r="J189" i="55" a="1"/>
  <c r="J189" i="55" s="1"/>
  <c r="L189" i="55" s="1"/>
  <c r="M189" i="55" s="1"/>
  <c r="J315" i="55" a="1"/>
  <c r="J315" i="55" s="1"/>
  <c r="L315" i="55" s="1"/>
  <c r="J278" i="55" a="1"/>
  <c r="J278" i="55" s="1"/>
  <c r="L278" i="55" s="1"/>
  <c r="J322" i="55" a="1"/>
  <c r="J322" i="55" s="1"/>
  <c r="L322" i="55" s="1"/>
  <c r="L18" i="55"/>
  <c r="M18" i="55" s="1"/>
  <c r="E21" i="15"/>
  <c r="G19" i="15"/>
  <c r="F18" i="15"/>
  <c r="H17" i="15"/>
  <c r="E37" i="15"/>
  <c r="G36" i="15"/>
  <c r="G37" i="15" s="1"/>
  <c r="E11" i="15"/>
  <c r="G10" i="15"/>
  <c r="G11" i="15" s="1"/>
  <c r="H20" i="15"/>
  <c r="G24" i="15"/>
  <c r="H30" i="15"/>
  <c r="G26" i="15"/>
  <c r="G27" i="15" s="1"/>
  <c r="H19" i="15"/>
  <c r="F21" i="15"/>
  <c r="G21" i="70"/>
  <c r="H10" i="12"/>
  <c r="G28" i="15"/>
  <c r="H17" i="70"/>
  <c r="J197" i="55" a="1"/>
  <c r="J197" i="55" s="1"/>
  <c r="L197" i="55" s="1"/>
  <c r="M197" i="55" s="1"/>
  <c r="J240" i="55" a="1"/>
  <c r="J240" i="55" s="1"/>
  <c r="L240" i="55" s="1"/>
  <c r="J142" i="55" a="1"/>
  <c r="J142" i="55" s="1"/>
  <c r="L142" i="55" s="1"/>
  <c r="M142" i="55" s="1"/>
  <c r="J150" i="55" a="1"/>
  <c r="J150" i="55" s="1"/>
  <c r="L150" i="55" s="1"/>
  <c r="M150" i="55" s="1"/>
  <c r="J267" i="55" a="1"/>
  <c r="J267" i="55" s="1"/>
  <c r="L267" i="55" s="1"/>
  <c r="F49" i="15" a="1"/>
  <c r="F49" i="15" s="1"/>
  <c r="I49" i="15" s="1"/>
  <c r="J184" i="55" a="1"/>
  <c r="J184" i="55" s="1"/>
  <c r="L184" i="55" s="1"/>
  <c r="M184" i="55" s="1"/>
  <c r="J356" i="55" a="1"/>
  <c r="J356" i="55" s="1"/>
  <c r="L356" i="55" s="1"/>
  <c r="F52" i="15" a="1"/>
  <c r="F52" i="15" s="1"/>
  <c r="I52" i="15" s="1"/>
  <c r="J331" i="55" a="1"/>
  <c r="J331" i="55" s="1"/>
  <c r="L331" i="55" s="1"/>
  <c r="J187" i="55" a="1"/>
  <c r="J187" i="55" s="1"/>
  <c r="L187" i="55" s="1"/>
  <c r="M187" i="55" s="1"/>
  <c r="J351" i="55" a="1"/>
  <c r="J351" i="55" s="1"/>
  <c r="L351" i="55" s="1"/>
  <c r="J222" i="55" a="1"/>
  <c r="J222" i="55" s="1"/>
  <c r="L222" i="55" s="1"/>
  <c r="F45" i="15" a="1"/>
  <c r="F45" i="15" s="1"/>
  <c r="I45" i="15" s="1"/>
  <c r="J148" i="55" a="1"/>
  <c r="J148" i="55" s="1"/>
  <c r="L148" i="55" s="1"/>
  <c r="M148" i="55" s="1"/>
  <c r="J193" i="55" a="1"/>
  <c r="J193" i="55" s="1"/>
  <c r="L193" i="55" s="1"/>
  <c r="M193" i="55" s="1"/>
  <c r="J228" i="55" a="1"/>
  <c r="J228" i="55" s="1"/>
  <c r="L228" i="55" s="1"/>
  <c r="J225" i="55" a="1"/>
  <c r="J225" i="55" s="1"/>
  <c r="L225" i="55" s="1"/>
  <c r="H26" i="15"/>
  <c r="H27" i="15" s="1"/>
  <c r="H23" i="15"/>
  <c r="G7" i="70"/>
  <c r="G40" i="15"/>
  <c r="F32" i="15"/>
  <c r="F33" i="15" s="1"/>
  <c r="H31" i="15"/>
  <c r="H32" i="15" s="1"/>
  <c r="H16" i="55"/>
  <c r="H17" i="55" s="1"/>
  <c r="G17" i="15"/>
  <c r="E18" i="15"/>
  <c r="G23" i="15"/>
  <c r="H14" i="70"/>
  <c r="G15" i="12"/>
  <c r="G30" i="15"/>
  <c r="H38" i="15"/>
  <c r="F39" i="15"/>
  <c r="G20" i="15"/>
  <c r="H25" i="70"/>
  <c r="H14" i="15"/>
  <c r="H31" i="70"/>
  <c r="G14" i="12"/>
  <c r="H27" i="70"/>
  <c r="H28" i="15"/>
  <c r="G15" i="70"/>
  <c r="G11" i="12"/>
  <c r="G38" i="70"/>
  <c r="G8" i="12"/>
  <c r="H337" i="55" a="1"/>
  <c r="H337" i="55" s="1"/>
  <c r="H230" i="55" a="1"/>
  <c r="H230" i="55" s="1"/>
  <c r="L230" i="55" s="1"/>
  <c r="J12" i="55" a="1"/>
  <c r="J12" i="55" s="1"/>
  <c r="J16" i="55" s="1"/>
  <c r="J17" i="55" s="1"/>
  <c r="H247" i="55" a="1"/>
  <c r="H247" i="55" s="1"/>
  <c r="L247" i="55" s="1"/>
  <c r="J337" i="55" a="1"/>
  <c r="J337" i="55" s="1"/>
  <c r="H296" i="55" a="1"/>
  <c r="H296" i="55" s="1"/>
  <c r="H264" i="55" a="1"/>
  <c r="H264" i="55" s="1"/>
  <c r="L264" i="55" s="1"/>
  <c r="F11" i="70" a="1"/>
  <c r="F11" i="70" s="1"/>
  <c r="G11" i="70" s="1"/>
  <c r="E19" i="70" a="1"/>
  <c r="E19" i="70" s="1"/>
  <c r="G19" i="70" s="1"/>
  <c r="H138" i="55" a="1"/>
  <c r="H138" i="55" s="1"/>
  <c r="L138" i="55" s="1"/>
  <c r="M138" i="55" s="1"/>
  <c r="E35" i="70" a="1"/>
  <c r="E35" i="70" s="1"/>
  <c r="G35" i="70" s="1"/>
  <c r="J317" i="55" a="1"/>
  <c r="J317" i="55" s="1"/>
  <c r="L317" i="55" s="1"/>
  <c r="J185" i="55" a="1"/>
  <c r="J185" i="55" s="1"/>
  <c r="L185" i="55" s="1"/>
  <c r="M185" i="55" s="1"/>
  <c r="J308" i="55" a="1"/>
  <c r="J308" i="55" s="1"/>
  <c r="L308" i="55" s="1"/>
  <c r="J208" i="55" a="1"/>
  <c r="J208" i="55" s="1"/>
  <c r="L208" i="55" s="1"/>
  <c r="M208" i="55" s="1"/>
  <c r="J221" i="55" a="1"/>
  <c r="J221" i="55" s="1"/>
  <c r="L221" i="55" s="1"/>
  <c r="J325" i="55" a="1"/>
  <c r="J325" i="55" s="1"/>
  <c r="L325" i="55" s="1"/>
  <c r="J318" i="55" a="1"/>
  <c r="J318" i="55" s="1"/>
  <c r="L318" i="55" s="1"/>
  <c r="J143" i="55" a="1"/>
  <c r="J143" i="55" s="1"/>
  <c r="L143" i="55" s="1"/>
  <c r="M143" i="55" s="1"/>
  <c r="J306" i="55" a="1"/>
  <c r="J306" i="55" s="1"/>
  <c r="L306" i="55" s="1"/>
  <c r="J181" i="55" a="1"/>
  <c r="J181" i="55" s="1"/>
  <c r="L181" i="55" s="1"/>
  <c r="M181" i="55" s="1"/>
  <c r="J302" i="55" a="1"/>
  <c r="J302" i="55" s="1"/>
  <c r="L302" i="55" s="1"/>
  <c r="J194" i="55" a="1"/>
  <c r="J194" i="55" s="1"/>
  <c r="L194" i="55" s="1"/>
  <c r="M194" i="55" s="1"/>
  <c r="J348" i="55" a="1"/>
  <c r="J348" i="55" s="1"/>
  <c r="L348" i="55" s="1"/>
  <c r="J312" i="55" a="1"/>
  <c r="J312" i="55" s="1"/>
  <c r="L312" i="55" s="1"/>
  <c r="J203" i="55" a="1"/>
  <c r="J203" i="55" s="1"/>
  <c r="L203" i="55" s="1"/>
  <c r="M203" i="55" s="1"/>
  <c r="J257" i="55" a="1"/>
  <c r="J257" i="55" s="1"/>
  <c r="L257" i="55" s="1"/>
  <c r="L24" i="55" l="1"/>
  <c r="M24" i="55" s="1"/>
  <c r="L47" i="55"/>
  <c r="M47" i="55" s="1"/>
  <c r="L38" i="55"/>
  <c r="M38" i="55" s="1"/>
  <c r="L88" i="55"/>
  <c r="M88" i="55" s="1"/>
  <c r="L107" i="55"/>
  <c r="M107" i="55" s="1"/>
  <c r="L48" i="55"/>
  <c r="M48" i="55" s="1"/>
  <c r="L125" i="55"/>
  <c r="M125" i="55" s="1"/>
  <c r="L81" i="55"/>
  <c r="M81" i="55" s="1"/>
  <c r="L25" i="55"/>
  <c r="M25" i="55" s="1"/>
  <c r="L45" i="55"/>
  <c r="M45" i="55" s="1"/>
  <c r="L41" i="55"/>
  <c r="M41" i="55" s="1"/>
  <c r="L87" i="55"/>
  <c r="M87" i="55" s="1"/>
  <c r="L55" i="55"/>
  <c r="M55" i="55" s="1"/>
  <c r="L120" i="55"/>
  <c r="M120" i="55" s="1"/>
  <c r="L123" i="55"/>
  <c r="M123" i="55" s="1"/>
  <c r="L27" i="55"/>
  <c r="M27" i="55" s="1"/>
  <c r="L61" i="55"/>
  <c r="M61" i="55" s="1"/>
  <c r="L42" i="55"/>
  <c r="M42" i="55" s="1"/>
  <c r="L104" i="55"/>
  <c r="M104" i="55" s="1"/>
  <c r="L57" i="55"/>
  <c r="M57" i="55" s="1"/>
  <c r="E17" i="12"/>
  <c r="E19" i="12" s="1"/>
  <c r="F17" i="12"/>
  <c r="F19" i="12" s="1"/>
  <c r="L119" i="55"/>
  <c r="M119" i="55" s="1"/>
  <c r="L129" i="55"/>
  <c r="M129" i="55" s="1"/>
  <c r="L65" i="55"/>
  <c r="M65" i="55" s="1"/>
  <c r="L117" i="55"/>
  <c r="M117" i="55" s="1"/>
  <c r="L28" i="55"/>
  <c r="M28" i="55" s="1"/>
  <c r="L130" i="55"/>
  <c r="M130" i="55" s="1"/>
  <c r="L44" i="55"/>
  <c r="M44" i="55" s="1"/>
  <c r="L110" i="55"/>
  <c r="M110" i="55" s="1"/>
  <c r="L80" i="55"/>
  <c r="M80" i="55" s="1"/>
  <c r="L86" i="55"/>
  <c r="M86" i="55" s="1"/>
  <c r="L91" i="55"/>
  <c r="M91" i="55" s="1"/>
  <c r="L40" i="55"/>
  <c r="M40" i="55" s="1"/>
  <c r="L84" i="55"/>
  <c r="M84" i="55" s="1"/>
  <c r="L31" i="55"/>
  <c r="M31" i="55" s="1"/>
  <c r="L128" i="55"/>
  <c r="M128" i="55" s="1"/>
  <c r="L71" i="55"/>
  <c r="M71" i="55" s="1"/>
  <c r="L30" i="55"/>
  <c r="M30" i="55" s="1"/>
  <c r="L106" i="55"/>
  <c r="M106" i="55" s="1"/>
  <c r="L20" i="55"/>
  <c r="M20" i="55" s="1"/>
  <c r="L22" i="55"/>
  <c r="M22" i="55" s="1"/>
  <c r="L49" i="55"/>
  <c r="M49" i="55" s="1"/>
  <c r="L78" i="55"/>
  <c r="M78" i="55" s="1"/>
  <c r="L118" i="55"/>
  <c r="M118" i="55" s="1"/>
  <c r="L68" i="55"/>
  <c r="M68" i="55" s="1"/>
  <c r="L69" i="55"/>
  <c r="M69" i="55" s="1"/>
  <c r="L101" i="55"/>
  <c r="M101" i="55" s="1"/>
  <c r="L85" i="55"/>
  <c r="M85" i="55" s="1"/>
  <c r="L66" i="55"/>
  <c r="M66" i="55" s="1"/>
  <c r="L73" i="55"/>
  <c r="M73" i="55" s="1"/>
  <c r="L35" i="55"/>
  <c r="M35" i="55" s="1"/>
  <c r="L29" i="55"/>
  <c r="M29" i="55" s="1"/>
  <c r="L64" i="55"/>
  <c r="M64" i="55" s="1"/>
  <c r="L54" i="55"/>
  <c r="M54" i="55" s="1"/>
  <c r="L111" i="55"/>
  <c r="M111" i="55" s="1"/>
  <c r="L103" i="55"/>
  <c r="M103" i="55" s="1"/>
  <c r="L121" i="55"/>
  <c r="M121" i="55" s="1"/>
  <c r="L97" i="55"/>
  <c r="M97" i="55" s="1"/>
  <c r="L131" i="55"/>
  <c r="M131" i="55" s="1"/>
  <c r="L92" i="55"/>
  <c r="M92" i="55" s="1"/>
  <c r="L127" i="55"/>
  <c r="M127" i="55" s="1"/>
  <c r="L134" i="55"/>
  <c r="M134" i="55" s="1"/>
  <c r="L33" i="55"/>
  <c r="M33" i="55" s="1"/>
  <c r="L43" i="55"/>
  <c r="M43" i="55" s="1"/>
  <c r="L82" i="55"/>
  <c r="M82" i="55" s="1"/>
  <c r="L70" i="55"/>
  <c r="M70" i="55" s="1"/>
  <c r="L72" i="55"/>
  <c r="M72" i="55" s="1"/>
  <c r="L32" i="55"/>
  <c r="M32" i="55" s="1"/>
  <c r="L96" i="55"/>
  <c r="M96" i="55" s="1"/>
  <c r="L60" i="55"/>
  <c r="M60" i="55" s="1"/>
  <c r="H7" i="12"/>
  <c r="L133" i="55"/>
  <c r="M133" i="55" s="1"/>
  <c r="L37" i="55"/>
  <c r="M37" i="55" s="1"/>
  <c r="L19" i="55"/>
  <c r="M19" i="55" s="1"/>
  <c r="L53" i="55"/>
  <c r="M53" i="55" s="1"/>
  <c r="L109" i="55"/>
  <c r="M109" i="55" s="1"/>
  <c r="L34" i="55"/>
  <c r="M34" i="55" s="1"/>
  <c r="L56" i="55"/>
  <c r="M56" i="55" s="1"/>
  <c r="L95" i="55"/>
  <c r="M95" i="55" s="1"/>
  <c r="L100" i="55"/>
  <c r="M100" i="55" s="1"/>
  <c r="L122" i="55"/>
  <c r="M122" i="55" s="1"/>
  <c r="L115" i="55"/>
  <c r="M115" i="55" s="1"/>
  <c r="L113" i="55"/>
  <c r="M113" i="55" s="1"/>
  <c r="L94" i="55"/>
  <c r="M94" i="55" s="1"/>
  <c r="G7" i="12"/>
  <c r="G33" i="15"/>
  <c r="G28" i="70"/>
  <c r="G23" i="70"/>
  <c r="H33" i="15"/>
  <c r="G9" i="12"/>
  <c r="E54" i="15"/>
  <c r="F54" i="15"/>
  <c r="H32" i="70"/>
  <c r="G8" i="70"/>
  <c r="L296" i="55"/>
  <c r="H39" i="15"/>
  <c r="H9" i="12"/>
  <c r="H26" i="70"/>
  <c r="G37" i="70"/>
  <c r="H37" i="70"/>
  <c r="H33" i="70"/>
  <c r="G34" i="70"/>
  <c r="G29" i="70"/>
  <c r="G20" i="70"/>
  <c r="H41" i="70"/>
  <c r="G16" i="70"/>
  <c r="H6" i="70"/>
  <c r="H40" i="70"/>
  <c r="H39" i="70"/>
  <c r="H24" i="70"/>
  <c r="G10" i="70"/>
  <c r="G22" i="70"/>
  <c r="H23" i="70"/>
  <c r="H28" i="70"/>
  <c r="G6" i="70"/>
  <c r="H29" i="70"/>
  <c r="G33" i="70"/>
  <c r="G32" i="70"/>
  <c r="H8" i="70"/>
  <c r="H16" i="70"/>
  <c r="H10" i="70"/>
  <c r="G24" i="70"/>
  <c r="H20" i="70"/>
  <c r="H9" i="70"/>
  <c r="H30" i="70"/>
  <c r="H22" i="70"/>
  <c r="G40" i="70"/>
  <c r="G26" i="70"/>
  <c r="G41" i="70"/>
  <c r="H34" i="70"/>
  <c r="G39" i="70"/>
  <c r="H36" i="70"/>
  <c r="H35" i="15"/>
  <c r="G18" i="15"/>
  <c r="G30" i="70"/>
  <c r="G36" i="70"/>
  <c r="H21" i="15"/>
  <c r="J217" i="55"/>
  <c r="J218" i="55" s="1"/>
  <c r="J381" i="55"/>
  <c r="J382" i="55" s="1"/>
  <c r="H19" i="70"/>
  <c r="G21" i="15"/>
  <c r="F43" i="70"/>
  <c r="F44" i="70" s="1"/>
  <c r="H11" i="70"/>
  <c r="E43" i="70"/>
  <c r="E44" i="70" s="1"/>
  <c r="H35" i="70"/>
  <c r="H18" i="15"/>
  <c r="H217" i="55"/>
  <c r="H218" i="55" s="1"/>
  <c r="H25" i="15"/>
  <c r="G16" i="15"/>
  <c r="H381" i="55"/>
  <c r="H382" i="55" s="1"/>
  <c r="L337" i="55"/>
  <c r="L381" i="55" s="1"/>
  <c r="L382" i="55" s="1"/>
  <c r="G25" i="15"/>
  <c r="G39" i="15"/>
  <c r="G42" i="15"/>
  <c r="L12" i="55"/>
  <c r="L16" i="55" s="1"/>
  <c r="L17" i="55" s="1"/>
  <c r="H42" i="15"/>
  <c r="J41" i="15"/>
  <c r="G35" i="15"/>
  <c r="H17" i="12" l="1"/>
  <c r="L217" i="55"/>
  <c r="L218" i="55" s="1"/>
  <c r="G17" i="12"/>
  <c r="H54" i="15"/>
  <c r="G54" i="15"/>
  <c r="G43" i="70"/>
  <c r="H43" i="70"/>
  <c r="H56" i="15" l="1"/>
  <c r="B219" i="55" l="1"/>
  <c r="B220" i="55" s="1"/>
  <c r="A220" i="55" l="1"/>
  <c r="B221" i="55"/>
  <c r="A219" i="55"/>
  <c r="B222" i="55" l="1"/>
  <c r="A221" i="55"/>
  <c r="B223" i="55" l="1"/>
  <c r="A223" i="55" s="1"/>
  <c r="A222" i="55"/>
  <c r="B224" i="55" l="1"/>
  <c r="B225" i="55" s="1"/>
  <c r="A225" i="55" s="1"/>
  <c r="A224" i="55" l="1"/>
  <c r="B226" i="55" l="1"/>
  <c r="A226" i="55" l="1"/>
  <c r="B227" i="55" l="1"/>
  <c r="B228" i="55" s="1"/>
  <c r="A228" i="55" s="1"/>
  <c r="A227" i="55" l="1"/>
  <c r="B229" i="55" l="1"/>
  <c r="B230" i="55" s="1"/>
  <c r="A230" i="55" s="1"/>
  <c r="B231" i="55" l="1"/>
  <c r="B232" i="55" s="1"/>
  <c r="A229" i="55"/>
  <c r="A232" i="55" l="1"/>
  <c r="B233" i="55"/>
  <c r="A231" i="55"/>
  <c r="B234" i="55" l="1"/>
  <c r="A233" i="55"/>
  <c r="B235" i="55" l="1"/>
  <c r="A234" i="55"/>
  <c r="A235" i="55" l="1"/>
  <c r="B236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A243" i="55" l="1"/>
  <c r="B244" i="55"/>
  <c r="A244" i="55" l="1"/>
  <c r="B245" i="55"/>
  <c r="A245" i="55" l="1"/>
  <c r="B246" i="55"/>
  <c r="B247" i="55" l="1"/>
  <c r="A246" i="55"/>
  <c r="A247" i="55" l="1"/>
  <c r="B248" i="55"/>
  <c r="B249" i="55" l="1"/>
  <c r="A248" i="55"/>
  <c r="B250" i="55" l="1"/>
  <c r="A249" i="55"/>
  <c r="B251" i="55" l="1"/>
  <c r="A250" i="55"/>
  <c r="A251" i="55" l="1"/>
  <c r="B252" i="55"/>
  <c r="B253" i="55" l="1"/>
  <c r="A252" i="55"/>
  <c r="B254" i="55" l="1"/>
  <c r="A253" i="55"/>
  <c r="B255" i="55" l="1"/>
  <c r="A254" i="55"/>
  <c r="A255" i="55" l="1"/>
  <c r="B256" i="55"/>
  <c r="B257" i="55" l="1"/>
  <c r="A256" i="55"/>
  <c r="B258" i="55" l="1"/>
  <c r="A257" i="55"/>
  <c r="B259" i="55" l="1"/>
  <c r="A258" i="55"/>
  <c r="A259" i="55" l="1"/>
  <c r="B260" i="55"/>
  <c r="A260" i="55" l="1"/>
  <c r="B261" i="55"/>
  <c r="A261" i="55" l="1"/>
  <c r="B262" i="55"/>
  <c r="B263" i="55" l="1"/>
  <c r="A262" i="55"/>
  <c r="A263" i="55" l="1"/>
  <c r="B264" i="55"/>
  <c r="B265" i="55" l="1"/>
  <c r="A264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A271" i="55" l="1"/>
  <c r="B272" i="55"/>
  <c r="B273" i="55" l="1"/>
  <c r="A272" i="55"/>
  <c r="B274" i="55" l="1"/>
  <c r="A273" i="55"/>
  <c r="A274" i="55" l="1"/>
  <c r="B275" i="55"/>
  <c r="B276" i="55" l="1"/>
  <c r="A275" i="55"/>
  <c r="A276" i="55" l="1"/>
  <c r="B277" i="55"/>
  <c r="B278" i="55" l="1"/>
  <c r="A277" i="55"/>
  <c r="B279" i="55" l="1"/>
  <c r="A278" i="55"/>
  <c r="B280" i="55" l="1"/>
  <c r="A279" i="55"/>
  <c r="A280" i="55" l="1"/>
  <c r="B281" i="55"/>
  <c r="A281" i="55" l="1"/>
  <c r="B282" i="55"/>
  <c r="B283" i="55" l="1"/>
  <c r="A282" i="55"/>
  <c r="A283" i="55" l="1"/>
  <c r="B284" i="55"/>
  <c r="B285" i="55" l="1"/>
  <c r="A284" i="55"/>
  <c r="B286" i="55" l="1"/>
  <c r="A285" i="55"/>
  <c r="B287" i="55" l="1"/>
  <c r="A286" i="55"/>
  <c r="B288" i="55" l="1"/>
  <c r="A287" i="55"/>
  <c r="A288" i="55" l="1"/>
  <c r="B289" i="55"/>
  <c r="B290" i="55" l="1"/>
  <c r="A289" i="55"/>
  <c r="A290" i="55" l="1"/>
  <c r="B291" i="55"/>
  <c r="A291" i="55" l="1"/>
  <c r="B292" i="55"/>
  <c r="B293" i="55" l="1"/>
  <c r="A292" i="55"/>
  <c r="B294" i="55" l="1"/>
  <c r="A293" i="55"/>
  <c r="A294" i="55" l="1"/>
  <c r="B295" i="55"/>
  <c r="A295" i="55" l="1"/>
  <c r="B296" i="55"/>
  <c r="B297" i="55" l="1"/>
  <c r="A296" i="55"/>
  <c r="A297" i="55" l="1"/>
  <c r="B298" i="55"/>
  <c r="B299" i="55" l="1"/>
  <c r="A298" i="55"/>
  <c r="A299" i="55" l="1"/>
  <c r="B300" i="55"/>
  <c r="B301" i="55" l="1"/>
  <c r="A300" i="55"/>
  <c r="A301" i="55" l="1"/>
  <c r="B302" i="55"/>
  <c r="B303" i="55" l="1"/>
  <c r="A302" i="55"/>
  <c r="A303" i="55" l="1"/>
  <c r="B304" i="55"/>
  <c r="B305" i="55" l="1"/>
  <c r="A304" i="55"/>
  <c r="A305" i="55" l="1"/>
  <c r="B306" i="55"/>
  <c r="B307" i="55" l="1"/>
  <c r="A306" i="55"/>
  <c r="B308" i="55" l="1"/>
  <c r="A307" i="55"/>
  <c r="A308" i="55" l="1"/>
  <c r="B309" i="55"/>
  <c r="B310" i="55" l="1"/>
  <c r="A309" i="55"/>
  <c r="A310" i="55" l="1"/>
  <c r="B311" i="55"/>
  <c r="A311" i="55" l="1"/>
  <c r="B312" i="55"/>
  <c r="A312" i="55" l="1"/>
  <c r="B313" i="55"/>
  <c r="B314" i="55" l="1"/>
  <c r="A313" i="55"/>
  <c r="A314" i="55" l="1"/>
  <c r="B315" i="55"/>
  <c r="B316" i="55" l="1"/>
  <c r="A315" i="55"/>
  <c r="B317" i="55" l="1"/>
  <c r="A316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B331" i="55" l="1"/>
  <c r="A330" i="55"/>
  <c r="A331" i="55" l="1"/>
  <c r="B332" i="55"/>
  <c r="B333" i="55" l="1"/>
  <c r="A332" i="55"/>
  <c r="A333" i="55" l="1"/>
  <c r="B334" i="55"/>
  <c r="A334" i="55" l="1"/>
  <c r="B335" i="55"/>
  <c r="B336" i="55" l="1"/>
  <c r="A335" i="55"/>
  <c r="A336" i="55" l="1"/>
  <c r="B337" i="55"/>
  <c r="A337" i="55" l="1"/>
  <c r="B338" i="55"/>
  <c r="A338" i="55" l="1"/>
  <c r="B339" i="55"/>
  <c r="B340" i="55" l="1"/>
  <c r="A339" i="55"/>
  <c r="A340" i="55" l="1"/>
  <c r="B341" i="55"/>
  <c r="A341" i="55" l="1"/>
  <c r="B342" i="55"/>
  <c r="B343" i="55" l="1"/>
  <c r="A342" i="55"/>
  <c r="B344" i="55" l="1"/>
  <c r="A343" i="55"/>
  <c r="B345" i="55" l="1"/>
  <c r="A344" i="55"/>
  <c r="A345" i="55" l="1"/>
  <c r="B346" i="55"/>
  <c r="B347" i="55" l="1"/>
  <c r="A346" i="55"/>
  <c r="B348" i="55" l="1"/>
  <c r="A347" i="55"/>
  <c r="A348" i="55" l="1"/>
  <c r="B349" i="55"/>
  <c r="B350" i="55" l="1"/>
  <c r="A349" i="55"/>
  <c r="A350" i="55" l="1"/>
  <c r="B351" i="55"/>
  <c r="B352" i="55" l="1"/>
  <c r="A351" i="55"/>
  <c r="A352" i="55" l="1"/>
  <c r="B353" i="55"/>
  <c r="B354" i="55" l="1"/>
  <c r="A353" i="55"/>
  <c r="B355" i="55" l="1"/>
  <c r="A354" i="55"/>
  <c r="B356" i="55" l="1"/>
  <c r="A355" i="55"/>
  <c r="A356" i="55" l="1"/>
  <c r="B357" i="55"/>
  <c r="B358" i="55" l="1"/>
  <c r="A357" i="55"/>
  <c r="A358" i="55" l="1"/>
  <c r="B359" i="55"/>
  <c r="B360" i="55" l="1"/>
  <c r="A359" i="55"/>
  <c r="B361" i="55" l="1"/>
  <c r="A360" i="55"/>
  <c r="A361" i="55" l="1"/>
  <c r="B362" i="55"/>
  <c r="A362" i="55" l="1"/>
  <c r="B363" i="55"/>
  <c r="B364" i="55" l="1"/>
  <c r="A363" i="55"/>
  <c r="A364" i="55" l="1"/>
  <c r="B365" i="55"/>
  <c r="B366" i="55" l="1"/>
  <c r="A365" i="55"/>
  <c r="B367" i="55" l="1"/>
  <c r="A366" i="55"/>
  <c r="A367" i="55" l="1"/>
  <c r="B368" i="55"/>
  <c r="B369" i="55" l="1"/>
  <c r="A368" i="55"/>
  <c r="A369" i="55" l="1"/>
  <c r="B370" i="55"/>
  <c r="B371" i="55" l="1"/>
  <c r="A370" i="55"/>
  <c r="A371" i="55" l="1"/>
  <c r="B372" i="55"/>
  <c r="B373" i="55" l="1"/>
  <c r="A372" i="55"/>
  <c r="B374" i="55" l="1"/>
  <c r="A373" i="55"/>
  <c r="A374" i="55" l="1"/>
  <c r="B375" i="55"/>
  <c r="B376" i="55" l="1"/>
  <c r="A375" i="55"/>
  <c r="B377" i="55" l="1"/>
  <c r="A376" i="55"/>
  <c r="A377" i="55" l="1"/>
  <c r="B378" i="55"/>
  <c r="A378" i="55" l="1"/>
  <c r="B379" i="55"/>
  <c r="A379" i="55" s="1"/>
  <c r="R260" i="60"/>
  <c r="C260" i="60" s="1"/>
  <c r="C367" i="60" l="1"/>
  <c r="H260" i="60"/>
  <c r="R367" i="60"/>
  <c r="J260" i="60" l="1"/>
  <c r="H367" i="60"/>
  <c r="H369" i="60" s="1"/>
</calcChain>
</file>

<file path=xl/sharedStrings.xml><?xml version="1.0" encoding="utf-8"?>
<sst xmlns="http://schemas.openxmlformats.org/spreadsheetml/2006/main" count="15001" uniqueCount="1294">
  <si>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</si>
  <si>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</si>
  <si>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</si>
  <si>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</si>
  <si>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</si>
  <si>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</si>
  <si>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</si>
  <si>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</si>
  <si>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</si>
  <si>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</si>
  <si>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</si>
  <si>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</si>
  <si>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</si>
  <si>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</si>
  <si>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</si>
  <si>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</si>
  <si>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</si>
  <si>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</si>
  <si>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</si>
  <si>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</si>
  <si>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</si>
  <si>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</si>
  <si>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</si>
  <si>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</si>
  <si>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</si>
  <si>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</si>
  <si>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</si>
  <si>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</si>
  <si>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</si>
  <si>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</si>
  <si>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</si>
  <si>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</si>
  <si>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</si>
  <si>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</si>
  <si>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</si>
  <si>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</si>
  <si>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</si>
  <si>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</si>
  <si>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</si>
  <si>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</si>
  <si>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</si>
  <si>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</si>
  <si>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</si>
  <si>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</si>
  <si>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</si>
  <si>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</si>
  <si>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</si>
  <si>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</si>
  <si>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</si>
  <si>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</si>
  <si>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</si>
  <si>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</si>
  <si>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</si>
  <si>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</si>
  <si>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</si>
  <si>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</si>
  <si>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</si>
  <si>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</si>
  <si>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</si>
  <si>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</si>
  <si>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</si>
  <si>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</si>
  <si>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</si>
  <si>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</si>
  <si>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</si>
  <si>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</si>
  <si>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</si>
  <si>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</si>
  <si>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</si>
  <si>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</si>
  <si>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</si>
  <si>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</si>
  <si>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</si>
  <si>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</si>
  <si>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</si>
  <si>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</si>
  <si>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</si>
  <si>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</si>
  <si>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</si>
  <si>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</si>
  <si>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</si>
  <si>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</si>
  <si>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</si>
  <si>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</si>
  <si>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</si>
  <si>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</si>
  <si>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</si>
  <si>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</si>
  <si>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</si>
  <si>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</si>
  <si>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</si>
  <si>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</si>
  <si>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</si>
  <si>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</si>
  <si>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</si>
  <si>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</si>
  <si>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</si>
  <si>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</si>
  <si>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</si>
  <si>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</si>
  <si>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</si>
  <si>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</si>
  <si>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</si>
  <si>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</si>
  <si>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</si>
  <si>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</si>
  <si>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</si>
  <si>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</si>
  <si>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</si>
  <si>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</si>
  <si>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</si>
  <si>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</si>
  <si>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</si>
  <si>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</si>
  <si>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</si>
  <si>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</si>
  <si>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</si>
  <si>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</si>
  <si>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</si>
  <si>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</si>
  <si>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</si>
  <si>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</si>
  <si>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</si>
  <si>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</si>
  <si>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</si>
  <si>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</si>
  <si>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</si>
  <si>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</si>
  <si>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</si>
  <si>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</si>
  <si>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</si>
  <si>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</si>
  <si>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</si>
  <si>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</si>
  <si>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</si>
  <si>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</si>
  <si>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</si>
  <si>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</si>
  <si>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</si>
  <si>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</si>
  <si>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</si>
  <si>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</si>
  <si>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</si>
  <si>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</si>
  <si>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</si>
  <si>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</si>
  <si>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</si>
  <si>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</si>
  <si>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</si>
  <si>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</si>
  <si>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</si>
  <si>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</si>
  <si>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</si>
  <si>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</si>
  <si>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</si>
  <si>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</si>
  <si>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</si>
  <si>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</si>
  <si>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</si>
  <si>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</si>
  <si>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</si>
  <si>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</si>
  <si>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</si>
  <si>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</si>
  <si>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</si>
  <si>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</si>
  <si>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</si>
  <si>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</si>
  <si>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</si>
  <si>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</si>
  <si>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</si>
  <si>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</si>
  <si>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</si>
  <si>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</si>
  <si>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</si>
  <si>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</si>
  <si>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</si>
  <si>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</si>
  <si>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</si>
  <si>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</si>
  <si>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</si>
  <si>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</si>
  <si>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</si>
  <si>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</si>
  <si>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</si>
  <si>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</si>
  <si>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</si>
  <si>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</si>
  <si>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</si>
  <si>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</si>
  <si>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</si>
  <si>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</si>
  <si>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</si>
  <si>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</si>
  <si>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</si>
  <si>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</si>
  <si>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</si>
  <si>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</si>
  <si>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</si>
  <si>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</si>
  <si>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</si>
  <si>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</si>
  <si>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</si>
  <si>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</si>
  <si>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</si>
  <si>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</si>
  <si>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</si>
  <si>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</si>
  <si>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</si>
  <si>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</si>
  <si>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</si>
  <si>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</si>
  <si>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</si>
  <si>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</si>
  <si>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</si>
  <si>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</si>
  <si>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</si>
  <si>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</si>
  <si>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</si>
  <si>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</si>
  <si>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</si>
  <si>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</si>
  <si>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</si>
  <si>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</si>
  <si>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</si>
  <si>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</si>
  <si>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</si>
  <si>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</si>
  <si>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</si>
  <si>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</si>
  <si>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</si>
  <si>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</si>
  <si>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</si>
  <si>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</si>
  <si>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</si>
  <si>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</si>
  <si>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</si>
  <si>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</si>
  <si>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</si>
  <si>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</si>
  <si>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</si>
  <si>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</si>
  <si>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</si>
  <si>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</si>
  <si>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</si>
  <si>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</si>
  <si>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</si>
  <si>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</si>
  <si>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</si>
  <si>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</si>
  <si>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</si>
  <si>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</si>
  <si>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</si>
  <si>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</si>
  <si>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</si>
  <si>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</si>
  <si>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</si>
  <si>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</si>
  <si>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</si>
  <si>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</si>
  <si>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</si>
  <si>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</si>
  <si>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</si>
  <si>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</si>
  <si>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</si>
  <si>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</si>
  <si>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</si>
  <si>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</si>
  <si>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</si>
  <si>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</si>
  <si>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</si>
  <si>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</si>
  <si>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</si>
  <si>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</si>
  <si>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</si>
  <si>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</si>
  <si>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</si>
  <si>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</si>
  <si>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</si>
  <si>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</si>
  <si>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</si>
  <si>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</si>
  <si>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</si>
  <si>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</si>
  <si>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</si>
  <si>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</si>
  <si>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</si>
  <si>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</si>
  <si>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</si>
  <si>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</si>
  <si>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</si>
  <si>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</si>
  <si>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</si>
  <si>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</si>
  <si>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</si>
  <si>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</si>
  <si>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</si>
  <si>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</si>
  <si>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</si>
  <si>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</si>
  <si>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</si>
  <si>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</si>
  <si>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</si>
  <si>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</si>
  <si>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</si>
  <si>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</si>
  <si>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</si>
  <si>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</si>
  <si>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</si>
  <si>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</si>
  <si>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</si>
  <si>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</si>
  <si>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</si>
  <si>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</si>
  <si>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</si>
  <si>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</si>
  <si>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</si>
  <si>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</si>
  <si>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</si>
  <si>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</si>
  <si>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</si>
  <si>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</si>
  <si>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</si>
  <si>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</si>
  <si>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</si>
  <si>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</si>
  <si>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</si>
  <si>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</si>
  <si>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</si>
  <si>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</si>
  <si>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</si>
  <si>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</si>
  <si>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</si>
  <si>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</si>
  <si>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</si>
  <si>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</si>
  <si>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</si>
  <si>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</si>
  <si>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</si>
  <si>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</si>
  <si>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</si>
  <si>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</si>
  <si>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</si>
  <si>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</si>
  <si>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</si>
  <si>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</si>
  <si>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</si>
  <si>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</si>
  <si>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</si>
  <si>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</si>
  <si>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</si>
  <si>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</si>
  <si>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</si>
  <si>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</si>
  <si>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</si>
  <si>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</si>
  <si>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</si>
  <si>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</si>
  <si>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</si>
  <si>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</si>
  <si>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</si>
  <si>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</si>
  <si>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</si>
  <si>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</si>
  <si>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</si>
  <si>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</si>
  <si>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</si>
  <si>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</si>
  <si>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</si>
  <si>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</si>
  <si>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</si>
  <si>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</si>
  <si>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</si>
  <si>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Kẽm đóng bao bì</t>
  </si>
  <si>
    <t>VAT Kẽm đóng bao bì</t>
  </si>
  <si>
    <t>DNTN SX-TM-DV Dây Đông Nam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</si>
  <si>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</si>
  <si>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</si>
  <si>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</si>
  <si>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</si>
  <si>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</si>
  <si>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</si>
  <si>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</si>
  <si>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</si>
  <si>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</si>
  <si>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</si>
  <si>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</si>
  <si>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</si>
  <si>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</si>
  <si>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</si>
  <si>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</si>
  <si>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</si>
  <si>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Máy In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</si>
  <si>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</si>
  <si>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</si>
  <si>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</si>
  <si>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</si>
  <si>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</si>
  <si>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</si>
  <si>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</si>
  <si>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</si>
  <si>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</si>
  <si>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</si>
  <si>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</si>
  <si>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</si>
  <si>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</si>
  <si>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</si>
  <si>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</si>
  <si>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</si>
  <si>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</si>
  <si>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</si>
  <si>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</si>
  <si>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</si>
  <si>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</si>
  <si>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</si>
  <si>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</si>
  <si>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</si>
  <si>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</si>
  <si>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</si>
  <si>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</si>
  <si>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</si>
  <si>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</si>
  <si>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</si>
  <si>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</si>
  <si>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</si>
  <si>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</si>
  <si>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</si>
  <si>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</si>
  <si>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</si>
  <si>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</si>
  <si>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Liên Doanh Wufeng VN</t>
  </si>
  <si>
    <t>Cty CP Tuấn Ân Long An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</si>
  <si>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</si>
  <si>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</si>
  <si>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</si>
  <si>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</si>
  <si>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</si>
  <si>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</si>
  <si>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</si>
  <si>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</si>
  <si>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</si>
  <si>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</si>
  <si>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</si>
  <si>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</si>
  <si>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</si>
  <si>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</si>
  <si>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</si>
  <si>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</si>
  <si>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</si>
  <si>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</si>
  <si>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</si>
  <si>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</si>
  <si>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</si>
  <si>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</si>
  <si>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</si>
  <si>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</si>
  <si>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</si>
  <si>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</si>
  <si>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</si>
  <si>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</si>
  <si>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</si>
  <si>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</si>
  <si>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</si>
  <si>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</si>
  <si>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</si>
  <si>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</si>
  <si>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</si>
  <si>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</si>
  <si>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</si>
  <si>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</si>
  <si>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0000012</t>
  </si>
  <si>
    <t>0000016</t>
  </si>
  <si>
    <t>T07</t>
  </si>
  <si>
    <t>T08</t>
  </si>
  <si>
    <t>T09</t>
  </si>
  <si>
    <t>T10</t>
  </si>
  <si>
    <t>T06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</si>
  <si>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</si>
  <si>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</si>
  <si>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</si>
  <si>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</si>
  <si>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</si>
  <si>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</si>
  <si>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VAT Giấy 5 lớp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</si>
  <si>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</si>
  <si>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</si>
  <si>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</si>
  <si>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</si>
  <si>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</si>
  <si>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</si>
  <si>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</si>
  <si>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</si>
  <si>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</si>
  <si>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</si>
  <si>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</si>
  <si>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</si>
  <si>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</si>
  <si>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</si>
  <si>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</si>
  <si>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</si>
  <si>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</si>
  <si>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</si>
  <si>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</si>
  <si>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</si>
  <si>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</si>
  <si>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</si>
  <si>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</si>
  <si>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</si>
  <si>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</si>
  <si>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</si>
  <si>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</si>
  <si>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</si>
  <si>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</si>
  <si>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</si>
  <si>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</si>
  <si>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</si>
  <si>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</si>
  <si>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</si>
  <si>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</si>
  <si>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</si>
  <si>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</si>
  <si>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</si>
  <si>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</si>
  <si>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</si>
  <si>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</si>
  <si>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</si>
  <si>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</si>
  <si>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</si>
  <si>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</si>
  <si>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</si>
  <si>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</si>
  <si>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</si>
  <si>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</si>
  <si>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</si>
  <si>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</si>
  <si>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</si>
  <si>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</si>
  <si>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</si>
  <si>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</si>
  <si>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</si>
  <si>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</si>
  <si>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</si>
  <si>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</si>
  <si>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</si>
  <si>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</si>
  <si>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</si>
  <si>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</si>
  <si>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</si>
  <si>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</si>
  <si>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</si>
  <si>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</si>
  <si>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</si>
  <si>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</si>
  <si>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</si>
  <si>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</si>
  <si>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</si>
  <si>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</si>
  <si>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</si>
  <si>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</si>
  <si>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</si>
  <si>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</si>
  <si>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</si>
  <si>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</si>
  <si>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</si>
  <si>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</si>
  <si>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</si>
  <si>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</si>
  <si>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</si>
  <si>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</si>
  <si>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</si>
  <si>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</si>
  <si>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</si>
  <si>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</si>
  <si>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</si>
  <si>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</si>
  <si>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</si>
  <si>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</si>
  <si>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</si>
  <si>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</si>
  <si>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</si>
  <si>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</si>
  <si>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</si>
  <si>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</si>
  <si>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</si>
  <si>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</si>
  <si>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</si>
  <si>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</si>
  <si>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</si>
  <si>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</si>
  <si>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</si>
  <si>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</si>
  <si>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</si>
  <si>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</si>
  <si>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</si>
  <si>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</si>
  <si>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</si>
  <si>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</si>
  <si>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</si>
  <si>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</si>
  <si>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</si>
  <si>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</si>
  <si>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</si>
  <si>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</si>
  <si>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</si>
  <si>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</si>
  <si>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</si>
  <si>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</si>
  <si>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</si>
  <si>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</si>
  <si>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</si>
  <si>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</si>
  <si>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</si>
  <si>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</si>
  <si>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</si>
  <si>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</si>
  <si>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</si>
  <si>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</si>
  <si>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</si>
  <si>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</si>
  <si>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</si>
  <si>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</si>
  <si>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</si>
  <si>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</si>
  <si>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</si>
  <si>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</si>
  <si>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</si>
  <si>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</si>
  <si>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</si>
  <si>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</si>
  <si>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</si>
  <si>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</si>
  <si>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</si>
  <si>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</si>
  <si>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</si>
  <si>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</si>
  <si>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</si>
  <si>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</si>
  <si>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</si>
  <si>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</si>
  <si>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</si>
  <si>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</si>
  <si>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</si>
  <si>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</si>
  <si>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</si>
  <si>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</si>
  <si>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</si>
  <si>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</si>
  <si>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</si>
  <si>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</si>
  <si>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</si>
  <si>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</si>
  <si>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</si>
  <si>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</si>
  <si>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</si>
  <si>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</si>
  <si>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</si>
  <si>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</si>
  <si>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</si>
  <si>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</si>
  <si>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</si>
  <si>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</si>
  <si>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</si>
  <si>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</si>
  <si>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</si>
  <si>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</si>
  <si>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</si>
  <si>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</si>
  <si>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</si>
  <si>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</si>
  <si>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</si>
  <si>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</si>
  <si>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</si>
  <si>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</si>
  <si>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</si>
  <si>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</si>
  <si>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</si>
  <si>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</si>
  <si>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</si>
  <si>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</si>
  <si>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</si>
  <si>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</si>
  <si>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</si>
  <si>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</si>
  <si>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</si>
  <si>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</si>
  <si>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</si>
  <si>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</si>
  <si>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</si>
  <si>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</si>
  <si>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</si>
  <si>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</si>
  <si>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</si>
  <si>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</si>
  <si>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</si>
  <si>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</si>
  <si>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</si>
  <si>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</si>
  <si>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</si>
  <si>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</si>
  <si>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</si>
  <si>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</si>
  <si>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</si>
  <si>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</si>
  <si>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</si>
  <si>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</si>
  <si>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</si>
  <si>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</si>
  <si>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</si>
  <si>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</si>
  <si>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</si>
  <si>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</si>
  <si>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</si>
  <si>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</si>
  <si>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</si>
  <si>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</si>
  <si>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</si>
  <si>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</si>
  <si>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</si>
  <si>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</si>
  <si>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</si>
  <si>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</si>
  <si>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</si>
  <si>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</si>
  <si>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</si>
  <si>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</si>
  <si>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</si>
  <si>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</si>
  <si>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</si>
  <si>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</si>
  <si>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</si>
  <si>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</si>
  <si>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</si>
  <si>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</si>
  <si>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</si>
  <si>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</si>
  <si>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</si>
  <si>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</si>
  <si>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</si>
  <si>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</si>
  <si>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</si>
  <si>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</si>
  <si>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</si>
  <si>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</si>
  <si>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</si>
  <si>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</si>
  <si>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</si>
  <si>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</si>
  <si>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</si>
  <si>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</si>
  <si>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</si>
  <si>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</si>
  <si>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</si>
  <si>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</si>
  <si>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</si>
  <si>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</si>
  <si>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</si>
  <si>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</si>
  <si>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</si>
  <si>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</si>
  <si>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</si>
  <si>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</si>
  <si>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</si>
  <si>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</si>
  <si>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</si>
  <si>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</si>
  <si>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</si>
  <si>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</si>
  <si>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</si>
  <si>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</si>
  <si>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</si>
  <si>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0000280</t>
  </si>
  <si>
    <t>Cty TNHH TM KT Quang Bào</t>
  </si>
  <si>
    <t>0000281</t>
  </si>
  <si>
    <t>Thùng (65x50x35)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</si>
  <si>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</si>
  <si>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</si>
  <si>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</si>
  <si>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</si>
  <si>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</si>
  <si>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</si>
  <si>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0000287</t>
  </si>
  <si>
    <t>0000288</t>
  </si>
  <si>
    <t>Thùng (35x27x24)</t>
  </si>
  <si>
    <t>Thùng (18x18x26)</t>
  </si>
  <si>
    <t>Thùng (18x28x26)</t>
  </si>
  <si>
    <t>0000290</t>
  </si>
  <si>
    <t>0000291</t>
  </si>
  <si>
    <t>0000292</t>
  </si>
  <si>
    <t>Cty CP Nam Đô</t>
  </si>
  <si>
    <t>0000293</t>
  </si>
  <si>
    <t>0000294</t>
  </si>
  <si>
    <t>Cty TNHH SX TMDV SaLe Diêng ViNa</t>
  </si>
  <si>
    <t>Cty CP mỹ phẩm Phúc Ân</t>
  </si>
  <si>
    <t>Thùng (55,5x33x21,5)</t>
  </si>
  <si>
    <t>0000296</t>
  </si>
  <si>
    <t>Thùng (53x40,5x18)</t>
  </si>
  <si>
    <t>0000297</t>
  </si>
  <si>
    <t>0000299</t>
  </si>
  <si>
    <t>0000298</t>
  </si>
  <si>
    <t>Tấm lót (40x30)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</si>
  <si>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</si>
  <si>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</si>
  <si>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</si>
  <si>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</si>
  <si>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</si>
  <si>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</si>
  <si>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</si>
  <si>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0000306</t>
  </si>
  <si>
    <t>Thùng (52x26x24,5)</t>
  </si>
  <si>
    <t>0000307</t>
  </si>
  <si>
    <t>Thùng (28x28x32)</t>
  </si>
  <si>
    <t>0000308</t>
  </si>
  <si>
    <t>Thùng (35x35x29)</t>
  </si>
  <si>
    <t>0000310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</si>
  <si>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</si>
  <si>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</si>
  <si>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</si>
  <si>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</si>
  <si>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</si>
  <si>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</si>
  <si>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</si>
  <si>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</si>
  <si>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</si>
  <si>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</si>
  <si>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</si>
  <si>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</si>
  <si>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</si>
  <si>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</si>
  <si>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</si>
  <si>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</si>
  <si>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</si>
  <si>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</si>
  <si>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</si>
  <si>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</si>
  <si>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0000321</t>
  </si>
  <si>
    <t>0000323</t>
  </si>
  <si>
    <t>Thùng (49x38x12)</t>
  </si>
  <si>
    <t>0000324</t>
  </si>
  <si>
    <t>Thùng 3L</t>
  </si>
  <si>
    <t>0000326</t>
  </si>
  <si>
    <t>0000328</t>
  </si>
  <si>
    <t>Thùng (68x35x18)</t>
  </si>
  <si>
    <t>Thùng (61x30x23)</t>
  </si>
  <si>
    <t>0000329</t>
  </si>
  <si>
    <t>Thùng (24x24x33)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</si>
  <si>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</si>
  <si>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</si>
  <si>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</si>
  <si>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</si>
  <si>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</si>
  <si>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</si>
  <si>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</si>
  <si>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</si>
  <si>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</si>
  <si>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</si>
  <si>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0000337</t>
  </si>
  <si>
    <t>0000338</t>
  </si>
  <si>
    <t>0000343</t>
  </si>
  <si>
    <t>0000344</t>
  </si>
  <si>
    <t>Thùng (58x40x53)</t>
  </si>
  <si>
    <t>0000345</t>
  </si>
  <si>
    <t>0000346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</si>
  <si>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</si>
  <si>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</si>
  <si>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</si>
  <si>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</si>
  <si>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</si>
  <si>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</si>
  <si>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</si>
  <si>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(52x42x29)</t>
  </si>
  <si>
    <t>Thùng (50x25x46)</t>
  </si>
  <si>
    <t>0000353</t>
  </si>
  <si>
    <t>0000354</t>
  </si>
  <si>
    <t>0000355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</si>
  <si>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</si>
  <si>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</si>
  <si>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</si>
  <si>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</si>
  <si>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</si>
  <si>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</si>
  <si>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</si>
  <si>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</si>
  <si>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</si>
  <si>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</si>
  <si>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</si>
  <si>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</si>
  <si>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</si>
  <si>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(51,5x26x26)</t>
  </si>
  <si>
    <t>0000359</t>
  </si>
  <si>
    <t>0000360</t>
  </si>
  <si>
    <t>0000362</t>
  </si>
  <si>
    <t>0000363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</si>
  <si>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</si>
  <si>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</si>
  <si>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</si>
  <si>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</si>
  <si>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</si>
  <si>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</si>
  <si>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</si>
  <si>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0000370</t>
  </si>
  <si>
    <t>0000371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</si>
  <si>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</si>
  <si>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</si>
  <si>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</si>
  <si>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</si>
  <si>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</si>
  <si>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</si>
  <si>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</si>
  <si>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(110x22x22)</t>
  </si>
  <si>
    <t>0000377</t>
  </si>
  <si>
    <t>0000379</t>
  </si>
  <si>
    <t>0000381</t>
  </si>
  <si>
    <t>0000383</t>
  </si>
  <si>
    <t>0000384</t>
  </si>
  <si>
    <t>Cty TNHH TM DV Phi Nguyễn</t>
  </si>
  <si>
    <t>0000385</t>
  </si>
  <si>
    <t>0000388</t>
  </si>
  <si>
    <t>0000389</t>
  </si>
  <si>
    <t>Thùng (53x30,5x20)</t>
  </si>
  <si>
    <t>0000390</t>
  </si>
  <si>
    <t>Thùng (40x25,5x24)</t>
  </si>
  <si>
    <t>0000391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</si>
  <si>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</si>
  <si>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</si>
  <si>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</si>
  <si>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</si>
  <si>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</si>
  <si>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</si>
  <si>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</si>
  <si>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</si>
  <si>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</si>
  <si>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</si>
  <si>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</si>
  <si>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</si>
  <si>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</si>
  <si>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</si>
  <si>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</si>
  <si>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</si>
  <si>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</si>
  <si>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</si>
  <si>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</si>
  <si>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</si>
  <si>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</si>
  <si>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</si>
  <si>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</si>
  <si>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</si>
  <si>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</si>
  <si>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</si>
  <si>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</si>
  <si>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</si>
  <si>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</si>
  <si>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</si>
  <si>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</si>
  <si>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</si>
  <si>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</si>
  <si>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</si>
  <si>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</si>
  <si>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</si>
  <si>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</si>
  <si>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</si>
  <si>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</si>
  <si>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</si>
  <si>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</si>
  <si>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</si>
  <si>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</si>
  <si>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</si>
  <si>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</si>
  <si>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</si>
  <si>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</si>
  <si>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</si>
  <si>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</si>
  <si>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</si>
  <si>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</si>
  <si>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</si>
  <si>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</si>
  <si>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</si>
  <si>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</si>
  <si>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</si>
  <si>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</si>
  <si>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</si>
  <si>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</si>
  <si>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</si>
  <si>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</si>
  <si>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</si>
  <si>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0000443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</si>
  <si>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</si>
  <si>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</si>
  <si>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</si>
  <si>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</si>
  <si>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</si>
  <si>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</si>
  <si>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(263x49x51)</t>
  </si>
  <si>
    <t>Thùng (311x49x51)</t>
  </si>
  <si>
    <t>0000448</t>
  </si>
  <si>
    <t>0000450</t>
  </si>
  <si>
    <t>0000451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</si>
  <si>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</si>
  <si>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</si>
  <si>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</si>
  <si>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</si>
  <si>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</si>
  <si>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</si>
  <si>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</si>
  <si>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</si>
  <si>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</si>
  <si>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</si>
  <si>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</si>
  <si>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</si>
  <si>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</si>
  <si>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</si>
  <si>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</si>
  <si>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</si>
  <si>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</si>
  <si>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</si>
  <si>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</si>
  <si>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</si>
  <si>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</si>
  <si>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</si>
  <si>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</si>
  <si>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</si>
  <si>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</si>
  <si>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</si>
  <si>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</si>
  <si>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</si>
  <si>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0000474</t>
  </si>
  <si>
    <t>0000478</t>
  </si>
  <si>
    <t>Thùng (50x34x55)</t>
  </si>
  <si>
    <t>0000479</t>
  </si>
  <si>
    <t>0000481</t>
  </si>
  <si>
    <t>0000482</t>
  </si>
  <si>
    <t>0000485</t>
  </si>
  <si>
    <t>0000486</t>
  </si>
  <si>
    <t>0000487</t>
  </si>
  <si>
    <t>0000489</t>
  </si>
  <si>
    <t>0000490</t>
  </si>
  <si>
    <t>0000492</t>
  </si>
  <si>
    <t>Thùng carton cho valve 72</t>
  </si>
  <si>
    <t>0000493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</si>
  <si>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</si>
  <si>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</si>
  <si>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</si>
  <si>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</si>
  <si>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</si>
  <si>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</si>
  <si>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</si>
  <si>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</si>
  <si>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</si>
  <si>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</si>
  <si>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</si>
  <si>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</si>
  <si>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</si>
  <si>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</si>
  <si>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</si>
  <si>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</si>
  <si>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</si>
  <si>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</si>
  <si>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</si>
  <si>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</si>
  <si>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</si>
  <si>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</si>
  <si>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</si>
  <si>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</si>
  <si>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</si>
  <si>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</si>
  <si>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</si>
  <si>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</si>
  <si>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</si>
  <si>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</si>
  <si>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</si>
  <si>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</si>
  <si>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</si>
  <si>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</si>
  <si>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</si>
  <si>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</si>
  <si>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</si>
  <si>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</si>
  <si>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</si>
  <si>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</si>
  <si>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</si>
  <si>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</si>
  <si>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</si>
  <si>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</si>
  <si>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</si>
  <si>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</si>
  <si>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</si>
  <si>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</si>
  <si>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</si>
  <si>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</si>
  <si>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</si>
  <si>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</si>
  <si>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</si>
  <si>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</si>
  <si>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</si>
  <si>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</si>
  <si>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</si>
  <si>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</si>
  <si>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</si>
  <si>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</si>
  <si>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</si>
  <si>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</si>
  <si>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</si>
  <si>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</si>
  <si>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</si>
  <si>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</si>
  <si>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</si>
  <si>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</si>
  <si>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</si>
  <si>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</si>
  <si>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</si>
  <si>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Cty TNHH TM DV An Vinh</t>
  </si>
  <si>
    <t xml:space="preserve">Cty TNHH Tân Mậu Hưng </t>
  </si>
  <si>
    <t>Cty TNHH Thức Ăn Chăn Nuôi Kyodo Sojitz</t>
  </si>
  <si>
    <t>Cty TNHH SX-TM Bao Bì Phương Nam</t>
  </si>
  <si>
    <t>NĂM 2013</t>
  </si>
  <si>
    <t>0000393</t>
  </si>
  <si>
    <t>0000394</t>
  </si>
  <si>
    <t>0000395</t>
  </si>
  <si>
    <t>0000396</t>
  </si>
  <si>
    <t>0000397</t>
  </si>
  <si>
    <t>Thùng (51.5x34x24)</t>
  </si>
  <si>
    <t>Thùng (51.5x22x32)</t>
  </si>
  <si>
    <t>0000398</t>
  </si>
  <si>
    <t>0000399</t>
  </si>
  <si>
    <t>0000400</t>
  </si>
  <si>
    <t>0000409</t>
  </si>
  <si>
    <t>Thùng (36x27.5x24.5)</t>
  </si>
  <si>
    <t>Thùng (43.5x41x23.5)</t>
  </si>
  <si>
    <t>Thùng (54.5x36.5x23.5)</t>
  </si>
  <si>
    <t>Thùng (48x47x54.5)</t>
  </si>
  <si>
    <t>Thùng (43x27.5x33)</t>
  </si>
  <si>
    <t>Thùng (48x38.5x54.5)</t>
  </si>
  <si>
    <t>Thùng (39.5x32.3x27.7)</t>
  </si>
  <si>
    <t>Thùng (49.5x38.5x32.5)</t>
  </si>
  <si>
    <t>Thùng (32.5x32.5x16)</t>
  </si>
  <si>
    <t>Thùng (54.5x46.3x48.5)</t>
  </si>
  <si>
    <t>Hộp công tơ điện (37x17x68)</t>
  </si>
  <si>
    <t>Thùng (22x22x51.5)</t>
  </si>
  <si>
    <t>Thùng (24x24x40.5)</t>
  </si>
  <si>
    <t>Thùng (24x24x42.5)</t>
  </si>
  <si>
    <t>Thùng (36.5x32.5x33.5)</t>
  </si>
  <si>
    <t>Thùng (46x23x15.3)</t>
  </si>
  <si>
    <t>Thùng (26x23x15.3)</t>
  </si>
  <si>
    <t>Thùng (41.5x31.5x33.5)</t>
  </si>
  <si>
    <t>Thùng (37x33x38.5)</t>
  </si>
  <si>
    <t>Thùng (41.5x31.5x35)</t>
  </si>
  <si>
    <t>Thùng (44.5x25x33.5)</t>
  </si>
  <si>
    <t>Thùng (27x27x35.5)</t>
  </si>
  <si>
    <t>Thùng (27x18x35.5)</t>
  </si>
  <si>
    <t>Thùng (37x24.5x23.5)</t>
  </si>
  <si>
    <t>Thùng (44x18x29.5)</t>
  </si>
  <si>
    <t>Thùng (37.3x24.8x23.8)</t>
  </si>
  <si>
    <t>Thùng (30.5x22.5x23.5)</t>
  </si>
  <si>
    <t>Thùng (36.1x25.3x24)</t>
  </si>
  <si>
    <t>Thùng (26x19.5x10)</t>
  </si>
  <si>
    <t>Thùng (29.5x24x19)</t>
  </si>
  <si>
    <t>Thùng (32.5x22.5x35)</t>
  </si>
  <si>
    <t>Thùng (32.5x23.5x12)</t>
  </si>
  <si>
    <t>Thùng (32.5x23.5x11)</t>
  </si>
  <si>
    <t>Thùng (37x18.5x26)</t>
  </si>
  <si>
    <t>Thùng (38x15.5x8)</t>
  </si>
  <si>
    <t>Thùng (39.5x26x24.5)</t>
  </si>
  <si>
    <t>Thùng (40x17.5x48)</t>
  </si>
  <si>
    <t>Thùng (40x17.5x9)</t>
  </si>
  <si>
    <t>Thùng (51.5x24x24)</t>
  </si>
  <si>
    <t>BẢNG TÍNH GIÁ THÀNH SP QUÝ I/2013</t>
  </si>
  <si>
    <t>BẢNG TÍNH GIÁ THÀNH SP QUÝ II/2013</t>
  </si>
  <si>
    <t>BẢNG TÍNH GIÁ THÀNH SP QUÝ IV/2013</t>
  </si>
  <si>
    <t>Giấy carton (100x124)</t>
  </si>
  <si>
    <t>tấm</t>
  </si>
  <si>
    <t>Giấy carton (105x171)</t>
  </si>
  <si>
    <t>Giấy carton (105x196)</t>
  </si>
  <si>
    <t>Giấy carton (115x181)</t>
  </si>
  <si>
    <t>Giấy carton (135x210)</t>
  </si>
  <si>
    <t>Giấy carton (85x246)</t>
  </si>
  <si>
    <t>Giấy tấm 1 trắng + 2 xeo 150 + 1 xeo 110 + 1 vàng (1490x1300)</t>
  </si>
  <si>
    <t>Giấy tấm 2 vàng - 3 xeo (1810x1150)</t>
  </si>
  <si>
    <t>Giấy tấm 2 vàng - 3 xeo (2020x1350)</t>
  </si>
  <si>
    <t>Giấy tấm 2 vàng - 3 xeo (2280x1500)</t>
  </si>
  <si>
    <t>Giấy tấm 2 vàng - 3 xeo (2280x900)</t>
  </si>
  <si>
    <t>Giấy tấm 3 lớp (100x100)</t>
  </si>
  <si>
    <t>Giấy tấm 3 lớp (122x95)</t>
  </si>
  <si>
    <t>Giấy tấm 3 lớp (125x90)</t>
  </si>
  <si>
    <t>Giấy tấm 3 lớp (127x100)</t>
  </si>
  <si>
    <t>Giấy tấm 3 lớp (127x105)</t>
  </si>
  <si>
    <t>Giấy tấm 3 lớp (127x145)</t>
  </si>
  <si>
    <t>Giấy tấm 3 lớp (134x160)</t>
  </si>
  <si>
    <t>Giấy tấm 3 lớp (135x100)</t>
  </si>
  <si>
    <t>Giấy tấm 3 lớp (135x174)</t>
  </si>
  <si>
    <t>Giấy tấm 3 lớp (140x180)</t>
  </si>
  <si>
    <t>Giấy tấm 3 lớp (140x85)</t>
  </si>
  <si>
    <t>Giấy tấm 3 lớp (148x100)</t>
  </si>
  <si>
    <t>Giấy tấm 3 lớp (150x125)</t>
  </si>
  <si>
    <t>Giấy tấm 3 lớp (151x90)</t>
  </si>
  <si>
    <t>Giấy tấm 3 lớp (156x100)</t>
  </si>
  <si>
    <t>Giấy tấm 3 lớp (160x145)</t>
  </si>
  <si>
    <t>Giấy tấm 3 lớp (161x100)</t>
  </si>
  <si>
    <t>Giấy tấm 3 lớp (161x160)</t>
  </si>
  <si>
    <t>Giấy tấm 3 lớp (162x110)</t>
  </si>
  <si>
    <t>Giấy tấm 3 lớp (162x80)</t>
  </si>
  <si>
    <t>Giấy tấm 3 lớp (164x145)</t>
  </si>
  <si>
    <t>Giấy tấm 3 lớp (168x90)</t>
  </si>
  <si>
    <t>Giấy tấm 3 lớp (169x105)</t>
  </si>
  <si>
    <t>Giấy tấm 3 lớp (170x155)</t>
  </si>
  <si>
    <t>Giấy tấm 3 lớp (174x115)</t>
  </si>
  <si>
    <t>Giấy tấm 3 lớp (184x145)</t>
  </si>
  <si>
    <t>Giấy tấm 3 lớp (184x95)</t>
  </si>
  <si>
    <t>Giấy tấm 3 lớp (190x115)</t>
  </si>
  <si>
    <t>Giấy tấm 3 lớp (190x130)</t>
  </si>
  <si>
    <t>Giấy tấm 3 lớp (194x145)</t>
  </si>
  <si>
    <t>Giấy tấm 3 lớp (196x145)</t>
  </si>
  <si>
    <t>Giấy tấm 3 lớp (217x160)</t>
  </si>
  <si>
    <t>Giấy tấm 3 lớp (219x160)</t>
  </si>
  <si>
    <t>Giấy tấm 3 lớp (222x105)</t>
  </si>
  <si>
    <t>Giấy tấm 3 lớp (224x145)</t>
  </si>
  <si>
    <t>Giấy tấm 3 lớp (224x85)</t>
  </si>
  <si>
    <t>Giấy tấm 3 lớp (225x85)</t>
  </si>
  <si>
    <t>Giấy tấm 3 lớp (273x95)</t>
  </si>
  <si>
    <t>Giấy tấm 3 lớp (72x145)</t>
  </si>
  <si>
    <t>Giấy tấm 3 lớp (74x105)</t>
  </si>
  <si>
    <t>Giấy tấm 3 lớp (85x202)</t>
  </si>
  <si>
    <t>Giấy tấm 3 lớp (85x230)</t>
  </si>
  <si>
    <t>Giấy tấm 5 lớp (120x145)</t>
  </si>
  <si>
    <t>Giấy tấm 5 lớp (122x95)</t>
  </si>
  <si>
    <t>Giấy tấm 5 lớp (123x80)</t>
  </si>
  <si>
    <t>Giấy tấm 5 lớp (125x140)</t>
  </si>
  <si>
    <t>Giấy tấm 5 lớp (126x130)</t>
  </si>
  <si>
    <t>Giấy tấm 5 lớp (129x95)</t>
  </si>
  <si>
    <t>Giấy tấm 5 lớp (132x105)</t>
  </si>
  <si>
    <t>Giấy tấm 5 lớp (132x125)</t>
  </si>
  <si>
    <t>Giấy tấm 5 lớp (136x90)</t>
  </si>
  <si>
    <t>Giấy tấm 5 lớp (138x160)</t>
  </si>
  <si>
    <t>Giấy tấm 5 lớp (138x80)</t>
  </si>
  <si>
    <t>Giấy tấm 5 lớp (139x90)</t>
  </si>
  <si>
    <t>Giấy tấm 5 lớp (141x110)</t>
  </si>
  <si>
    <t>Giấy tấm 5 lớp (145x125)</t>
  </si>
  <si>
    <t>Giấy tấm 5 lớp (147x85)</t>
  </si>
  <si>
    <t>Giấy tấm 5 lớp (150x100)</t>
  </si>
  <si>
    <t>Giấy tấm 5 lớp (152x125)</t>
  </si>
  <si>
    <t>Giấy tấm 5 lớp (155x125)</t>
  </si>
  <si>
    <t>Giấy tấm 5 lớp (156x90)</t>
  </si>
  <si>
    <t>Giấy tấm 5 lớp (158x115)</t>
  </si>
  <si>
    <t>Giấy tấm 5 lớp (158x90)</t>
  </si>
  <si>
    <t>Giấy tấm 5 lớp (162x145)</t>
  </si>
  <si>
    <t>Giấy tấm 5 lớp (162x90)</t>
  </si>
  <si>
    <t>Giấy tấm 5 lớp (170x130)</t>
  </si>
  <si>
    <t>Giấy tấm 5 lớp (172x120)</t>
  </si>
  <si>
    <t>Giấy tấm 5 lớp (181x115)</t>
  </si>
  <si>
    <t>Giấy tấm 5 lớp (182x160)</t>
  </si>
  <si>
    <t>Giấy tấm 5 lớp (183x90)</t>
  </si>
  <si>
    <t>Giấy tấm 5 lớp (186x125)</t>
  </si>
  <si>
    <t>Giấy tấm 5 lớp (188x115)</t>
  </si>
  <si>
    <t>Giấy tấm 5 lớp (190x120)</t>
  </si>
  <si>
    <t>Giấy tấm 5 lớp (191x120)</t>
  </si>
  <si>
    <t>Giấy tấm 5 lớp (193x105)</t>
  </si>
  <si>
    <t>Giấy tấm 5 lớp (194x100)</t>
  </si>
  <si>
    <t>Giấy tấm 5 lớp (194x105)</t>
  </si>
  <si>
    <t>Giấy tấm 5 lớp (196x105)</t>
  </si>
  <si>
    <t>Giấy tấm 5 lớp (200x110)</t>
  </si>
  <si>
    <t>Giấy tấm 5 lớp (204x105)</t>
  </si>
  <si>
    <t>Giấy tấm 5 lớp (205x140)</t>
  </si>
  <si>
    <t>Giấy tấm 5 lớp (206x110)</t>
  </si>
  <si>
    <t>Giấy tấm 5 lớp (206x85)</t>
  </si>
  <si>
    <t>Giấy tấm 5 lớp (216x115)</t>
  </si>
  <si>
    <t>Giấy tấm 5 lớp (219x105)</t>
  </si>
  <si>
    <t>Giấy tấm 5 lớp (222x105)</t>
  </si>
  <si>
    <t>Giấy tấm 5 lớp (223x170)</t>
  </si>
  <si>
    <t>Giấy tấm 5 lớp (232x90)</t>
  </si>
  <si>
    <t>Giấy tấm 5 lớp (235x105)</t>
  </si>
  <si>
    <t>Giấy tấm 5 lớp (242x85)</t>
  </si>
  <si>
    <t>Giấy tấm 5 lớp (246x85)</t>
  </si>
  <si>
    <t>Giấy tấm 5 lớp (246x90)</t>
  </si>
  <si>
    <t>Giấy tấm 5 lớp (248x95)</t>
  </si>
  <si>
    <t>Giấy tấm 5 lớp (54x105)</t>
  </si>
  <si>
    <t>Giấy tấm 5 lớp (80x124)</t>
  </si>
  <si>
    <t>Giấy tấm 5 lớp (90x128)</t>
  </si>
  <si>
    <t>Giấy Tampo (1500x1210)</t>
  </si>
  <si>
    <t>Giấy Tampo (1600x1010)</t>
  </si>
  <si>
    <t>Giấy Tampo (1600x960)</t>
  </si>
  <si>
    <t>Giấy Tampo (1800x1180)</t>
  </si>
  <si>
    <t>Giấy Tampo (1800x1240)</t>
  </si>
  <si>
    <t>Thùng carton (110x158)</t>
  </si>
  <si>
    <t>Thùng carton (80x92)</t>
  </si>
  <si>
    <t>BẢNG TÍNH GIÁ THÀNH SP QUÝ III/2013</t>
  </si>
  <si>
    <t>VL/X01</t>
  </si>
  <si>
    <t>Xuất sản xuất</t>
  </si>
  <si>
    <t>Ngày 31 tháng 12 Năm 2013</t>
  </si>
  <si>
    <t>Trích khấu hao TSCĐ Hữu hình</t>
  </si>
  <si>
    <t>Tiền lương BP Văn phòng</t>
  </si>
  <si>
    <t>Tiền lương BP Phân Xưởng &amp; CN</t>
  </si>
  <si>
    <t>Nhập thành phẩm</t>
  </si>
  <si>
    <t>Xuất thành phẩm</t>
  </si>
  <si>
    <t>Tấm carton (12x175)</t>
  </si>
  <si>
    <t>XNL</t>
  </si>
  <si>
    <t>NTP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</si>
</sst>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9" fillId="0" borderId="0"/>
  </cellStyleXfs>
  <cellXfs count="112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1" fillId="0" borderId="2" xfId="93" applyFont="1" applyBorder="1" applyAlignment="1">
      <alignment horizontal="center" vertical="center"/>
    </xf>
    <xf numFmtId="164" fontId="81" fillId="0" borderId="2" xfId="94" applyNumberFormat="1" applyFont="1" applyBorder="1" applyAlignment="1">
      <alignment horizontal="center" vertical="center"/>
    </xf>
    <xf numFmtId="0" fontId="81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2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1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1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1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3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4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5" fillId="0" borderId="0" xfId="85" applyFont="1" applyAlignment="1">
      <alignment vertical="center"/>
    </xf>
    <xf numFmtId="0" fontId="85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164" fontId="87" fillId="0" borderId="0" xfId="77" applyNumberFormat="1" applyFont="1" applyAlignment="1">
      <alignment vertical="center"/>
    </xf>
    <xf numFmtId="164" fontId="88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Alignment="1" applyProtection="1">
      <alignment vertical="center"/>
      <protection hidden="1"/>
    </xf>
    <xf numFmtId="0" fontId="89" fillId="0" borderId="0" xfId="80" applyFont="1" applyAlignment="1" applyProtection="1">
      <alignment horizontal="center" vertical="center"/>
      <protection hidden="1"/>
    </xf>
    <xf numFmtId="0" fontId="90" fillId="0" borderId="0" xfId="77" applyFont="1" applyFill="1" applyBorder="1" applyAlignment="1" applyProtection="1">
      <alignment horizontal="left" vertical="center"/>
      <protection hidden="1"/>
    </xf>
    <xf numFmtId="0" fontId="90" fillId="0" borderId="0" xfId="80" applyFont="1" applyFill="1" applyBorder="1" applyAlignment="1" applyProtection="1">
      <alignment vertical="center"/>
      <protection hidden="1"/>
    </xf>
    <xf numFmtId="164" fontId="91" fillId="0" borderId="0" xfId="77" applyNumberFormat="1" applyFont="1" applyBorder="1" applyAlignment="1" applyProtection="1">
      <alignment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90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2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0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0" fillId="0" borderId="19" xfId="98" applyFont="1" applyFill="1" applyBorder="1" applyAlignment="1">
      <alignment vertical="center"/>
    </xf>
    <xf numFmtId="164" fontId="80" fillId="29" borderId="19" xfId="29" applyNumberFormat="1" applyFont="1" applyFill="1" applyBorder="1" applyAlignment="1">
      <alignment horizontal="right" vertical="center"/>
    </xf>
    <xf numFmtId="164" fontId="80" fillId="0" borderId="19" xfId="29" applyNumberFormat="1" applyFont="1" applyBorder="1" applyAlignment="1">
      <alignment vertical="center"/>
    </xf>
    <xf numFmtId="164" fontId="80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0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92" fillId="0" borderId="0" xfId="0" applyFont="1" applyFill="1"/>
    <xf numFmtId="0" fontId="93" fillId="0" borderId="16" xfId="77" applyNumberFormat="1" applyFont="1" applyFill="1" applyBorder="1" applyAlignment="1">
      <alignment horizontal="center" vertical="center"/>
    </xf>
    <xf numFmtId="0" fontId="94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0" fontId="95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 applyAlignment="1"/>
    <xf numFmtId="0" fontId="96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64" fontId="97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  <xf numFmtId="164" fontId="95" fillId="0" borderId="16" xfId="77" applyNumberFormat="1" applyFont="1" applyFill="1" applyBorder="1" applyAlignment="1">
      <alignment vertical="center"/>
    </xf>
    <xf numFmtId="0" fontId="34" fillId="0" borderId="0" xfId="76" quotePrefix="1" applyNumberFormat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43" fontId="34" fillId="0" borderId="0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64" fontId="39" fillId="0" borderId="0" xfId="29" applyNumberFormat="1" applyFont="1" applyAlignment="1">
      <alignment vertical="center"/>
    </xf>
    <xf numFmtId="0" fontId="43" fillId="0" borderId="16" xfId="0" applyFont="1" applyFill="1" applyBorder="1" applyAlignment="1">
      <alignment horizont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76" fillId="0" borderId="16" xfId="77" applyNumberFormat="1" applyFont="1" applyFill="1" applyBorder="1" applyAlignment="1">
      <alignment horizontal="center" vertical="center"/>
    </xf>
    <xf numFmtId="0" fontId="76" fillId="0" borderId="16" xfId="76" quotePrefix="1" applyNumberFormat="1" applyFont="1" applyFill="1" applyBorder="1" applyAlignment="1">
      <alignment horizontal="center" vertical="center"/>
    </xf>
    <xf numFmtId="0" fontId="76" fillId="0" borderId="0" xfId="76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76" fillId="0" borderId="16" xfId="90" quotePrefix="1" applyNumberFormat="1" applyFont="1" applyFill="1" applyBorder="1" applyAlignment="1">
      <alignment horizontal="left" vertical="center"/>
    </xf>
    <xf numFmtId="0" fontId="95" fillId="0" borderId="16" xfId="0" applyFont="1" applyFill="1" applyBorder="1" applyAlignment="1">
      <alignment horizontal="center"/>
    </xf>
    <xf numFmtId="14" fontId="95" fillId="0" borderId="16" xfId="90" applyNumberFormat="1" applyFont="1" applyFill="1" applyBorder="1" applyAlignment="1">
      <alignment horizontal="center" vertical="center"/>
    </xf>
    <xf numFmtId="14" fontId="95" fillId="0" borderId="16" xfId="76" applyNumberFormat="1" applyFont="1" applyFill="1" applyBorder="1" applyAlignment="1">
      <alignment horizontal="center" vertical="center"/>
    </xf>
    <xf numFmtId="164" fontId="95" fillId="0" borderId="16" xfId="76" applyNumberFormat="1" applyFont="1" applyFill="1" applyBorder="1" applyAlignment="1">
      <alignment horizontal="left" vertical="center"/>
    </xf>
    <xf numFmtId="3" fontId="95" fillId="0" borderId="16" xfId="46" applyFont="1" applyBorder="1" applyAlignment="1">
      <alignment vertical="center"/>
    </xf>
    <xf numFmtId="173" fontId="95" fillId="0" borderId="21" xfId="29" applyNumberFormat="1" applyFont="1" applyBorder="1" applyAlignment="1">
      <alignment horizontal="center" vertical="center"/>
    </xf>
    <xf numFmtId="164" fontId="95" fillId="0" borderId="21" xfId="29" applyNumberFormat="1" applyFont="1" applyBorder="1" applyAlignment="1">
      <alignment horizontal="center" vertical="center"/>
    </xf>
    <xf numFmtId="1" fontId="95" fillId="0" borderId="16" xfId="54" quotePrefix="1" applyNumberFormat="1" applyFont="1" applyFill="1" applyBorder="1" applyAlignment="1">
      <alignment horizontal="center" vertical="center"/>
    </xf>
    <xf numFmtId="0" fontId="95" fillId="0" borderId="0" xfId="76" quotePrefix="1" applyNumberFormat="1" applyFont="1" applyFill="1" applyBorder="1" applyAlignment="1">
      <alignment horizontal="center"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0" applyFont="1" applyBorder="1" applyAlignment="1">
      <alignment vertical="center"/>
    </xf>
    <xf numFmtId="164" fontId="95" fillId="0" borderId="16" xfId="90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horizontal="left" vertical="center"/>
    </xf>
    <xf numFmtId="164" fontId="95" fillId="0" borderId="16" xfId="54" applyNumberFormat="1" applyFont="1" applyFill="1" applyBorder="1" applyAlignment="1">
      <alignment horizontal="left" vertical="center"/>
    </xf>
    <xf numFmtId="164" fontId="95" fillId="0" borderId="16" xfId="0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43" fillId="0" borderId="16" xfId="90" applyNumberFormat="1" applyFont="1" applyFill="1" applyBorder="1" applyAlignment="1">
      <alignment horizontal="center" vertical="center" wrapText="1"/>
    </xf>
    <xf numFmtId="43" fontId="43" fillId="0" borderId="16" xfId="29" applyFont="1" applyFill="1" applyBorder="1" applyAlignment="1">
      <alignment horizontal="left" vertical="center"/>
    </xf>
    <xf numFmtId="164" fontId="43" fillId="0" borderId="16" xfId="54" quotePrefix="1" applyNumberFormat="1" applyFont="1" applyFill="1" applyBorder="1" applyAlignment="1">
      <alignment horizontal="left" vertical="center"/>
    </xf>
    <xf numFmtId="14" fontId="95" fillId="0" borderId="16" xfId="29" applyNumberFormat="1" applyFont="1" applyBorder="1" applyAlignment="1">
      <alignment horizontal="center" vertical="center"/>
    </xf>
    <xf numFmtId="43" fontId="95" fillId="0" borderId="16" xfId="29" applyFont="1" applyFill="1" applyBorder="1" applyAlignment="1">
      <alignment horizontal="left" vertical="center"/>
    </xf>
    <xf numFmtId="164" fontId="95" fillId="0" borderId="16" xfId="90" applyNumberFormat="1" applyFont="1" applyFill="1" applyBorder="1" applyAlignment="1">
      <alignment horizontal="left" vertical="center"/>
    </xf>
    <xf numFmtId="164" fontId="95" fillId="0" borderId="16" xfId="54" quotePrefix="1" applyNumberFormat="1" applyFont="1" applyFill="1" applyBorder="1" applyAlignment="1">
      <alignment horizontal="left" vertical="center"/>
    </xf>
    <xf numFmtId="164" fontId="95" fillId="0" borderId="16" xfId="29" applyNumberFormat="1" applyFont="1" applyFill="1" applyBorder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3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4"/>
    </sheetNames>
    <definedNames>
      <definedName name="DS_131" refersTo="='131'!$B$6:$B$49"/>
      <definedName name="DSKH" refersTo="='331'!$B$6:$B$15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definedNames>
      <definedName name="DS_131" refersTo="='131'!$B$6:$B$49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>Cty CP TP QT Long Phụng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Cau Su 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58"/>
  <sheetViews>
    <sheetView topLeftCell="A6" workbookViewId="0">
      <pane ySplit="4" topLeftCell="A10" activePane="bottomLeft" state="frozen"/>
      <selection activeCell="A6" sqref="A6"/>
      <selection pane="bottomLeft" activeCell="J40" sqref="J40"/>
    </sheetView>
  </sheetViews>
  <sheetFormatPr defaultColWidth="8" defaultRowHeight="12.75"/>
  <cols>
    <col min="1" max="1" width="5.7109375" style="639" customWidth="1"/>
    <col min="2" max="2" width="36.85546875" style="639" customWidth="1"/>
    <col min="3" max="4" width="14.28515625" style="162" customWidth="1"/>
    <col min="5" max="6" width="14.7109375" style="639" customWidth="1"/>
    <col min="7" max="8" width="13.85546875" style="639" customWidth="1"/>
    <col min="9" max="9" width="2.42578125" style="639" customWidth="1"/>
    <col min="10" max="10" width="11" style="639" customWidth="1"/>
    <col min="11" max="11" width="2.85546875" style="639" customWidth="1"/>
    <col min="12" max="12" width="11.85546875" style="639" customWidth="1"/>
    <col min="13" max="16384" width="8" style="639"/>
  </cols>
  <sheetData>
    <row r="1" spans="1:16">
      <c r="A1" s="638"/>
      <c r="B1" s="638"/>
    </row>
    <row r="2" spans="1:16">
      <c r="A2" s="638" t="str">
        <f>TH!A1</f>
        <v>Đơn vị: CÔNG TY TNHH SX TM KIM DUNG PHÁT</v>
      </c>
      <c r="B2" s="638"/>
    </row>
    <row r="3" spans="1:16">
      <c r="A3" s="639" t="str">
        <f>TH!A2</f>
        <v>Địa chỉ: 1A227/1 Ấp 1, Phạm Văn Hai, Bình Chánh, TPHCM</v>
      </c>
      <c r="B3" s="638"/>
    </row>
    <row r="5" spans="1:16" ht="36" customHeight="1">
      <c r="A5" s="640"/>
      <c r="B5" s="640"/>
      <c r="C5" s="641"/>
      <c r="D5" s="642" t="s">
        <v>366</v>
      </c>
      <c r="E5" s="640"/>
      <c r="F5" s="640"/>
      <c r="G5" s="640"/>
      <c r="H5" s="640"/>
    </row>
    <row r="6" spans="1:16" ht="15.75">
      <c r="A6" s="640"/>
      <c r="B6" s="640"/>
      <c r="C6" s="641"/>
      <c r="D6" s="663" t="s">
        <v>1113</v>
      </c>
      <c r="E6" s="640"/>
      <c r="F6" s="640"/>
      <c r="G6" s="640"/>
      <c r="H6" s="640"/>
    </row>
    <row r="7" spans="1:16" ht="6.75" customHeight="1"/>
    <row r="8" spans="1:16" ht="21.75" customHeight="1">
      <c r="A8" s="932" t="s">
        <v>490</v>
      </c>
      <c r="B8" s="932" t="s">
        <v>364</v>
      </c>
      <c r="C8" s="928" t="s">
        <v>37</v>
      </c>
      <c r="D8" s="929"/>
      <c r="E8" s="928" t="s">
        <v>38</v>
      </c>
      <c r="F8" s="929"/>
      <c r="G8" s="928" t="s">
        <v>365</v>
      </c>
      <c r="H8" s="929"/>
    </row>
    <row r="9" spans="1:16" ht="21.75" customHeight="1">
      <c r="A9" s="933"/>
      <c r="B9" s="933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16" s="162" customFormat="1" ht="17.25" customHeight="1">
      <c r="A10" s="643" t="s">
        <v>47</v>
      </c>
      <c r="B10" s="644" t="s">
        <v>48</v>
      </c>
      <c r="C10" s="645">
        <v>956279941</v>
      </c>
      <c r="D10" s="645"/>
      <c r="E10" s="645">
        <f t="array" ref="E10">SUM(IF(A10=KHN,TH))</f>
        <v>1573957425</v>
      </c>
      <c r="F10" s="645">
        <f t="array" ref="F10">SUM(IF(A10=KHC,TH))</f>
        <v>1125695368</v>
      </c>
      <c r="G10" s="646">
        <f>MAX(C10+E10-D10-F10,0)</f>
        <v>1404541998</v>
      </c>
      <c r="H10" s="646">
        <f>MAX(D10+F10-E10-C10,0)</f>
        <v>0</v>
      </c>
      <c r="J10" s="639"/>
      <c r="K10" s="639"/>
      <c r="L10" s="639"/>
      <c r="M10" s="639"/>
      <c r="N10" s="639"/>
      <c r="O10" s="639"/>
      <c r="P10" s="639"/>
    </row>
    <row r="11" spans="1:16" s="162" customFormat="1" ht="17.25" customHeight="1">
      <c r="A11" s="648" t="s">
        <v>16</v>
      </c>
      <c r="B11" s="648" t="s">
        <v>49</v>
      </c>
      <c r="C11" s="649">
        <f t="shared" ref="C11:D11" si="0">C10</f>
        <v>956279941</v>
      </c>
      <c r="D11" s="649">
        <f t="shared" si="0"/>
        <v>0</v>
      </c>
      <c r="E11" s="649">
        <f t="shared" ref="E11:H11" si="1">E10</f>
        <v>1573957425</v>
      </c>
      <c r="F11" s="649">
        <f t="shared" si="1"/>
        <v>1125695368</v>
      </c>
      <c r="G11" s="649">
        <f t="shared" si="1"/>
        <v>1404541998</v>
      </c>
      <c r="H11" s="649">
        <f t="shared" si="1"/>
        <v>0</v>
      </c>
      <c r="J11" s="639"/>
      <c r="K11" s="639"/>
      <c r="L11" s="639"/>
      <c r="M11" s="639"/>
      <c r="N11" s="639"/>
      <c r="O11" s="639"/>
      <c r="P11" s="639"/>
    </row>
    <row r="12" spans="1:16" s="162" customFormat="1" ht="17.25" customHeight="1">
      <c r="A12" s="644" t="s">
        <v>24</v>
      </c>
      <c r="B12" s="644" t="s">
        <v>50</v>
      </c>
      <c r="C12" s="645">
        <v>334933</v>
      </c>
      <c r="D12" s="645">
        <v>0</v>
      </c>
      <c r="E12" s="645">
        <f t="array" ref="E12">SUM(IF(A12=KHN,TH))</f>
        <v>1253069806</v>
      </c>
      <c r="F12" s="645">
        <f t="array" ref="F12">SUM(IF(A12=KHC,TH))</f>
        <v>1253291904</v>
      </c>
      <c r="G12" s="646">
        <f>MAX(C12+E12-D12-F12,0)</f>
        <v>112835</v>
      </c>
      <c r="H12" s="646">
        <f>MAX(D12+F12-E12-C12,0)</f>
        <v>0</v>
      </c>
      <c r="K12" s="647"/>
      <c r="L12" s="647"/>
      <c r="M12" s="647"/>
    </row>
    <row r="13" spans="1:16" s="162" customFormat="1" ht="17.25" customHeight="1">
      <c r="A13" s="648" t="s">
        <v>51</v>
      </c>
      <c r="B13" s="648" t="s">
        <v>52</v>
      </c>
      <c r="C13" s="649">
        <f t="shared" ref="C13:D13" si="2">C12</f>
        <v>334933</v>
      </c>
      <c r="D13" s="649">
        <f t="shared" si="2"/>
        <v>0</v>
      </c>
      <c r="E13" s="649">
        <f t="shared" ref="E13:H13" si="3">E12</f>
        <v>1253069806</v>
      </c>
      <c r="F13" s="649">
        <f t="shared" si="3"/>
        <v>1253291904</v>
      </c>
      <c r="G13" s="649">
        <f t="shared" si="3"/>
        <v>112835</v>
      </c>
      <c r="H13" s="649">
        <f t="shared" si="3"/>
        <v>0</v>
      </c>
    </row>
    <row r="14" spans="1:16" s="162" customFormat="1" ht="17.25" customHeight="1">
      <c r="A14" s="648" t="s">
        <v>265</v>
      </c>
      <c r="B14" s="648" t="s">
        <v>275</v>
      </c>
      <c r="C14" s="649">
        <v>22296039</v>
      </c>
      <c r="D14" s="649"/>
      <c r="E14" s="650">
        <f t="array" ref="E14">SUM(IF(A14=KHN,TH))</f>
        <v>1968101421</v>
      </c>
      <c r="F14" s="650">
        <f t="array" ref="F14">SUM(IF(A14=KHC,TH))</f>
        <v>1685917530</v>
      </c>
      <c r="G14" s="649">
        <f>MAX(C14+E14-D14-F14,0)</f>
        <v>304479930</v>
      </c>
      <c r="H14" s="649">
        <f>MAX(D14+F14-E14-C14,0)</f>
        <v>0</v>
      </c>
    </row>
    <row r="15" spans="1:16" s="162" customFormat="1" ht="17.25" customHeight="1">
      <c r="A15" s="644" t="s">
        <v>9</v>
      </c>
      <c r="B15" s="644" t="s">
        <v>53</v>
      </c>
      <c r="C15" s="645">
        <v>68101621</v>
      </c>
      <c r="D15" s="645"/>
      <c r="E15" s="645">
        <f t="array" ref="E15">SUM(IF(A15=KHN,TH))</f>
        <v>110954170</v>
      </c>
      <c r="F15" s="645">
        <f t="array" ref="F15">SUM(IF(A15=KHC,TH))</f>
        <v>179055791</v>
      </c>
      <c r="G15" s="646">
        <f>MAX(C15+E15-D15-F15,0)</f>
        <v>0</v>
      </c>
      <c r="H15" s="646">
        <f>MAX(D15+F15-E15-C15,0)</f>
        <v>0</v>
      </c>
    </row>
    <row r="16" spans="1:16" s="162" customFormat="1" ht="17.25" customHeight="1">
      <c r="A16" s="648" t="s">
        <v>54</v>
      </c>
      <c r="B16" s="648" t="s">
        <v>55</v>
      </c>
      <c r="C16" s="649">
        <f t="shared" ref="C16:D16" si="4">C15</f>
        <v>68101621</v>
      </c>
      <c r="D16" s="649">
        <f t="shared" si="4"/>
        <v>0</v>
      </c>
      <c r="E16" s="649">
        <f t="shared" ref="E16:H16" si="5">E15</f>
        <v>110954170</v>
      </c>
      <c r="F16" s="649">
        <f t="shared" si="5"/>
        <v>179055791</v>
      </c>
      <c r="G16" s="649">
        <f t="shared" si="5"/>
        <v>0</v>
      </c>
      <c r="H16" s="649">
        <f t="shared" si="5"/>
        <v>0</v>
      </c>
    </row>
    <row r="17" spans="1:8" s="162" customFormat="1" ht="17.25" customHeight="1">
      <c r="A17" s="644" t="s">
        <v>56</v>
      </c>
      <c r="B17" s="644" t="s">
        <v>57</v>
      </c>
      <c r="C17" s="645"/>
      <c r="D17" s="645"/>
      <c r="E17" s="645">
        <f t="array" ref="E17">SUM(IF(A17=KHN,TH))</f>
        <v>0</v>
      </c>
      <c r="F17" s="645">
        <f t="array" ref="F17">SUM(IF(A17=KHC,TH))</f>
        <v>0</v>
      </c>
      <c r="G17" s="646">
        <f t="shared" ref="G17:G31" si="6">MAX(C17+E17-D17-F17,0)</f>
        <v>0</v>
      </c>
      <c r="H17" s="646">
        <f t="shared" ref="H17:H31" si="7">MAX(D17+F17-E17-C17,0)</f>
        <v>0</v>
      </c>
    </row>
    <row r="18" spans="1:8" s="162" customFormat="1" ht="17.25" customHeight="1">
      <c r="A18" s="648" t="s">
        <v>58</v>
      </c>
      <c r="B18" s="648" t="s">
        <v>59</v>
      </c>
      <c r="C18" s="649">
        <f>C17</f>
        <v>0</v>
      </c>
      <c r="D18" s="649">
        <f>D17</f>
        <v>0</v>
      </c>
      <c r="E18" s="649">
        <f>E17</f>
        <v>0</v>
      </c>
      <c r="F18" s="649">
        <f>F17</f>
        <v>0</v>
      </c>
      <c r="G18" s="649">
        <f t="shared" si="6"/>
        <v>0</v>
      </c>
      <c r="H18" s="649">
        <f t="shared" si="7"/>
        <v>0</v>
      </c>
    </row>
    <row r="19" spans="1:8" s="162" customFormat="1" ht="17.25" customHeight="1">
      <c r="A19" s="644" t="s">
        <v>159</v>
      </c>
      <c r="B19" s="644" t="s">
        <v>160</v>
      </c>
      <c r="C19" s="645">
        <v>928036588</v>
      </c>
      <c r="D19" s="645"/>
      <c r="E19" s="645">
        <f t="array" ref="E19">SUM(IF(A19=KHN,TH))</f>
        <v>651927124</v>
      </c>
      <c r="F19" s="645">
        <f t="array" ref="F19">SUM(IF(A19=KHC,TH))</f>
        <v>1465113201</v>
      </c>
      <c r="G19" s="646">
        <f t="shared" si="6"/>
        <v>114850511</v>
      </c>
      <c r="H19" s="646">
        <f t="shared" si="7"/>
        <v>0</v>
      </c>
    </row>
    <row r="20" spans="1:8" s="162" customFormat="1" ht="17.25" customHeight="1">
      <c r="A20" s="644" t="s">
        <v>161</v>
      </c>
      <c r="B20" s="644" t="s">
        <v>162</v>
      </c>
      <c r="C20" s="645">
        <v>2258000</v>
      </c>
      <c r="D20" s="645"/>
      <c r="E20" s="645">
        <f t="array" ref="E20">SUM(IF(A20=KHN,TH))</f>
        <v>8136000</v>
      </c>
      <c r="F20" s="645">
        <f t="array" ref="F20">SUM(IF(A20=KHC,TH))</f>
        <v>6676000</v>
      </c>
      <c r="G20" s="645">
        <f t="shared" si="6"/>
        <v>3718000</v>
      </c>
      <c r="H20" s="645">
        <f t="shared" si="7"/>
        <v>0</v>
      </c>
    </row>
    <row r="21" spans="1:8" s="162" customFormat="1" ht="17.25" customHeight="1">
      <c r="A21" s="648" t="s">
        <v>163</v>
      </c>
      <c r="B21" s="648" t="s">
        <v>164</v>
      </c>
      <c r="C21" s="649">
        <f>C19+C20</f>
        <v>930294588</v>
      </c>
      <c r="D21" s="649">
        <f>D19+D20</f>
        <v>0</v>
      </c>
      <c r="E21" s="649">
        <f>E19+E20</f>
        <v>660063124</v>
      </c>
      <c r="F21" s="649">
        <f>F19+F20</f>
        <v>1471789201</v>
      </c>
      <c r="G21" s="649">
        <f t="shared" si="6"/>
        <v>118568511</v>
      </c>
      <c r="H21" s="649">
        <f t="shared" si="7"/>
        <v>0</v>
      </c>
    </row>
    <row r="22" spans="1:8" s="162" customFormat="1" ht="17.25" customHeight="1">
      <c r="A22" s="648" t="s">
        <v>165</v>
      </c>
      <c r="B22" s="648" t="s">
        <v>166</v>
      </c>
      <c r="C22" s="649"/>
      <c r="D22" s="649">
        <v>0</v>
      </c>
      <c r="E22" s="650">
        <f t="array" ref="E22">SUM(IF(A22=KHN,TH))</f>
        <v>1693769201</v>
      </c>
      <c r="F22" s="650">
        <f t="array" ref="F22">SUM(IF(A22=KHC,TH))</f>
        <v>1693769201</v>
      </c>
      <c r="G22" s="649">
        <f t="shared" si="6"/>
        <v>0</v>
      </c>
      <c r="H22" s="649">
        <f t="shared" si="7"/>
        <v>0</v>
      </c>
    </row>
    <row r="23" spans="1:8" s="162" customFormat="1" ht="17.25" customHeight="1">
      <c r="A23" s="648" t="s">
        <v>167</v>
      </c>
      <c r="B23" s="648" t="s">
        <v>168</v>
      </c>
      <c r="C23" s="649"/>
      <c r="D23" s="649"/>
      <c r="E23" s="650">
        <f t="array" ref="E23">SUM(IF(A23=KHN,TH))</f>
        <v>1693769201</v>
      </c>
      <c r="F23" s="650">
        <f t="array" ref="F23">SUM(IF(A23=KHC,TH))</f>
        <v>1693769201</v>
      </c>
      <c r="G23" s="649">
        <f t="shared" si="6"/>
        <v>0</v>
      </c>
      <c r="H23" s="649">
        <f t="shared" si="7"/>
        <v>0</v>
      </c>
    </row>
    <row r="24" spans="1:8" s="162" customFormat="1" ht="17.25" customHeight="1">
      <c r="A24" s="651" t="s">
        <v>169</v>
      </c>
      <c r="B24" s="652" t="s">
        <v>170</v>
      </c>
      <c r="C24" s="653">
        <v>365000000</v>
      </c>
      <c r="D24" s="653"/>
      <c r="E24" s="645">
        <f t="array" ref="E24">SUM(IF(A24=KHN,TH))</f>
        <v>0</v>
      </c>
      <c r="F24" s="645">
        <f t="array" ref="F24">SUM(IF(A24=KHC,TH))</f>
        <v>0</v>
      </c>
      <c r="G24" s="653">
        <f t="shared" si="6"/>
        <v>365000000</v>
      </c>
      <c r="H24" s="653">
        <f t="shared" si="7"/>
        <v>0</v>
      </c>
    </row>
    <row r="25" spans="1:8" s="162" customFormat="1" ht="17.25" customHeight="1">
      <c r="A25" s="648" t="s">
        <v>171</v>
      </c>
      <c r="B25" s="648" t="s">
        <v>172</v>
      </c>
      <c r="C25" s="649">
        <f t="shared" ref="C25:H25" si="8">SUM(C24:C24)</f>
        <v>365000000</v>
      </c>
      <c r="D25" s="649">
        <f t="shared" si="8"/>
        <v>0</v>
      </c>
      <c r="E25" s="649">
        <f t="shared" si="8"/>
        <v>0</v>
      </c>
      <c r="F25" s="649">
        <f t="shared" si="8"/>
        <v>0</v>
      </c>
      <c r="G25" s="649">
        <f t="shared" si="8"/>
        <v>365000000</v>
      </c>
      <c r="H25" s="649">
        <f t="shared" si="8"/>
        <v>0</v>
      </c>
    </row>
    <row r="26" spans="1:8" s="162" customFormat="1" ht="17.25" customHeight="1">
      <c r="A26" s="644" t="s">
        <v>266</v>
      </c>
      <c r="B26" s="644" t="s">
        <v>272</v>
      </c>
      <c r="C26" s="645"/>
      <c r="D26" s="645">
        <v>110250000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183250000</v>
      </c>
    </row>
    <row r="27" spans="1:8" s="162" customFormat="1" ht="17.25" customHeight="1">
      <c r="A27" s="648" t="s">
        <v>273</v>
      </c>
      <c r="B27" s="648" t="s">
        <v>274</v>
      </c>
      <c r="C27" s="649">
        <f>C26</f>
        <v>0</v>
      </c>
      <c r="D27" s="649">
        <f t="shared" ref="D27:H27" si="9">D26</f>
        <v>110250000</v>
      </c>
      <c r="E27" s="649">
        <f t="shared" si="9"/>
        <v>0</v>
      </c>
      <c r="F27" s="649">
        <f t="shared" si="9"/>
        <v>73000000</v>
      </c>
      <c r="G27" s="649">
        <f t="shared" si="9"/>
        <v>0</v>
      </c>
      <c r="H27" s="649">
        <f t="shared" si="9"/>
        <v>183250000</v>
      </c>
    </row>
    <row r="28" spans="1:8" s="162" customFormat="1" ht="17.25" customHeight="1">
      <c r="A28" s="648" t="s">
        <v>8</v>
      </c>
      <c r="B28" s="648" t="s">
        <v>60</v>
      </c>
      <c r="C28" s="649"/>
      <c r="D28" s="649">
        <v>230637890</v>
      </c>
      <c r="E28" s="650">
        <f t="array" ref="E28">SUM(IF(A28=KHN,TH))</f>
        <v>956707326</v>
      </c>
      <c r="F28" s="650">
        <f t="array" ref="F28">SUM(IF(A28=KHC,TH))</f>
        <v>726069436</v>
      </c>
      <c r="G28" s="649">
        <f t="shared" si="6"/>
        <v>0</v>
      </c>
      <c r="H28" s="649">
        <f t="shared" si="7"/>
        <v>0</v>
      </c>
    </row>
    <row r="29" spans="1:8" s="162" customFormat="1" ht="17.25" customHeight="1">
      <c r="A29" s="655" t="s">
        <v>429</v>
      </c>
      <c r="B29" s="644" t="s">
        <v>428</v>
      </c>
      <c r="C29" s="645"/>
      <c r="D29" s="645"/>
      <c r="E29" s="645">
        <f t="array" ref="E29">SUM(IF(A29=KHN,TH))</f>
        <v>179055791</v>
      </c>
      <c r="F29" s="645">
        <f t="array" ref="F29">SUM(IF(A29=KHC,TH))</f>
        <v>179055791</v>
      </c>
      <c r="G29" s="645">
        <f t="shared" ref="G29" si="10">MAX(C29+E29-D29-F29,0)</f>
        <v>0</v>
      </c>
      <c r="H29" s="645">
        <f t="shared" ref="H29" si="11">MAX(D29+F29-E29-C29,0)</f>
        <v>0</v>
      </c>
    </row>
    <row r="30" spans="1:8" s="162" customFormat="1" ht="17.25" customHeight="1">
      <c r="A30" s="644" t="s">
        <v>61</v>
      </c>
      <c r="B30" s="644" t="s">
        <v>62</v>
      </c>
      <c r="C30" s="645"/>
      <c r="D30" s="645">
        <v>22244468</v>
      </c>
      <c r="E30" s="645">
        <f t="array" ref="E30">SUM(IF(A30=KHN,TH))</f>
        <v>22244468</v>
      </c>
      <c r="F30" s="645">
        <f t="array" ref="F30">SUM(IF(A30=KHC,TH))</f>
        <v>0</v>
      </c>
      <c r="G30" s="645">
        <f t="shared" si="6"/>
        <v>0</v>
      </c>
      <c r="H30" s="645">
        <f t="shared" si="7"/>
        <v>0</v>
      </c>
    </row>
    <row r="31" spans="1:8" s="162" customFormat="1" ht="17.25" customHeight="1">
      <c r="A31" s="655" t="s">
        <v>63</v>
      </c>
      <c r="B31" s="656" t="s">
        <v>64</v>
      </c>
      <c r="C31" s="657"/>
      <c r="D31" s="657"/>
      <c r="E31" s="657">
        <f t="array" ref="E31">SUM(IF(A31=KHN,TH))</f>
        <v>0</v>
      </c>
      <c r="F31" s="657">
        <f t="array" ref="F31">SUM(IF(A31=KHC,TH))</f>
        <v>0</v>
      </c>
      <c r="G31" s="657">
        <f t="shared" si="6"/>
        <v>0</v>
      </c>
      <c r="H31" s="657">
        <f t="shared" si="7"/>
        <v>0</v>
      </c>
    </row>
    <row r="32" spans="1:8" s="162" customFormat="1" ht="17.25" customHeight="1">
      <c r="A32" s="644" t="s">
        <v>18</v>
      </c>
      <c r="B32" s="644" t="s">
        <v>65</v>
      </c>
      <c r="C32" s="645">
        <f>C31</f>
        <v>0</v>
      </c>
      <c r="D32" s="645">
        <f t="shared" ref="D32:H32" si="12">D31</f>
        <v>0</v>
      </c>
      <c r="E32" s="645">
        <f t="shared" si="12"/>
        <v>0</v>
      </c>
      <c r="F32" s="645">
        <f t="shared" si="12"/>
        <v>0</v>
      </c>
      <c r="G32" s="645">
        <f t="shared" si="12"/>
        <v>0</v>
      </c>
      <c r="H32" s="645">
        <f t="shared" si="12"/>
        <v>0</v>
      </c>
    </row>
    <row r="33" spans="1:12" s="162" customFormat="1" ht="17.25" customHeight="1">
      <c r="A33" s="648" t="s">
        <v>66</v>
      </c>
      <c r="B33" s="648" t="s">
        <v>67</v>
      </c>
      <c r="C33" s="649">
        <f>C30+C32+C29</f>
        <v>0</v>
      </c>
      <c r="D33" s="649">
        <f t="shared" ref="D33:H33" si="13">D30+D32+D29</f>
        <v>22244468</v>
      </c>
      <c r="E33" s="649">
        <f t="shared" si="13"/>
        <v>201300259</v>
      </c>
      <c r="F33" s="649">
        <f t="shared" si="13"/>
        <v>179055791</v>
      </c>
      <c r="G33" s="649">
        <f t="shared" si="13"/>
        <v>0</v>
      </c>
      <c r="H33" s="649">
        <f t="shared" si="13"/>
        <v>0</v>
      </c>
    </row>
    <row r="34" spans="1:12" s="162" customFormat="1" ht="17.25" customHeight="1">
      <c r="A34" s="644" t="s">
        <v>268</v>
      </c>
      <c r="B34" s="644" t="s">
        <v>269</v>
      </c>
      <c r="C34" s="645">
        <v>0</v>
      </c>
      <c r="D34" s="645">
        <v>0</v>
      </c>
      <c r="E34" s="645">
        <f t="array" ref="E34">SUM(IF(A34=KHN,TH))</f>
        <v>160875000</v>
      </c>
      <c r="F34" s="645">
        <f t="array" ref="F34">SUM(IF(A34=KHC,TH))</f>
        <v>160875000</v>
      </c>
      <c r="G34" s="645">
        <f t="shared" ref="G34:G36" si="14">MAX(C34+E34-D34-F34,0)</f>
        <v>0</v>
      </c>
      <c r="H34" s="645">
        <f t="shared" ref="H34:H36" si="15">MAX(D34+F34-E34-C34,0)</f>
        <v>0</v>
      </c>
    </row>
    <row r="35" spans="1:12" s="162" customFormat="1" ht="17.25" customHeight="1">
      <c r="A35" s="648" t="s">
        <v>270</v>
      </c>
      <c r="B35" s="648" t="s">
        <v>271</v>
      </c>
      <c r="C35" s="649">
        <f>C34</f>
        <v>0</v>
      </c>
      <c r="D35" s="649">
        <f>D34</f>
        <v>0</v>
      </c>
      <c r="E35" s="649">
        <f>E34</f>
        <v>160875000</v>
      </c>
      <c r="F35" s="649">
        <f>F34</f>
        <v>160875000</v>
      </c>
      <c r="G35" s="649">
        <f t="shared" si="14"/>
        <v>0</v>
      </c>
      <c r="H35" s="649">
        <f t="shared" si="15"/>
        <v>0</v>
      </c>
    </row>
    <row r="36" spans="1:12" s="162" customFormat="1" ht="17.25" customHeight="1">
      <c r="A36" s="644" t="s">
        <v>17</v>
      </c>
      <c r="B36" s="644" t="s">
        <v>68</v>
      </c>
      <c r="C36" s="645"/>
      <c r="D36" s="645">
        <v>2709616</v>
      </c>
      <c r="E36" s="645">
        <f t="array" ref="E36">SUM(IF(A36=KHN,TH))</f>
        <v>0</v>
      </c>
      <c r="F36" s="645">
        <f t="array" ref="F36">SUM(IF(A36=KHC,TH))</f>
        <v>36241782</v>
      </c>
      <c r="G36" s="645">
        <f t="shared" si="14"/>
        <v>0</v>
      </c>
      <c r="H36" s="645">
        <f t="shared" si="15"/>
        <v>38951398</v>
      </c>
    </row>
    <row r="37" spans="1:12" s="162" customFormat="1" ht="17.25" customHeight="1">
      <c r="A37" s="648" t="s">
        <v>69</v>
      </c>
      <c r="B37" s="648" t="s">
        <v>70</v>
      </c>
      <c r="C37" s="649">
        <f t="shared" ref="C37:H37" si="16">SUM(C36:C36)</f>
        <v>0</v>
      </c>
      <c r="D37" s="649">
        <f t="shared" si="16"/>
        <v>2709616</v>
      </c>
      <c r="E37" s="649">
        <f t="shared" si="16"/>
        <v>0</v>
      </c>
      <c r="F37" s="649">
        <f t="shared" si="16"/>
        <v>36241782</v>
      </c>
      <c r="G37" s="649">
        <f t="shared" si="16"/>
        <v>0</v>
      </c>
      <c r="H37" s="649">
        <f t="shared" si="16"/>
        <v>38951398</v>
      </c>
    </row>
    <row r="38" spans="1:12" s="162" customFormat="1" ht="17.25" customHeight="1">
      <c r="A38" s="644" t="s">
        <v>25</v>
      </c>
      <c r="B38" s="644" t="s">
        <v>71</v>
      </c>
      <c r="C38" s="645"/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12" s="162" customFormat="1" ht="17.25" customHeight="1">
      <c r="A39" s="648" t="s">
        <v>72</v>
      </c>
      <c r="B39" s="648" t="s">
        <v>73</v>
      </c>
      <c r="C39" s="649">
        <v>0</v>
      </c>
      <c r="D39" s="649">
        <f>D38</f>
        <v>1900000000</v>
      </c>
      <c r="E39" s="649">
        <f>E38</f>
        <v>0</v>
      </c>
      <c r="F39" s="649">
        <f>F38</f>
        <v>0</v>
      </c>
      <c r="G39" s="649">
        <f>MAX(C39+E39-D39-F39,0)</f>
        <v>0</v>
      </c>
      <c r="H39" s="649">
        <f>MAX(D39+F39-E39-C39,0)</f>
        <v>1900000000</v>
      </c>
    </row>
    <row r="40" spans="1:12" s="162" customFormat="1" ht="17.25" customHeight="1">
      <c r="A40" s="643" t="s">
        <v>74</v>
      </c>
      <c r="B40" s="644" t="s">
        <v>75</v>
      </c>
      <c r="C40" s="645"/>
      <c r="D40" s="645">
        <v>76465148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76465148</v>
      </c>
      <c r="J40" s="162">
        <f>H40-G41</f>
        <v>70501876</v>
      </c>
    </row>
    <row r="41" spans="1:12" s="162" customFormat="1" ht="17.25" customHeight="1">
      <c r="A41" s="644" t="s">
        <v>76</v>
      </c>
      <c r="B41" s="644" t="s">
        <v>77</v>
      </c>
      <c r="C41" s="645"/>
      <c r="D41" s="645"/>
      <c r="E41" s="645">
        <f t="array" ref="E41">SUM(IF(A41=TH!$L$10:$L$2111,TH!$K$10:$K$2111))</f>
        <v>5963272</v>
      </c>
      <c r="F41" s="645">
        <f t="array" ref="F41">SUM(IF(A41=TH!$M$10:$M$2111,TH!$K$10:$K$2111))</f>
        <v>0</v>
      </c>
      <c r="G41" s="645">
        <f>MAX(C41+E41-D41-F41,0)</f>
        <v>5963272</v>
      </c>
      <c r="H41" s="645">
        <f>MAX(D41+F41-E41-C41,0)</f>
        <v>0</v>
      </c>
      <c r="J41" s="293">
        <f>L41-H41</f>
        <v>-9411222</v>
      </c>
      <c r="L41" s="162">
        <v>-9411222</v>
      </c>
    </row>
    <row r="42" spans="1:12" s="162" customFormat="1" ht="17.25" customHeight="1">
      <c r="A42" s="648" t="s">
        <v>78</v>
      </c>
      <c r="B42" s="648" t="s">
        <v>79</v>
      </c>
      <c r="C42" s="649">
        <f t="shared" ref="C42:H42" si="17">C41+C40</f>
        <v>0</v>
      </c>
      <c r="D42" s="649">
        <f t="shared" si="17"/>
        <v>76465148</v>
      </c>
      <c r="E42" s="649">
        <f t="shared" si="17"/>
        <v>5963272</v>
      </c>
      <c r="F42" s="649">
        <f t="shared" si="17"/>
        <v>0</v>
      </c>
      <c r="G42" s="649">
        <f t="shared" si="17"/>
        <v>5963272</v>
      </c>
      <c r="H42" s="649">
        <f t="shared" si="17"/>
        <v>76465148</v>
      </c>
    </row>
    <row r="43" spans="1:12" s="162" customFormat="1" ht="17.25" customHeight="1">
      <c r="A43" s="643" t="s">
        <v>175</v>
      </c>
      <c r="B43" s="644" t="s">
        <v>176</v>
      </c>
      <c r="C43" s="645"/>
      <c r="D43" s="645"/>
      <c r="E43" s="645">
        <f t="array" ref="E43">SUM(IF(A43=KHN,TH))</f>
        <v>1789045630</v>
      </c>
      <c r="F43" s="645">
        <f t="array" ref="F43">SUM(IF(A43=KHC,TH))</f>
        <v>1789045630</v>
      </c>
      <c r="G43" s="646"/>
      <c r="H43" s="646"/>
      <c r="I43" s="162">
        <f>E43-F43</f>
        <v>0</v>
      </c>
    </row>
    <row r="44" spans="1:12" s="162" customFormat="1" ht="17.25" customHeight="1">
      <c r="A44" s="648" t="s">
        <v>177</v>
      </c>
      <c r="B44" s="648" t="s">
        <v>178</v>
      </c>
      <c r="C44" s="649"/>
      <c r="D44" s="649"/>
      <c r="E44" s="649">
        <f>E43</f>
        <v>1789045630</v>
      </c>
      <c r="F44" s="649">
        <f>F43</f>
        <v>1789045630</v>
      </c>
      <c r="G44" s="649"/>
      <c r="H44" s="649"/>
      <c r="I44" s="162">
        <f>E44-F44</f>
        <v>0</v>
      </c>
    </row>
    <row r="45" spans="1:12" s="162" customFormat="1" ht="17.25" customHeight="1">
      <c r="A45" s="648" t="s">
        <v>40</v>
      </c>
      <c r="B45" s="648" t="s">
        <v>80</v>
      </c>
      <c r="C45" s="649"/>
      <c r="D45" s="649"/>
      <c r="E45" s="650">
        <f t="array" ref="E45">SUM(IF(A45=KHN,TH))</f>
        <v>109701</v>
      </c>
      <c r="F45" s="650">
        <f t="array" ref="F45">SUM(IF(A45=KHC,TH))</f>
        <v>109701</v>
      </c>
      <c r="G45" s="649"/>
      <c r="H45" s="649"/>
      <c r="I45" s="162">
        <f t="shared" ref="I45:I53" si="18">E45-F45</f>
        <v>0</v>
      </c>
    </row>
    <row r="46" spans="1:12" s="162" customFormat="1" ht="17.25" customHeight="1">
      <c r="A46" s="648" t="s">
        <v>173</v>
      </c>
      <c r="B46" s="648" t="s">
        <v>174</v>
      </c>
      <c r="C46" s="649"/>
      <c r="D46" s="649"/>
      <c r="E46" s="650">
        <f t="array" ref="E46">SUM(IF(A46=KHN,TH))</f>
        <v>1693769201</v>
      </c>
      <c r="F46" s="650">
        <f t="array" ref="F46">SUM(IF(A46=KHC,TH))</f>
        <v>1693769201</v>
      </c>
      <c r="G46" s="649"/>
      <c r="H46" s="649"/>
      <c r="I46" s="162">
        <f t="shared" si="18"/>
        <v>0</v>
      </c>
    </row>
    <row r="47" spans="1:12" s="162" customFormat="1" ht="17.25" customHeight="1">
      <c r="A47" s="648" t="s">
        <v>81</v>
      </c>
      <c r="B47" s="648" t="s">
        <v>82</v>
      </c>
      <c r="C47" s="649"/>
      <c r="D47" s="649"/>
      <c r="E47" s="650">
        <f t="array" ref="E47">SUM(IF(A47=KHN,TH))</f>
        <v>0</v>
      </c>
      <c r="F47" s="650">
        <f t="array" ref="F47">SUM(IF(A47=KHC,TH))</f>
        <v>0</v>
      </c>
      <c r="G47" s="649"/>
      <c r="H47" s="649"/>
      <c r="I47" s="162">
        <f t="shared" si="18"/>
        <v>0</v>
      </c>
    </row>
    <row r="48" spans="1:12" s="162" customFormat="1" ht="17.25" customHeight="1">
      <c r="A48" s="654" t="s">
        <v>267</v>
      </c>
      <c r="B48" s="648" t="s">
        <v>333</v>
      </c>
      <c r="C48" s="649"/>
      <c r="D48" s="649"/>
      <c r="E48" s="650">
        <f t="array" ref="E48">SUM(IF(A48=KHN,TH))</f>
        <v>0</v>
      </c>
      <c r="F48" s="650">
        <f t="array" ref="F48">SUM(IF(A48=KHC,TH))</f>
        <v>0</v>
      </c>
      <c r="G48" s="649"/>
      <c r="H48" s="649"/>
      <c r="I48" s="162">
        <f>E48-F48</f>
        <v>0</v>
      </c>
    </row>
    <row r="49" spans="1:9" s="162" customFormat="1" ht="17.25" customHeight="1">
      <c r="A49" s="648" t="s">
        <v>83</v>
      </c>
      <c r="B49" s="648" t="s">
        <v>84</v>
      </c>
      <c r="C49" s="649"/>
      <c r="D49" s="649"/>
      <c r="E49" s="650">
        <f t="array" ref="E49">SUM(IF(A49=KHN,TH))</f>
        <v>100679402</v>
      </c>
      <c r="F49" s="650">
        <f t="array" ref="F49">SUM(IF(A49=KHC,TH))</f>
        <v>100679402</v>
      </c>
      <c r="G49" s="649"/>
      <c r="H49" s="649"/>
      <c r="I49" s="162">
        <f t="shared" si="18"/>
        <v>0</v>
      </c>
    </row>
    <row r="50" spans="1:9" s="162" customFormat="1" ht="17.25" customHeight="1">
      <c r="A50" s="654" t="s">
        <v>85</v>
      </c>
      <c r="B50" s="648" t="s">
        <v>86</v>
      </c>
      <c r="C50" s="649"/>
      <c r="D50" s="649"/>
      <c r="E50" s="650">
        <f t="array" ref="E50">SUM(IF(A50=KHN,TH))</f>
        <v>0</v>
      </c>
      <c r="F50" s="650">
        <f t="array" ref="F50">SUM(IF(A50=KHC,TH))</f>
        <v>0</v>
      </c>
      <c r="G50" s="649"/>
      <c r="H50" s="649"/>
      <c r="I50" s="162">
        <f t="shared" si="18"/>
        <v>0</v>
      </c>
    </row>
    <row r="51" spans="1:9" s="162" customFormat="1" ht="17.25" customHeight="1">
      <c r="A51" s="648" t="s">
        <v>87</v>
      </c>
      <c r="B51" s="648" t="s">
        <v>88</v>
      </c>
      <c r="C51" s="649"/>
      <c r="D51" s="649"/>
      <c r="E51" s="650">
        <f t="array" ref="E51">SUM(IF(A51=KHN,TH))</f>
        <v>670000</v>
      </c>
      <c r="F51" s="650">
        <f t="array" ref="F51">SUM(IF(A51=KHC,TH))</f>
        <v>670000</v>
      </c>
      <c r="G51" s="649"/>
      <c r="H51" s="649"/>
      <c r="I51" s="162">
        <f t="shared" si="18"/>
        <v>0</v>
      </c>
    </row>
    <row r="52" spans="1:9" s="162" customFormat="1" ht="17.25" customHeight="1">
      <c r="A52" s="654" t="s">
        <v>89</v>
      </c>
      <c r="B52" s="648" t="s">
        <v>90</v>
      </c>
      <c r="C52" s="649"/>
      <c r="D52" s="649"/>
      <c r="E52" s="650">
        <f t="array" ref="E52">SUM(IF(A52=KHN,TH))</f>
        <v>0</v>
      </c>
      <c r="F52" s="650">
        <f t="array" ref="F52">SUM(IF(A52=KHC,TH))</f>
        <v>0</v>
      </c>
      <c r="G52" s="649"/>
      <c r="H52" s="649"/>
      <c r="I52" s="162">
        <f t="shared" si="18"/>
        <v>0</v>
      </c>
    </row>
    <row r="53" spans="1:9" s="162" customFormat="1" ht="17.25" customHeight="1">
      <c r="A53" s="648" t="s">
        <v>91</v>
      </c>
      <c r="B53" s="648" t="s">
        <v>92</v>
      </c>
      <c r="C53" s="649"/>
      <c r="D53" s="649"/>
      <c r="E53" s="658">
        <f t="array" ref="E53">SUM(IF(A53=KHN,TH))</f>
        <v>1795118603</v>
      </c>
      <c r="F53" s="658">
        <f t="array" ref="F53">SUM(IF(A53=TH!$M$10:$M$2111,TH!$K$10:$K$2111))</f>
        <v>1795118603</v>
      </c>
      <c r="G53" s="649"/>
      <c r="H53" s="649"/>
      <c r="I53" s="162">
        <f t="shared" si="18"/>
        <v>0</v>
      </c>
    </row>
    <row r="54" spans="1:9" s="162" customFormat="1" ht="17.25" customHeight="1">
      <c r="A54" s="930" t="s">
        <v>39</v>
      </c>
      <c r="B54" s="931"/>
      <c r="C54" s="659">
        <f>C11+C13+C14+C16+C18+C21+C22+C23+C25+C27+C28+C33+C35+C37+C39+C42+C44+C45+C46+C47+C48+C49+C50+C51+C52+C53</f>
        <v>2342307122</v>
      </c>
      <c r="D54" s="659">
        <f t="shared" ref="D54:H54" si="19">D11+D13+D14+D16+D18+D21+D22+D23+D25+D27+D28+D33+D35+D37+D39+D42+D44+D45+D46+D47+D48+D49+D50+D51+D52+D53</f>
        <v>2342307122</v>
      </c>
      <c r="E54" s="659">
        <f t="shared" si="19"/>
        <v>15657922742</v>
      </c>
      <c r="F54" s="659">
        <f t="shared" si="19"/>
        <v>15657922742</v>
      </c>
      <c r="G54" s="659">
        <f t="shared" si="19"/>
        <v>2198666546</v>
      </c>
      <c r="H54" s="659">
        <f t="shared" si="19"/>
        <v>2198666546</v>
      </c>
    </row>
    <row r="55" spans="1:9">
      <c r="E55" s="660"/>
      <c r="F55" s="661"/>
    </row>
    <row r="56" spans="1:9">
      <c r="E56" s="661"/>
      <c r="H56" s="661">
        <f>G54-H54</f>
        <v>0</v>
      </c>
    </row>
    <row r="57" spans="1:9">
      <c r="E57" s="662"/>
      <c r="F57" s="662"/>
    </row>
    <row r="58" spans="1:9">
      <c r="E58" s="662"/>
      <c r="F58" s="662"/>
    </row>
  </sheetData>
  <mergeCells count="6">
    <mergeCell ref="G8:H8"/>
    <mergeCell ref="A54:B54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121"/>
  <sheetViews>
    <sheetView topLeftCell="A7" workbookViewId="0">
      <pane ySplit="3" topLeftCell="A580" activePane="bottomLeft" state="frozen"/>
      <selection activeCell="A7" sqref="A7"/>
      <selection pane="bottomLeft" activeCell="K589" sqref="K589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8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485</v>
      </c>
      <c r="B1" s="31"/>
      <c r="C1" s="31"/>
      <c r="D1" s="32"/>
      <c r="E1" s="32"/>
      <c r="F1" s="33"/>
      <c r="G1" s="486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486</v>
      </c>
      <c r="B2" s="31"/>
      <c r="C2" s="31"/>
      <c r="D2" s="32"/>
      <c r="E2" s="32"/>
      <c r="F2" s="32"/>
      <c r="G2" s="486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6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5" t="s">
        <v>93</v>
      </c>
      <c r="D4" s="935"/>
      <c r="E4" s="935"/>
      <c r="F4" s="935"/>
      <c r="G4" s="935"/>
      <c r="H4" s="935"/>
      <c r="I4" s="935"/>
      <c r="J4" s="935"/>
      <c r="K4" s="935"/>
      <c r="L4" s="935"/>
      <c r="M4" s="935"/>
    </row>
    <row r="5" spans="1:27" ht="14.25">
      <c r="B5" s="42"/>
      <c r="C5" s="936"/>
      <c r="D5" s="936"/>
      <c r="E5" s="936"/>
      <c r="F5" s="936"/>
      <c r="G5" s="936"/>
      <c r="H5" s="936"/>
      <c r="I5" s="936"/>
      <c r="J5" s="936"/>
      <c r="K5" s="936"/>
      <c r="L5" s="936"/>
      <c r="M5" s="936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49" t="s">
        <v>117</v>
      </c>
      <c r="B7" s="951" t="s">
        <v>101</v>
      </c>
      <c r="C7" s="937" t="s">
        <v>20</v>
      </c>
      <c r="D7" s="938" t="s">
        <v>1</v>
      </c>
      <c r="E7" s="939"/>
      <c r="F7" s="937" t="s">
        <v>0</v>
      </c>
      <c r="G7" s="941" t="s">
        <v>116</v>
      </c>
      <c r="H7" s="953" t="s">
        <v>44</v>
      </c>
      <c r="I7" s="958" t="s">
        <v>264</v>
      </c>
      <c r="J7" s="959"/>
      <c r="K7" s="937" t="s">
        <v>157</v>
      </c>
      <c r="L7" s="940" t="s">
        <v>94</v>
      </c>
      <c r="M7" s="940"/>
      <c r="N7" s="956" t="s">
        <v>465</v>
      </c>
      <c r="O7" s="943" t="s">
        <v>47</v>
      </c>
      <c r="P7" s="944"/>
      <c r="Q7" s="945"/>
      <c r="R7" s="943" t="s">
        <v>51</v>
      </c>
      <c r="S7" s="944"/>
      <c r="T7" s="945"/>
      <c r="U7" s="956" t="s">
        <v>464</v>
      </c>
      <c r="V7" s="954" t="str">
        <f>CTTK!$E$7</f>
        <v>642</v>
      </c>
      <c r="W7" s="934" t="s">
        <v>163</v>
      </c>
      <c r="X7" s="934"/>
      <c r="Y7" s="934"/>
      <c r="Z7" s="934" t="s">
        <v>363</v>
      </c>
      <c r="AA7" s="848"/>
    </row>
    <row r="8" spans="1:27" ht="24.75" customHeight="1">
      <c r="A8" s="950"/>
      <c r="B8" s="952"/>
      <c r="C8" s="937"/>
      <c r="D8" s="202" t="s">
        <v>15</v>
      </c>
      <c r="E8" s="201" t="s">
        <v>32</v>
      </c>
      <c r="F8" s="937"/>
      <c r="G8" s="942"/>
      <c r="H8" s="953"/>
      <c r="I8" s="262" t="s">
        <v>204</v>
      </c>
      <c r="J8" s="262" t="s">
        <v>205</v>
      </c>
      <c r="K8" s="937"/>
      <c r="L8" s="203" t="s">
        <v>22</v>
      </c>
      <c r="M8" s="203" t="s">
        <v>23</v>
      </c>
      <c r="N8" s="957"/>
      <c r="O8" s="946"/>
      <c r="P8" s="947"/>
      <c r="Q8" s="948"/>
      <c r="R8" s="946"/>
      <c r="S8" s="947"/>
      <c r="T8" s="948"/>
      <c r="U8" s="957"/>
      <c r="V8" s="955"/>
      <c r="W8" s="934"/>
      <c r="X8" s="934"/>
      <c r="Y8" s="934"/>
      <c r="Z8" s="934"/>
      <c r="AA8" s="848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49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109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4"/>
      <c r="J10" s="254"/>
      <c r="K10" s="51">
        <f>CDPS!D41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50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279</v>
      </c>
      <c r="G11" s="49"/>
      <c r="H11" s="50"/>
      <c r="I11" s="254"/>
      <c r="J11" s="254"/>
      <c r="K11" s="51">
        <f>SUMIF(KHC,L11,TH)</f>
        <v>179055791</v>
      </c>
      <c r="L11" s="53" t="s">
        <v>429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50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280</v>
      </c>
      <c r="G12" s="49"/>
      <c r="H12" s="50"/>
      <c r="I12" s="254"/>
      <c r="J12" s="254"/>
      <c r="K12" s="51">
        <f>SUMIF(KHN,M12,TH)</f>
        <v>1693769201</v>
      </c>
      <c r="L12" s="53" t="s">
        <v>91</v>
      </c>
      <c r="M12" s="52" t="s">
        <v>173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50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5"/>
      <c r="J13" s="255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50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489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50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281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50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4"/>
      <c r="J16" s="254"/>
      <c r="K16" s="51">
        <f>SUMIF(KHN,M16,TH)</f>
        <v>100679402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50"/>
    </row>
    <row r="17" spans="1:27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4"/>
      <c r="J17" s="254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50"/>
    </row>
    <row r="18" spans="1:27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334</v>
      </c>
      <c r="G18" s="49"/>
      <c r="H18" s="50"/>
      <c r="I18" s="254"/>
      <c r="J18" s="254"/>
      <c r="K18" s="51">
        <f>SUMIF(KHC,L18,TH)</f>
        <v>1789045630</v>
      </c>
      <c r="L18" s="52" t="s">
        <v>175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50"/>
    </row>
    <row r="19" spans="1:27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50"/>
    </row>
    <row r="20" spans="1:27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4"/>
      <c r="J20" s="254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50"/>
    </row>
    <row r="21" spans="1:27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488</v>
      </c>
      <c r="G21" s="49"/>
      <c r="H21" s="50"/>
      <c r="I21" s="254"/>
      <c r="J21" s="254"/>
      <c r="K21" s="51">
        <v>5963272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50"/>
    </row>
    <row r="22" spans="1:27" s="900" customFormat="1" ht="15.75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812">
        <f t="shared" ref="C22:C28" si="3">E22</f>
        <v>41276</v>
      </c>
      <c r="D22" s="812" t="s">
        <v>343</v>
      </c>
      <c r="E22" s="812">
        <v>41276</v>
      </c>
      <c r="F22" s="704" t="s">
        <v>1286</v>
      </c>
      <c r="G22" s="705"/>
      <c r="H22" s="616"/>
      <c r="I22" s="484"/>
      <c r="J22" s="484"/>
      <c r="K22" s="706">
        <v>18250000</v>
      </c>
      <c r="L22" s="707" t="s">
        <v>165</v>
      </c>
      <c r="M22" s="707" t="s">
        <v>266</v>
      </c>
      <c r="N22" s="898" t="str">
        <f>IF(AND('331-CT'!$E$7=TH!H22,OR(L22="331",M22="331")),"331",IF(AND(OR(L22="131",M22="131"),H22='131-CT'!$E$7),"131",""))</f>
        <v/>
      </c>
      <c r="O22" s="898" t="str">
        <f>IF(AND($B22&gt;='111'!$N$11,$B22&lt;='111'!$O$11,OR($L22=$O$7,$M22=$O$7)),"x","")</f>
        <v/>
      </c>
      <c r="P22" s="898" t="str">
        <f>IF(AND($L22=$O$7,$B22&lt;'111'!$N$11),"x","")</f>
        <v/>
      </c>
      <c r="Q22" s="898" t="str">
        <f>IF(AND($M22=$O$7,$B22&lt;'111'!$N$11),"x","")</f>
        <v/>
      </c>
      <c r="R22" s="898" t="str">
        <f>IF(ISERROR(FIND('112'!$M$9,G22,1)),"",IF((AND(FIND('112'!$M$9,G22,1)&gt;=1,$B22&gt;='112'!$N$8,$B22&lt;='112'!$O$8,OR($L22='112'!$I$6,$M22='112'!$I$6))),"x",""))</f>
        <v/>
      </c>
      <c r="S22" s="898" t="str">
        <f>IF(ISERROR(FIND('112'!$M$9,G22,1)),"",IF((AND(LEFT(G22,2)=LEFT('112'!$M$9,2),B22&lt;'112'!$N$8,$L22='112'!$I$6)),"x",""))</f>
        <v/>
      </c>
      <c r="T22" s="898" t="str">
        <f>IF(ISERROR(FIND('112'!$M$9,G22,1)),"",IF((AND(RIGHT(G22,2)=RIGHT('112'!$M$9,2),B22&lt;'112'!$N$8,$M22='112'!$I$6)),"x",""))</f>
        <v/>
      </c>
      <c r="U22" s="898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898" t="str">
        <f>IF(OR(TH!L22=TH!$V$7,M22=TH!$V$7),"x","")</f>
        <v/>
      </c>
      <c r="W22" s="898" t="str">
        <f>IF(AND(B22&gt;='IN-NX'!$P$3,B22&lt;='IN-NX'!$Q$3,'IN-NX'!$D$7=D22,OR(LEFT(L22,2)="15",AND(LEFT(M22,2)&lt;&gt;"15",LEFT(M22,2)&lt;&gt;"33"))),"x","")</f>
        <v/>
      </c>
      <c r="X22" s="898" t="str">
        <f>IF(AND(OR(LEFT(TH!L22,2)="15",LEFT(TH!M22,2)="15"),'152-CT'!$J$8=TH!F22),"x","")</f>
        <v/>
      </c>
      <c r="Y22" s="898" t="str">
        <f>IF(AND(OR(LEFT(TH!L22,2)="15",LEFT(TH!M22,2)="15"),TK!$E$7=TH!F22),"x","")</f>
        <v/>
      </c>
      <c r="Z22" s="898" t="str">
        <f>IF(AND(B22&lt;=NKC!$N$8,B22&gt;=NKC!$M$8),"x","")</f>
        <v/>
      </c>
      <c r="AA22" s="899"/>
    </row>
    <row r="23" spans="1:27" s="900" customFormat="1" ht="15.75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812">
        <f t="shared" si="3"/>
        <v>41365</v>
      </c>
      <c r="D23" s="812" t="s">
        <v>343</v>
      </c>
      <c r="E23" s="812">
        <v>41365</v>
      </c>
      <c r="F23" s="704" t="s">
        <v>1286</v>
      </c>
      <c r="G23" s="901"/>
      <c r="H23" s="616"/>
      <c r="I23" s="484"/>
      <c r="J23" s="484"/>
      <c r="K23" s="706">
        <v>18250000</v>
      </c>
      <c r="L23" s="707" t="s">
        <v>165</v>
      </c>
      <c r="M23" s="707" t="s">
        <v>266</v>
      </c>
      <c r="N23" s="898" t="str">
        <f>IF(AND('331-CT'!$E$7=TH!H23,OR(L23="331",M23="331")),"331",IF(AND(OR(L23="131",M23="131"),H23='131-CT'!$E$7),"131",""))</f>
        <v/>
      </c>
      <c r="O23" s="898" t="str">
        <f>IF(AND($B23&gt;='111'!$N$11,$B23&lt;='111'!$O$11,OR($L23=$O$7,$M23=$O$7)),"x","")</f>
        <v/>
      </c>
      <c r="P23" s="898" t="str">
        <f>IF(AND($L23=$O$7,$B23&lt;'111'!$N$11),"x","")</f>
        <v/>
      </c>
      <c r="Q23" s="898" t="str">
        <f>IF(AND($M23=$O$7,$B23&lt;'111'!$N$11),"x","")</f>
        <v/>
      </c>
      <c r="R23" s="898" t="str">
        <f>IF(ISERROR(FIND('112'!$M$9,G23,1)),"",IF((AND(FIND('112'!$M$9,G23,1)&gt;=1,$B23&gt;='112'!$N$8,$B23&lt;='112'!$O$8,OR($L23='112'!$I$6,$M23='112'!$I$6))),"x",""))</f>
        <v/>
      </c>
      <c r="S23" s="898" t="str">
        <f>IF(ISERROR(FIND('112'!$M$9,G23,1)),"",IF((AND(LEFT(G23,2)=LEFT('112'!$M$9,2),B23&lt;'112'!$N$8,$L23='112'!$I$6)),"x",""))</f>
        <v/>
      </c>
      <c r="T23" s="898" t="str">
        <f>IF(ISERROR(FIND('112'!$M$9,G23,1)),"",IF((AND(RIGHT(G23,2)=RIGHT('112'!$M$9,2),B23&lt;'112'!$N$8,$M23='112'!$I$6)),"x",""))</f>
        <v/>
      </c>
      <c r="U23" s="898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V23" s="898" t="str">
        <f>IF(OR(TH!L23=TH!$V$7,M23=TH!$V$7),"x","")</f>
        <v/>
      </c>
      <c r="W23" s="898" t="str">
        <f>IF(AND(B23&gt;='IN-NX'!$P$3,B23&lt;='IN-NX'!$Q$3,'IN-NX'!$D$7=D23,OR(LEFT(L23,2)="15",AND(LEFT(M23,2)&lt;&gt;"15",LEFT(M23,2)&lt;&gt;"33"))),"x","")</f>
        <v/>
      </c>
      <c r="X23" s="898" t="str">
        <f>IF(AND(OR(LEFT(TH!L23,2)="15",LEFT(TH!M23,2)="15"),'152-CT'!$J$8=TH!F23),"x","")</f>
        <v/>
      </c>
      <c r="Y23" s="898" t="str">
        <f>IF(AND(OR(LEFT(TH!L23,2)="15",LEFT(TH!M23,2)="15"),TK!$E$7=TH!F23),"x","")</f>
        <v/>
      </c>
      <c r="Z23" s="898" t="str">
        <f>IF(AND(B23&lt;=NKC!$N$8,B23&gt;=NKC!$M$8),"x","")</f>
        <v/>
      </c>
      <c r="AA23" s="899"/>
    </row>
    <row r="24" spans="1:27" s="900" customFormat="1" ht="15.75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812">
        <f t="shared" si="3"/>
        <v>41456</v>
      </c>
      <c r="D24" s="812" t="s">
        <v>343</v>
      </c>
      <c r="E24" s="812">
        <v>41456</v>
      </c>
      <c r="F24" s="704" t="s">
        <v>1286</v>
      </c>
      <c r="G24" s="901"/>
      <c r="H24" s="616"/>
      <c r="I24" s="484"/>
      <c r="J24" s="484"/>
      <c r="K24" s="706">
        <v>18250000</v>
      </c>
      <c r="L24" s="707" t="s">
        <v>165</v>
      </c>
      <c r="M24" s="707" t="s">
        <v>266</v>
      </c>
      <c r="N24" s="898" t="str">
        <f>IF(AND('331-CT'!$E$7=TH!H24,OR(L24="331",M24="331")),"331",IF(AND(OR(L24="131",M24="131"),H24='131-CT'!$E$7),"131",""))</f>
        <v/>
      </c>
      <c r="O24" s="898" t="str">
        <f>IF(AND($B24&gt;='111'!$N$11,$B24&lt;='111'!$O$11,OR($L24=$O$7,$M24=$O$7)),"x","")</f>
        <v/>
      </c>
      <c r="P24" s="898" t="str">
        <f>IF(AND($L24=$O$7,$B24&lt;'111'!$N$11),"x","")</f>
        <v/>
      </c>
      <c r="Q24" s="898" t="str">
        <f>IF(AND($M24=$O$7,$B24&lt;'111'!$N$11),"x","")</f>
        <v/>
      </c>
      <c r="R24" s="898" t="str">
        <f>IF(ISERROR(FIND('112'!$M$9,G24,1)),"",IF((AND(FIND('112'!$M$9,G24,1)&gt;=1,$B24&gt;='112'!$N$8,$B24&lt;='112'!$O$8,OR($L24='112'!$I$6,$M24='112'!$I$6))),"x",""))</f>
        <v/>
      </c>
      <c r="S24" s="898" t="str">
        <f>IF(ISERROR(FIND('112'!$M$9,G24,1)),"",IF((AND(LEFT(G24,2)=LEFT('112'!$M$9,2),B24&lt;'112'!$N$8,$L24='112'!$I$6)),"x",""))</f>
        <v/>
      </c>
      <c r="T24" s="898" t="str">
        <f>IF(ISERROR(FIND('112'!$M$9,G24,1)),"",IF((AND(RIGHT(G24,2)=RIGHT('112'!$M$9,2),B24&lt;'112'!$N$8,$M24='112'!$I$6)),"x",""))</f>
        <v/>
      </c>
      <c r="U24" s="898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898" t="str">
        <f>IF(OR(TH!L24=TH!$V$7,M24=TH!$V$7),"x","")</f>
        <v/>
      </c>
      <c r="W24" s="898" t="str">
        <f>IF(AND(B24&gt;='IN-NX'!$P$3,B24&lt;='IN-NX'!$Q$3,'IN-NX'!$D$7=D24,OR(LEFT(L24,2)="15",AND(LEFT(M24,2)&lt;&gt;"15",LEFT(M24,2)&lt;&gt;"33"))),"x","")</f>
        <v/>
      </c>
      <c r="X24" s="898" t="str">
        <f>IF(AND(OR(LEFT(TH!L24,2)="15",LEFT(TH!M24,2)="15"),'152-CT'!$J$8=TH!F24),"x","")</f>
        <v/>
      </c>
      <c r="Y24" s="898" t="str">
        <f>IF(AND(OR(LEFT(TH!L24,2)="15",LEFT(TH!M24,2)="15"),TK!$E$7=TH!F24),"x","")</f>
        <v/>
      </c>
      <c r="Z24" s="898" t="str">
        <f>IF(AND(B24&lt;=NKC!$N$8,B24&gt;=NKC!$M$8),"x","")</f>
        <v>x</v>
      </c>
      <c r="AA24" s="899"/>
    </row>
    <row r="25" spans="1:27" s="900" customFormat="1" ht="15.75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812">
        <f t="shared" si="3"/>
        <v>41548</v>
      </c>
      <c r="D25" s="812" t="s">
        <v>343</v>
      </c>
      <c r="E25" s="812">
        <v>41548</v>
      </c>
      <c r="F25" s="704" t="s">
        <v>1286</v>
      </c>
      <c r="G25" s="901"/>
      <c r="H25" s="616"/>
      <c r="I25" s="484"/>
      <c r="J25" s="484"/>
      <c r="K25" s="706">
        <v>18250000</v>
      </c>
      <c r="L25" s="707" t="s">
        <v>165</v>
      </c>
      <c r="M25" s="707" t="s">
        <v>266</v>
      </c>
      <c r="N25" s="898" t="str">
        <f>IF(AND('331-CT'!$E$7=TH!H25,OR(L25="331",M25="331")),"331",IF(AND(OR(L25="131",M25="131"),H25='131-CT'!$E$7),"131",""))</f>
        <v/>
      </c>
      <c r="O25" s="898" t="str">
        <f>IF(AND($B25&gt;='111'!$N$11,$B25&lt;='111'!$O$11,OR($L25=$O$7,$M25=$O$7)),"x","")</f>
        <v/>
      </c>
      <c r="P25" s="898" t="str">
        <f>IF(AND($L25=$O$7,$B25&lt;'111'!$N$11),"x","")</f>
        <v/>
      </c>
      <c r="Q25" s="898" t="str">
        <f>IF(AND($M25=$O$7,$B25&lt;'111'!$N$11),"x","")</f>
        <v/>
      </c>
      <c r="R25" s="898" t="str">
        <f>IF(ISERROR(FIND('112'!$M$9,G25,1)),"",IF((AND(FIND('112'!$M$9,G25,1)&gt;=1,$B25&gt;='112'!$N$8,$B25&lt;='112'!$O$8,OR($L25='112'!$I$6,$M25='112'!$I$6))),"x",""))</f>
        <v/>
      </c>
      <c r="S25" s="898" t="str">
        <f>IF(ISERROR(FIND('112'!$M$9,G25,1)),"",IF((AND(LEFT(G25,2)=LEFT('112'!$M$9,2),B25&lt;'112'!$N$8,$L25='112'!$I$6)),"x",""))</f>
        <v/>
      </c>
      <c r="T25" s="898" t="str">
        <f>IF(ISERROR(FIND('112'!$M$9,G25,1)),"",IF((AND(RIGHT(G25,2)=RIGHT('112'!$M$9,2),B25&lt;'112'!$N$8,$M25='112'!$I$6)),"x",""))</f>
        <v/>
      </c>
      <c r="U25" s="898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898" t="str">
        <f>IF(OR(TH!L25=TH!$V$7,M25=TH!$V$7),"x","")</f>
        <v/>
      </c>
      <c r="W25" s="898" t="str">
        <f>IF(AND(B25&gt;='IN-NX'!$P$3,B25&lt;='IN-NX'!$Q$3,'IN-NX'!$D$7=D25,OR(LEFT(L25,2)="15",AND(LEFT(M25,2)&lt;&gt;"15",LEFT(M25,2)&lt;&gt;"33"))),"x","")</f>
        <v/>
      </c>
      <c r="X25" s="898" t="str">
        <f>IF(AND(OR(LEFT(TH!L25,2)="15",LEFT(TH!M25,2)="15"),'152-CT'!$J$8=TH!F25),"x","")</f>
        <v/>
      </c>
      <c r="Y25" s="898" t="str">
        <f>IF(AND(OR(LEFT(TH!L25,2)="15",LEFT(TH!M25,2)="15"),TK!$E$7=TH!F25),"x","")</f>
        <v/>
      </c>
      <c r="Z25" s="898" t="str">
        <f>IF(AND(B25&lt;=NKC!$N$8,B25&gt;=NKC!$M$8),"x","")</f>
        <v/>
      </c>
      <c r="AA25" s="899"/>
    </row>
    <row r="26" spans="1:27" s="900" customFormat="1" ht="15.75" customHeight="1">
      <c r="A26" s="204" t="str">
        <f>IF(B26&lt;&gt;"",IF(AND(B26&gt;=_TM1,B26&lt;=_TM2,OR(TH!L26="1111",TH!M26="1111")),TH!D26,""),"")</f>
        <v/>
      </c>
      <c r="B26" s="897">
        <f t="shared" ref="B26:B61" si="4">IF(C26&lt;&gt;"",MONTH(C26),"")</f>
        <v>1</v>
      </c>
      <c r="C26" s="812">
        <f t="shared" si="3"/>
        <v>41305</v>
      </c>
      <c r="D26" s="812" t="s">
        <v>343</v>
      </c>
      <c r="E26" s="812">
        <v>41305</v>
      </c>
      <c r="F26" s="704" t="s">
        <v>1287</v>
      </c>
      <c r="G26" s="705"/>
      <c r="H26" s="616"/>
      <c r="I26" s="484"/>
      <c r="J26" s="484"/>
      <c r="K26" s="706">
        <v>5880000</v>
      </c>
      <c r="L26" s="707" t="s">
        <v>83</v>
      </c>
      <c r="M26" s="707" t="s">
        <v>268</v>
      </c>
      <c r="N26" s="898" t="str">
        <f>IF(AND('331-CT'!$E$7=TH!H26,OR(L26="331",M26="331")),"331",IF(AND(OR(L26="131",M26="131"),H26='131-CT'!$E$7),"131",""))</f>
        <v/>
      </c>
      <c r="O26" s="898" t="str">
        <f>IF(AND($B26&gt;='111'!$N$11,$B26&lt;='111'!$O$11,OR($L26=$O$7,$M26=$O$7)),"x","")</f>
        <v/>
      </c>
      <c r="P26" s="898" t="str">
        <f>IF(AND($L26=$O$7,$B26&lt;'111'!$N$11),"x","")</f>
        <v/>
      </c>
      <c r="Q26" s="898" t="str">
        <f>IF(AND($M26=$O$7,$B26&lt;'111'!$N$11),"x","")</f>
        <v/>
      </c>
      <c r="R26" s="898" t="str">
        <f>IF(ISERROR(FIND('112'!$M$9,G26,1)),"",IF((AND(FIND('112'!$M$9,G26,1)&gt;=1,$B26&gt;='112'!$N$8,$B26&lt;='112'!$O$8,OR($L26='112'!$I$6,$M26='112'!$I$6))),"x",""))</f>
        <v/>
      </c>
      <c r="S26" s="898" t="str">
        <f>IF(ISERROR(FIND('112'!$M$9,G26,1)),"",IF((AND(LEFT(G26,2)=LEFT('112'!$M$9,2),B26&lt;'112'!$N$8,$L26='112'!$I$6)),"x",""))</f>
        <v/>
      </c>
      <c r="T26" s="898" t="str">
        <f>IF(ISERROR(FIND('112'!$M$9,G26,1)),"",IF((AND(RIGHT(G26,2)=RIGHT('112'!$M$9,2),B26&lt;'112'!$N$8,$M26='112'!$I$6)),"x",""))</f>
        <v/>
      </c>
      <c r="U26" s="898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898" t="str">
        <f>IF(OR(TH!L26=TH!$V$7,M26=TH!$V$7),"x","")</f>
        <v>x</v>
      </c>
      <c r="W26" s="898" t="str">
        <f>IF(AND(B26&gt;='IN-NX'!$P$3,B26&lt;='IN-NX'!$Q$3,'IN-NX'!$D$7=D26,OR(LEFT(L26,2)="15",AND(LEFT(M26,2)&lt;&gt;"15",LEFT(M26,2)&lt;&gt;"33"))),"x","")</f>
        <v/>
      </c>
      <c r="X26" s="898" t="str">
        <f>IF(AND(OR(LEFT(TH!L26,2)="15",LEFT(TH!M26,2)="15"),'152-CT'!$J$8=TH!F26),"x","")</f>
        <v/>
      </c>
      <c r="Y26" s="898" t="str">
        <f>IF(AND(OR(LEFT(TH!L26,2)="15",LEFT(TH!M26,2)="15"),TK!$E$7=TH!F26),"x","")</f>
        <v/>
      </c>
      <c r="Z26" s="898" t="str">
        <f>IF(AND(B26&lt;=NKC!$N$8,B26&gt;=NKC!$M$8),"x","")</f>
        <v/>
      </c>
      <c r="AA26" s="899"/>
    </row>
    <row r="27" spans="1:27" s="900" customFormat="1" ht="15.75" customHeight="1">
      <c r="A27" s="204" t="str">
        <f>IF(B27&lt;&gt;"",IF(AND(B27&gt;=_TM1,B27&lt;=_TM2,OR(TH!L27="1111",TH!M27="1111")),TH!D27,""),"")</f>
        <v/>
      </c>
      <c r="B27" s="897">
        <f t="shared" si="4"/>
        <v>1</v>
      </c>
      <c r="C27" s="812">
        <f t="shared" si="3"/>
        <v>41305</v>
      </c>
      <c r="D27" s="812" t="s">
        <v>343</v>
      </c>
      <c r="E27" s="812">
        <v>41305</v>
      </c>
      <c r="F27" s="704" t="s">
        <v>1288</v>
      </c>
      <c r="G27" s="705"/>
      <c r="H27" s="616"/>
      <c r="I27" s="484"/>
      <c r="J27" s="484"/>
      <c r="K27" s="706">
        <v>7570000</v>
      </c>
      <c r="L27" s="707" t="s">
        <v>165</v>
      </c>
      <c r="M27" s="707" t="s">
        <v>268</v>
      </c>
      <c r="N27" s="898" t="str">
        <f>IF(AND('331-CT'!$E$7=TH!H27,OR(L27="331",M27="331")),"331",IF(AND(OR(L27="131",M27="131"),H27='131-CT'!$E$7),"131",""))</f>
        <v/>
      </c>
      <c r="O27" s="898" t="str">
        <f>IF(AND($B27&gt;='111'!$N$11,$B27&lt;='111'!$O$11,OR($L27=$O$7,$M27=$O$7)),"x","")</f>
        <v/>
      </c>
      <c r="P27" s="898" t="str">
        <f>IF(AND($L27=$O$7,$B27&lt;'111'!$N$11),"x","")</f>
        <v/>
      </c>
      <c r="Q27" s="898" t="str">
        <f>IF(AND($M27=$O$7,$B27&lt;'111'!$N$11),"x","")</f>
        <v/>
      </c>
      <c r="R27" s="898" t="str">
        <f>IF(ISERROR(FIND('112'!$M$9,G27,1)),"",IF((AND(FIND('112'!$M$9,G27,1)&gt;=1,$B27&gt;='112'!$N$8,$B27&lt;='112'!$O$8,OR($L27='112'!$I$6,$M27='112'!$I$6))),"x",""))</f>
        <v/>
      </c>
      <c r="S27" s="898" t="str">
        <f>IF(ISERROR(FIND('112'!$M$9,G27,1)),"",IF((AND(LEFT(G27,2)=LEFT('112'!$M$9,2),B27&lt;'112'!$N$8,$L27='112'!$I$6)),"x",""))</f>
        <v/>
      </c>
      <c r="T27" s="898" t="str">
        <f>IF(ISERROR(FIND('112'!$M$9,G27,1)),"",IF((AND(RIGHT(G27,2)=RIGHT('112'!$M$9,2),B27&lt;'112'!$N$8,$M27='112'!$I$6)),"x",""))</f>
        <v/>
      </c>
      <c r="U27" s="898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898" t="str">
        <f>IF(OR(TH!L27=TH!$V$7,M27=TH!$V$7),"x","")</f>
        <v/>
      </c>
      <c r="W27" s="898" t="str">
        <f>IF(AND(B27&gt;='IN-NX'!$P$3,B27&lt;='IN-NX'!$Q$3,'IN-NX'!$D$7=D27,OR(LEFT(L27,2)="15",AND(LEFT(M27,2)&lt;&gt;"15",LEFT(M27,2)&lt;&gt;"33"))),"x","")</f>
        <v/>
      </c>
      <c r="X27" s="898" t="str">
        <f>IF(AND(OR(LEFT(TH!L27,2)="15",LEFT(TH!M27,2)="15"),'152-CT'!$J$8=TH!F27),"x","")</f>
        <v/>
      </c>
      <c r="Y27" s="898" t="str">
        <f>IF(AND(OR(LEFT(TH!L27,2)="15",LEFT(TH!M27,2)="15"),TK!$E$7=TH!F27),"x","")</f>
        <v/>
      </c>
      <c r="Z27" s="898" t="str">
        <f>IF(AND(B27&lt;=NKC!$N$8,B27&gt;=NKC!$M$8),"x","")</f>
        <v/>
      </c>
      <c r="AA27" s="899"/>
    </row>
    <row r="28" spans="1:27" s="900" customFormat="1" ht="15.75" customHeight="1">
      <c r="A28" s="204" t="str">
        <f>IF(B28&lt;&gt;"",IF(AND(B28&gt;=_TM1,B28&lt;=_TM2,OR(TH!L28="1111",TH!M28="1111")),TH!D28,""),"")</f>
        <v/>
      </c>
      <c r="B28" s="897">
        <f t="shared" si="4"/>
        <v>1</v>
      </c>
      <c r="C28" s="812">
        <f t="shared" si="3"/>
        <v>41305</v>
      </c>
      <c r="D28" s="812" t="s">
        <v>343</v>
      </c>
      <c r="E28" s="812">
        <v>41305</v>
      </c>
      <c r="F28" s="704" t="str">
        <f>"Thanh toán tiền lương tháng "&amp;MONTH(E28)&amp;"/"&amp;YEAR(E28)</f>
        <v>Thanh toán tiền lương tháng 1/2013</v>
      </c>
      <c r="G28" s="705"/>
      <c r="H28" s="616"/>
      <c r="I28" s="484"/>
      <c r="J28" s="484"/>
      <c r="K28" s="706">
        <f>K26+K27</f>
        <v>13450000</v>
      </c>
      <c r="L28" s="707" t="s">
        <v>268</v>
      </c>
      <c r="M28" s="707" t="s">
        <v>47</v>
      </c>
      <c r="N28" s="898" t="str">
        <f>IF(AND('331-CT'!$E$7=TH!H28,OR(L28="331",M28="331")),"331",IF(AND(OR(L28="131",M28="131"),H28='131-CT'!$E$7),"131",""))</f>
        <v/>
      </c>
      <c r="O28" s="898" t="str">
        <f>IF(AND($B28&gt;='111'!$N$11,$B28&lt;='111'!$O$11,OR($L28=$O$7,$M28=$O$7)),"x","")</f>
        <v/>
      </c>
      <c r="P28" s="898" t="str">
        <f>IF(AND($L28=$O$7,$B28&lt;'111'!$N$11),"x","")</f>
        <v/>
      </c>
      <c r="Q28" s="898" t="str">
        <f>IF(AND($M28=$O$7,$B28&lt;'111'!$N$11),"x","")</f>
        <v>x</v>
      </c>
      <c r="R28" s="898" t="str">
        <f>IF(ISERROR(FIND('112'!$M$9,G28,1)),"",IF((AND(FIND('112'!$M$9,G28,1)&gt;=1,$B28&gt;='112'!$N$8,$B28&lt;='112'!$O$8,OR($L28='112'!$I$6,$M28='112'!$I$6))),"x",""))</f>
        <v/>
      </c>
      <c r="S28" s="898" t="str">
        <f>IF(ISERROR(FIND('112'!$M$9,G28,1)),"",IF((AND(LEFT(G28,2)=LEFT('112'!$M$9,2),B28&lt;'112'!$N$8,$L28='112'!$I$6)),"x",""))</f>
        <v/>
      </c>
      <c r="T28" s="898" t="str">
        <f>IF(ISERROR(FIND('112'!$M$9,G28,1)),"",IF((AND(RIGHT(G28,2)=RIGHT('112'!$M$9,2),B28&lt;'112'!$N$8,$M28='112'!$I$6)),"x",""))</f>
        <v/>
      </c>
      <c r="U28" s="898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898" t="str">
        <f>IF(OR(TH!L28=TH!$V$7,M28=TH!$V$7),"x","")</f>
        <v/>
      </c>
      <c r="W28" s="898" t="str">
        <f>IF(AND(B28&gt;='IN-NX'!$P$3,B28&lt;='IN-NX'!$Q$3,'IN-NX'!$D$7=D28,OR(LEFT(L28,2)="15",AND(LEFT(M28,2)&lt;&gt;"15",LEFT(M28,2)&lt;&gt;"33"))),"x","")</f>
        <v/>
      </c>
      <c r="X28" s="898" t="str">
        <f>IF(AND(OR(LEFT(TH!L28,2)="15",LEFT(TH!M28,2)="15"),'152-CT'!$J$8=TH!F28),"x","")</f>
        <v/>
      </c>
      <c r="Y28" s="898" t="str">
        <f>IF(AND(OR(LEFT(TH!L28,2)="15",LEFT(TH!M28,2)="15"),TK!$E$7=TH!F28),"x","")</f>
        <v/>
      </c>
      <c r="Z28" s="898" t="str">
        <f>IF(AND(B28&lt;=NKC!$N$8,B28&gt;=NKC!$M$8),"x","")</f>
        <v/>
      </c>
      <c r="AA28" s="899"/>
    </row>
    <row r="29" spans="1:27" ht="15.75" customHeight="1">
      <c r="A29" s="204" t="str">
        <f>IF(B29&lt;&gt;"",IF(AND(B29&gt;=_TM1,B29&lt;=_TM2,OR(TH!L29="1111",TH!M29="1111")),TH!D29,""),"")</f>
        <v/>
      </c>
      <c r="B29" s="36">
        <f t="shared" si="4"/>
        <v>2</v>
      </c>
      <c r="C29" s="812">
        <f t="shared" ref="C29:C40" si="5">E29</f>
        <v>41333</v>
      </c>
      <c r="D29" s="812" t="s">
        <v>343</v>
      </c>
      <c r="E29" s="812">
        <v>41333</v>
      </c>
      <c r="F29" s="704" t="s">
        <v>1287</v>
      </c>
      <c r="G29" s="705"/>
      <c r="H29" s="616"/>
      <c r="I29" s="484"/>
      <c r="J29" s="484"/>
      <c r="K29" s="706">
        <v>5700000</v>
      </c>
      <c r="L29" s="707" t="s">
        <v>83</v>
      </c>
      <c r="M29" s="707" t="s">
        <v>268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50"/>
    </row>
    <row r="30" spans="1:27" ht="15.75" customHeight="1">
      <c r="A30" s="204" t="str">
        <f>IF(B30&lt;&gt;"",IF(AND(B30&gt;=_TM1,B30&lt;=_TM2,OR(TH!L30="1111",TH!M30="1111")),TH!D30,""),"")</f>
        <v/>
      </c>
      <c r="B30" s="36">
        <f t="shared" si="4"/>
        <v>2</v>
      </c>
      <c r="C30" s="812">
        <f t="shared" si="5"/>
        <v>41333</v>
      </c>
      <c r="D30" s="812" t="s">
        <v>343</v>
      </c>
      <c r="E30" s="812">
        <v>41333</v>
      </c>
      <c r="F30" s="704" t="s">
        <v>1288</v>
      </c>
      <c r="G30" s="705"/>
      <c r="H30" s="616"/>
      <c r="I30" s="484"/>
      <c r="J30" s="484"/>
      <c r="K30" s="706">
        <v>7300000</v>
      </c>
      <c r="L30" s="707" t="s">
        <v>165</v>
      </c>
      <c r="M30" s="707" t="s">
        <v>268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50"/>
    </row>
    <row r="31" spans="1:27" ht="15.75" customHeight="1">
      <c r="A31" s="204" t="str">
        <f>IF(B31&lt;&gt;"",IF(AND(B31&gt;=_TM1,B31&lt;=_TM2,OR(TH!L31="1111",TH!M31="1111")),TH!D31,""),"")</f>
        <v/>
      </c>
      <c r="B31" s="36">
        <f t="shared" si="4"/>
        <v>2</v>
      </c>
      <c r="C31" s="812">
        <f t="shared" si="5"/>
        <v>41333</v>
      </c>
      <c r="D31" s="812" t="s">
        <v>343</v>
      </c>
      <c r="E31" s="812">
        <v>41333</v>
      </c>
      <c r="F31" s="704" t="str">
        <f t="shared" ref="F31" si="6">"Thanh toán tiền lương tháng "&amp;MONTH(E31)&amp;"/"&amp;YEAR(E31)</f>
        <v>Thanh toán tiền lương tháng 2/2013</v>
      </c>
      <c r="G31" s="705"/>
      <c r="H31" s="616"/>
      <c r="I31" s="484"/>
      <c r="J31" s="484"/>
      <c r="K31" s="706">
        <f t="shared" ref="K31" si="7">K29+K30</f>
        <v>13000000</v>
      </c>
      <c r="L31" s="707" t="s">
        <v>268</v>
      </c>
      <c r="M31" s="707" t="s">
        <v>47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>x</v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50"/>
    </row>
    <row r="32" spans="1:27" ht="15.75" customHeight="1">
      <c r="A32" s="204" t="str">
        <f>IF(B32&lt;&gt;"",IF(AND(B32&gt;=_TM1,B32&lt;=_TM2,OR(TH!L32="1111",TH!M32="1111")),TH!D32,""),"")</f>
        <v/>
      </c>
      <c r="B32" s="36">
        <f t="shared" si="4"/>
        <v>3</v>
      </c>
      <c r="C32" s="812">
        <f t="shared" si="5"/>
        <v>41364</v>
      </c>
      <c r="D32" s="812" t="s">
        <v>343</v>
      </c>
      <c r="E32" s="812">
        <v>41364</v>
      </c>
      <c r="F32" s="704" t="s">
        <v>1287</v>
      </c>
      <c r="G32" s="705"/>
      <c r="H32" s="616"/>
      <c r="I32" s="484"/>
      <c r="J32" s="484"/>
      <c r="K32" s="706">
        <v>5880000</v>
      </c>
      <c r="L32" s="707" t="s">
        <v>83</v>
      </c>
      <c r="M32" s="707" t="s">
        <v>268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>x</v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850"/>
    </row>
    <row r="33" spans="1:27" ht="15.75" customHeight="1">
      <c r="A33" s="204" t="str">
        <f>IF(B33&lt;&gt;"",IF(AND(B33&gt;=_TM1,B33&lt;=_TM2,OR(TH!L33="1111",TH!M33="1111")),TH!D33,""),"")</f>
        <v/>
      </c>
      <c r="B33" s="36">
        <f t="shared" si="4"/>
        <v>3</v>
      </c>
      <c r="C33" s="812">
        <f t="shared" si="5"/>
        <v>41364</v>
      </c>
      <c r="D33" s="812" t="s">
        <v>343</v>
      </c>
      <c r="E33" s="812">
        <v>41364</v>
      </c>
      <c r="F33" s="704" t="s">
        <v>1288</v>
      </c>
      <c r="G33" s="705"/>
      <c r="H33" s="616"/>
      <c r="I33" s="484"/>
      <c r="J33" s="484"/>
      <c r="K33" s="706">
        <v>7570000</v>
      </c>
      <c r="L33" s="707" t="s">
        <v>165</v>
      </c>
      <c r="M33" s="707" t="s">
        <v>268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50"/>
    </row>
    <row r="34" spans="1:27" ht="15.75" customHeight="1">
      <c r="A34" s="204" t="str">
        <f>IF(B34&lt;&gt;"",IF(AND(B34&gt;=_TM1,B34&lt;=_TM2,OR(TH!L34="1111",TH!M34="1111")),TH!D34,""),"")</f>
        <v/>
      </c>
      <c r="B34" s="36">
        <f t="shared" si="4"/>
        <v>3</v>
      </c>
      <c r="C34" s="812">
        <f t="shared" si="5"/>
        <v>41364</v>
      </c>
      <c r="D34" s="812" t="s">
        <v>343</v>
      </c>
      <c r="E34" s="812">
        <v>41364</v>
      </c>
      <c r="F34" s="704" t="str">
        <f t="shared" ref="F34" si="8">"Thanh toán tiền lương tháng "&amp;MONTH(E34)&amp;"/"&amp;YEAR(E34)</f>
        <v>Thanh toán tiền lương tháng 3/2013</v>
      </c>
      <c r="G34" s="705"/>
      <c r="H34" s="616"/>
      <c r="I34" s="484"/>
      <c r="J34" s="484"/>
      <c r="K34" s="706">
        <f t="shared" ref="K34" si="9">K32+K33</f>
        <v>13450000</v>
      </c>
      <c r="L34" s="707" t="s">
        <v>268</v>
      </c>
      <c r="M34" s="707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50"/>
    </row>
    <row r="35" spans="1:27" ht="15.75" customHeight="1">
      <c r="A35" s="204" t="str">
        <f>IF(B35&lt;&gt;"",IF(AND(B35&gt;=_TM1,B35&lt;=_TM2,OR(TH!L35="1111",TH!M35="1111")),TH!D35,""),"")</f>
        <v/>
      </c>
      <c r="B35" s="36">
        <f t="shared" si="4"/>
        <v>4</v>
      </c>
      <c r="C35" s="812">
        <f t="shared" si="5"/>
        <v>41394</v>
      </c>
      <c r="D35" s="812" t="s">
        <v>343</v>
      </c>
      <c r="E35" s="812">
        <v>41394</v>
      </c>
      <c r="F35" s="704" t="s">
        <v>1287</v>
      </c>
      <c r="G35" s="705"/>
      <c r="H35" s="616"/>
      <c r="I35" s="484"/>
      <c r="J35" s="484"/>
      <c r="K35" s="706">
        <v>5850000</v>
      </c>
      <c r="L35" s="707" t="s">
        <v>83</v>
      </c>
      <c r="M35" s="707" t="s">
        <v>268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V35" s="52" t="str">
        <f>IF(OR(TH!L35=TH!$V$7,M35=TH!$V$7),"x","")</f>
        <v>x</v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50"/>
    </row>
    <row r="36" spans="1:27" ht="15.75" customHeight="1">
      <c r="A36" s="204" t="str">
        <f>IF(B36&lt;&gt;"",IF(AND(B36&gt;=_TM1,B36&lt;=_TM2,OR(TH!L36="1111",TH!M36="1111")),TH!D36,""),"")</f>
        <v/>
      </c>
      <c r="B36" s="36">
        <f t="shared" si="4"/>
        <v>4</v>
      </c>
      <c r="C36" s="812">
        <f t="shared" si="5"/>
        <v>41394</v>
      </c>
      <c r="D36" s="812" t="s">
        <v>343</v>
      </c>
      <c r="E36" s="812">
        <v>41394</v>
      </c>
      <c r="F36" s="704" t="s">
        <v>1288</v>
      </c>
      <c r="G36" s="705"/>
      <c r="H36" s="616"/>
      <c r="I36" s="484"/>
      <c r="J36" s="484"/>
      <c r="K36" s="706">
        <v>7525000</v>
      </c>
      <c r="L36" s="707" t="s">
        <v>165</v>
      </c>
      <c r="M36" s="707" t="s">
        <v>268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50"/>
    </row>
    <row r="37" spans="1:27" ht="15.75" customHeight="1">
      <c r="A37" s="204" t="str">
        <f>IF(B37&lt;&gt;"",IF(AND(B37&gt;=_TM1,B37&lt;=_TM2,OR(TH!L37="1111",TH!M37="1111")),TH!D37,""),"")</f>
        <v/>
      </c>
      <c r="B37" s="36">
        <f t="shared" si="4"/>
        <v>4</v>
      </c>
      <c r="C37" s="812">
        <f t="shared" si="5"/>
        <v>41394</v>
      </c>
      <c r="D37" s="812" t="s">
        <v>343</v>
      </c>
      <c r="E37" s="812">
        <v>41394</v>
      </c>
      <c r="F37" s="704" t="str">
        <f t="shared" ref="F37" si="10">"Thanh toán tiền lương tháng "&amp;MONTH(E37)&amp;"/"&amp;YEAR(E37)</f>
        <v>Thanh toán tiền lương tháng 4/2013</v>
      </c>
      <c r="G37" s="705"/>
      <c r="H37" s="616"/>
      <c r="I37" s="484"/>
      <c r="J37" s="484"/>
      <c r="K37" s="706">
        <f t="shared" ref="K37" si="11">K35+K36</f>
        <v>13375000</v>
      </c>
      <c r="L37" s="707" t="s">
        <v>268</v>
      </c>
      <c r="M37" s="707" t="s">
        <v>47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50"/>
    </row>
    <row r="38" spans="1:27" ht="15.75" customHeight="1">
      <c r="A38" s="204" t="str">
        <f>IF(B38&lt;&gt;"",IF(AND(B38&gt;=_TM1,B38&lt;=_TM2,OR(TH!L38="1111",TH!M38="1111")),TH!D38,""),"")</f>
        <v/>
      </c>
      <c r="B38" s="36">
        <f t="shared" si="4"/>
        <v>5</v>
      </c>
      <c r="C38" s="812">
        <f t="shared" si="5"/>
        <v>41425</v>
      </c>
      <c r="D38" s="812" t="s">
        <v>343</v>
      </c>
      <c r="E38" s="812">
        <v>41425</v>
      </c>
      <c r="F38" s="704" t="s">
        <v>1287</v>
      </c>
      <c r="G38" s="705"/>
      <c r="H38" s="616"/>
      <c r="I38" s="484"/>
      <c r="J38" s="484"/>
      <c r="K38" s="706">
        <v>5880000</v>
      </c>
      <c r="L38" s="707" t="s">
        <v>83</v>
      </c>
      <c r="M38" s="707" t="s">
        <v>268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V38" s="52" t="str">
        <f>IF(OR(TH!L38=TH!$V$7,M38=TH!$V$7),"x","")</f>
        <v>x</v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50"/>
    </row>
    <row r="39" spans="1:27" ht="15.75" customHeight="1">
      <c r="A39" s="204" t="str">
        <f>IF(B39&lt;&gt;"",IF(AND(B39&gt;=_TM1,B39&lt;=_TM2,OR(TH!L39="1111",TH!M39="1111")),TH!D39,""),"")</f>
        <v/>
      </c>
      <c r="B39" s="36">
        <f t="shared" si="4"/>
        <v>5</v>
      </c>
      <c r="C39" s="812">
        <f t="shared" si="5"/>
        <v>41425</v>
      </c>
      <c r="D39" s="812" t="s">
        <v>343</v>
      </c>
      <c r="E39" s="812">
        <v>41425</v>
      </c>
      <c r="F39" s="704" t="s">
        <v>1288</v>
      </c>
      <c r="G39" s="705"/>
      <c r="H39" s="616"/>
      <c r="I39" s="484"/>
      <c r="J39" s="484"/>
      <c r="K39" s="706">
        <v>7570000</v>
      </c>
      <c r="L39" s="707" t="s">
        <v>165</v>
      </c>
      <c r="M39" s="707" t="s">
        <v>268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50"/>
    </row>
    <row r="40" spans="1:27" ht="15.75" customHeight="1">
      <c r="A40" s="204" t="str">
        <f>IF(B40&lt;&gt;"",IF(AND(B40&gt;=_TM1,B40&lt;=_TM2,OR(TH!L40="1111",TH!M40="1111")),TH!D40,""),"")</f>
        <v/>
      </c>
      <c r="B40" s="36">
        <f t="shared" si="4"/>
        <v>5</v>
      </c>
      <c r="C40" s="812">
        <f t="shared" si="5"/>
        <v>41425</v>
      </c>
      <c r="D40" s="812" t="s">
        <v>343</v>
      </c>
      <c r="E40" s="812">
        <v>41425</v>
      </c>
      <c r="F40" s="704" t="str">
        <f t="shared" ref="F40" si="12">"Thanh toán tiền lương tháng "&amp;MONTH(E40)&amp;"/"&amp;YEAR(E40)</f>
        <v>Thanh toán tiền lương tháng 5/2013</v>
      </c>
      <c r="G40" s="705"/>
      <c r="H40" s="616"/>
      <c r="I40" s="484"/>
      <c r="J40" s="484"/>
      <c r="K40" s="706">
        <f t="shared" ref="K40" si="13">K38+K39</f>
        <v>13450000</v>
      </c>
      <c r="L40" s="707" t="s">
        <v>268</v>
      </c>
      <c r="M40" s="707" t="s">
        <v>47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>x</v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50"/>
    </row>
    <row r="41" spans="1:27" ht="15.75" customHeight="1">
      <c r="A41" s="204" t="str">
        <f>IF(B41&lt;&gt;"",IF(AND(B41&gt;=_TM1,B41&lt;=_TM2,OR(TH!L41="1111",TH!M41="1111")),TH!D41,""),"")</f>
        <v/>
      </c>
      <c r="B41" s="36">
        <f t="shared" si="4"/>
        <v>6</v>
      </c>
      <c r="C41" s="812">
        <f t="shared" ref="C41:C52" si="14">E41</f>
        <v>41455</v>
      </c>
      <c r="D41" s="812" t="s">
        <v>343</v>
      </c>
      <c r="E41" s="812">
        <v>41455</v>
      </c>
      <c r="F41" s="704" t="s">
        <v>1287</v>
      </c>
      <c r="G41" s="705"/>
      <c r="H41" s="616"/>
      <c r="I41" s="484"/>
      <c r="J41" s="484"/>
      <c r="K41" s="706">
        <v>5850000</v>
      </c>
      <c r="L41" s="707" t="s">
        <v>83</v>
      </c>
      <c r="M41" s="707" t="s">
        <v>268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V41" s="52" t="str">
        <f>IF(OR(TH!L41=TH!$V$7,M41=TH!$V$7),"x","")</f>
        <v>x</v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50"/>
    </row>
    <row r="42" spans="1:27" ht="15.75" customHeight="1">
      <c r="A42" s="204" t="str">
        <f>IF(B42&lt;&gt;"",IF(AND(B42&gt;=_TM1,B42&lt;=_TM2,OR(TH!L42="1111",TH!M42="1111")),TH!D42,""),"")</f>
        <v/>
      </c>
      <c r="B42" s="36">
        <f t="shared" si="4"/>
        <v>6</v>
      </c>
      <c r="C42" s="812">
        <f t="shared" si="14"/>
        <v>41455</v>
      </c>
      <c r="D42" s="812" t="s">
        <v>343</v>
      </c>
      <c r="E42" s="812">
        <v>41455</v>
      </c>
      <c r="F42" s="704" t="s">
        <v>1288</v>
      </c>
      <c r="G42" s="705"/>
      <c r="H42" s="616"/>
      <c r="I42" s="484"/>
      <c r="J42" s="484"/>
      <c r="K42" s="706">
        <v>7525000</v>
      </c>
      <c r="L42" s="707" t="s">
        <v>165</v>
      </c>
      <c r="M42" s="707" t="s">
        <v>268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50"/>
    </row>
    <row r="43" spans="1:27" ht="15.75" customHeight="1">
      <c r="A43" s="204" t="str">
        <f>IF(B43&lt;&gt;"",IF(AND(B43&gt;=_TM1,B43&lt;=_TM2,OR(TH!L43="1111",TH!M43="1111")),TH!D43,""),"")</f>
        <v/>
      </c>
      <c r="B43" s="36">
        <f t="shared" si="4"/>
        <v>6</v>
      </c>
      <c r="C43" s="812">
        <f t="shared" si="14"/>
        <v>41455</v>
      </c>
      <c r="D43" s="812" t="s">
        <v>343</v>
      </c>
      <c r="E43" s="812">
        <v>41455</v>
      </c>
      <c r="F43" s="704" t="str">
        <f t="shared" ref="F43:F52" si="15">"Thanh toán tiền lương tháng "&amp;MONTH(E43)&amp;"/"&amp;YEAR(E43)</f>
        <v>Thanh toán tiền lương tháng 6/2013</v>
      </c>
      <c r="G43" s="705"/>
      <c r="H43" s="616"/>
      <c r="I43" s="484"/>
      <c r="J43" s="484"/>
      <c r="K43" s="706">
        <f t="shared" ref="K43" si="16">K41+K42</f>
        <v>13375000</v>
      </c>
      <c r="L43" s="707" t="s">
        <v>268</v>
      </c>
      <c r="M43" s="707" t="s">
        <v>47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50"/>
    </row>
    <row r="44" spans="1:27" ht="15.75" customHeight="1">
      <c r="A44" s="204" t="str">
        <f>IF(B44&lt;&gt;"",IF(AND(B44&gt;=_TM1,B44&lt;=_TM2,OR(TH!L44="1111",TH!M44="1111")),TH!D44,""),"")</f>
        <v/>
      </c>
      <c r="B44" s="36">
        <f t="shared" si="4"/>
        <v>7</v>
      </c>
      <c r="C44" s="812">
        <f t="shared" si="14"/>
        <v>41486</v>
      </c>
      <c r="D44" s="812" t="s">
        <v>343</v>
      </c>
      <c r="E44" s="812">
        <v>41486</v>
      </c>
      <c r="F44" s="704" t="s">
        <v>1287</v>
      </c>
      <c r="G44" s="705"/>
      <c r="H44" s="616"/>
      <c r="I44" s="484"/>
      <c r="J44" s="484"/>
      <c r="K44" s="706">
        <v>5910000</v>
      </c>
      <c r="L44" s="707" t="s">
        <v>83</v>
      </c>
      <c r="M44" s="707" t="s">
        <v>268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>x</v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>x</v>
      </c>
      <c r="AA44" s="850"/>
    </row>
    <row r="45" spans="1:27" ht="15.75" customHeight="1">
      <c r="A45" s="204" t="str">
        <f>IF(B45&lt;&gt;"",IF(AND(B45&gt;=_TM1,B45&lt;=_TM2,OR(TH!L45="1111",TH!M45="1111")),TH!D45,""),"")</f>
        <v/>
      </c>
      <c r="B45" s="36">
        <f t="shared" si="4"/>
        <v>7</v>
      </c>
      <c r="C45" s="812">
        <f t="shared" si="14"/>
        <v>41486</v>
      </c>
      <c r="D45" s="812" t="s">
        <v>343</v>
      </c>
      <c r="E45" s="812">
        <v>41486</v>
      </c>
      <c r="F45" s="704" t="s">
        <v>1288</v>
      </c>
      <c r="G45" s="705"/>
      <c r="H45" s="616"/>
      <c r="I45" s="484"/>
      <c r="J45" s="484"/>
      <c r="K45" s="706">
        <v>7615000</v>
      </c>
      <c r="L45" s="707" t="s">
        <v>165</v>
      </c>
      <c r="M45" s="707" t="s">
        <v>268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>x</v>
      </c>
      <c r="AA45" s="850"/>
    </row>
    <row r="46" spans="1:27" ht="15.75" customHeight="1">
      <c r="A46" s="204" t="str">
        <f>IF(B46&lt;&gt;"",IF(AND(B46&gt;=_TM1,B46&lt;=_TM2,OR(TH!L46="1111",TH!M46="1111")),TH!D46,""),"")</f>
        <v/>
      </c>
      <c r="B46" s="36">
        <f t="shared" si="4"/>
        <v>7</v>
      </c>
      <c r="C46" s="812">
        <f t="shared" si="14"/>
        <v>41486</v>
      </c>
      <c r="D46" s="812" t="s">
        <v>343</v>
      </c>
      <c r="E46" s="812">
        <v>41486</v>
      </c>
      <c r="F46" s="704" t="str">
        <f t="shared" si="15"/>
        <v>Thanh toán tiền lương tháng 7/2013</v>
      </c>
      <c r="G46" s="705"/>
      <c r="H46" s="616"/>
      <c r="I46" s="484"/>
      <c r="J46" s="484"/>
      <c r="K46" s="706">
        <f t="shared" ref="K46" si="17">K44+K45</f>
        <v>13525000</v>
      </c>
      <c r="L46" s="707" t="s">
        <v>268</v>
      </c>
      <c r="M46" s="707" t="s">
        <v>47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>x</v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>x</v>
      </c>
      <c r="AA46" s="850"/>
    </row>
    <row r="47" spans="1:27" ht="15.75" customHeight="1">
      <c r="A47" s="204" t="str">
        <f>IF(B47&lt;&gt;"",IF(AND(B47&gt;=_TM1,B47&lt;=_TM2,OR(TH!L47="1111",TH!M47="1111")),TH!D47,""),"")</f>
        <v/>
      </c>
      <c r="B47" s="36">
        <f t="shared" si="4"/>
        <v>8</v>
      </c>
      <c r="C47" s="812">
        <f t="shared" si="14"/>
        <v>41517</v>
      </c>
      <c r="D47" s="812" t="s">
        <v>343</v>
      </c>
      <c r="E47" s="812">
        <v>41517</v>
      </c>
      <c r="F47" s="704" t="s">
        <v>1287</v>
      </c>
      <c r="G47" s="705"/>
      <c r="H47" s="616"/>
      <c r="I47" s="484"/>
      <c r="J47" s="484"/>
      <c r="K47" s="706">
        <v>5910000</v>
      </c>
      <c r="L47" s="707" t="s">
        <v>83</v>
      </c>
      <c r="M47" s="707" t="s">
        <v>268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>x</v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>x</v>
      </c>
      <c r="AA47" s="850"/>
    </row>
    <row r="48" spans="1:27" ht="15.75" customHeight="1">
      <c r="A48" s="204" t="str">
        <f>IF(B48&lt;&gt;"",IF(AND(B48&gt;=_TM1,B48&lt;=_TM2,OR(TH!L48="1111",TH!M48="1111")),TH!D48,""),"")</f>
        <v/>
      </c>
      <c r="B48" s="36">
        <f t="shared" si="4"/>
        <v>8</v>
      </c>
      <c r="C48" s="812">
        <f t="shared" si="14"/>
        <v>41517</v>
      </c>
      <c r="D48" s="812" t="s">
        <v>343</v>
      </c>
      <c r="E48" s="812">
        <v>41517</v>
      </c>
      <c r="F48" s="704" t="s">
        <v>1288</v>
      </c>
      <c r="G48" s="705"/>
      <c r="H48" s="616"/>
      <c r="I48" s="484"/>
      <c r="J48" s="484"/>
      <c r="K48" s="706">
        <v>7615000</v>
      </c>
      <c r="L48" s="707" t="s">
        <v>165</v>
      </c>
      <c r="M48" s="707" t="s">
        <v>268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>x</v>
      </c>
      <c r="AA48" s="850"/>
    </row>
    <row r="49" spans="1:28" ht="15.75" customHeight="1">
      <c r="A49" s="204" t="str">
        <f>IF(B49&lt;&gt;"",IF(AND(B49&gt;=_TM1,B49&lt;=_TM2,OR(TH!L49="1111",TH!M49="1111")),TH!D49,""),"")</f>
        <v/>
      </c>
      <c r="B49" s="36">
        <f t="shared" si="4"/>
        <v>8</v>
      </c>
      <c r="C49" s="812">
        <f t="shared" si="14"/>
        <v>41517</v>
      </c>
      <c r="D49" s="812" t="s">
        <v>343</v>
      </c>
      <c r="E49" s="812">
        <v>41517</v>
      </c>
      <c r="F49" s="704" t="str">
        <f t="shared" si="15"/>
        <v>Thanh toán tiền lương tháng 8/2013</v>
      </c>
      <c r="G49" s="705"/>
      <c r="H49" s="616"/>
      <c r="I49" s="484"/>
      <c r="J49" s="484"/>
      <c r="K49" s="706">
        <f t="shared" ref="K49" si="18">K47+K48</f>
        <v>13525000</v>
      </c>
      <c r="L49" s="707" t="s">
        <v>268</v>
      </c>
      <c r="M49" s="707" t="s">
        <v>47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>x</v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>x</v>
      </c>
      <c r="AA49" s="850"/>
    </row>
    <row r="50" spans="1:28" ht="15.75" customHeight="1">
      <c r="A50" s="204" t="str">
        <f>IF(B50&lt;&gt;"",IF(AND(B50&gt;=_TM1,B50&lt;=_TM2,OR(TH!L50="1111",TH!M50="1111")),TH!D50,""),"")</f>
        <v/>
      </c>
      <c r="B50" s="36">
        <f t="shared" si="4"/>
        <v>9</v>
      </c>
      <c r="C50" s="812">
        <f t="shared" si="14"/>
        <v>41547</v>
      </c>
      <c r="D50" s="812" t="s">
        <v>343</v>
      </c>
      <c r="E50" s="812">
        <v>41547</v>
      </c>
      <c r="F50" s="704" t="s">
        <v>1287</v>
      </c>
      <c r="G50" s="705"/>
      <c r="H50" s="616"/>
      <c r="I50" s="484"/>
      <c r="J50" s="484"/>
      <c r="K50" s="706">
        <v>5820000</v>
      </c>
      <c r="L50" s="707" t="s">
        <v>83</v>
      </c>
      <c r="M50" s="707" t="s">
        <v>268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>x</v>
      </c>
      <c r="AA50" s="850"/>
    </row>
    <row r="51" spans="1:28" ht="15.75" customHeight="1">
      <c r="A51" s="204" t="str">
        <f>IF(B51&lt;&gt;"",IF(AND(B51&gt;=_TM1,B51&lt;=_TM2,OR(TH!L51="1111",TH!M51="1111")),TH!D51,""),"")</f>
        <v/>
      </c>
      <c r="B51" s="36">
        <f t="shared" si="4"/>
        <v>9</v>
      </c>
      <c r="C51" s="812">
        <f t="shared" si="14"/>
        <v>41547</v>
      </c>
      <c r="D51" s="812" t="s">
        <v>343</v>
      </c>
      <c r="E51" s="812">
        <v>41547</v>
      </c>
      <c r="F51" s="704" t="s">
        <v>1288</v>
      </c>
      <c r="G51" s="705"/>
      <c r="H51" s="616"/>
      <c r="I51" s="484"/>
      <c r="J51" s="484"/>
      <c r="K51" s="706">
        <v>7480000</v>
      </c>
      <c r="L51" s="707" t="s">
        <v>165</v>
      </c>
      <c r="M51" s="707" t="s">
        <v>268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>x</v>
      </c>
      <c r="AA51" s="850"/>
    </row>
    <row r="52" spans="1:28" ht="15.75" customHeight="1">
      <c r="A52" s="204" t="str">
        <f>IF(B52&lt;&gt;"",IF(AND(B52&gt;=_TM1,B52&lt;=_TM2,OR(TH!L52="1111",TH!M52="1111")),TH!D52,""),"")</f>
        <v/>
      </c>
      <c r="B52" s="36">
        <f t="shared" si="4"/>
        <v>9</v>
      </c>
      <c r="C52" s="812">
        <f t="shared" si="14"/>
        <v>41547</v>
      </c>
      <c r="D52" s="812" t="s">
        <v>343</v>
      </c>
      <c r="E52" s="812">
        <v>41547</v>
      </c>
      <c r="F52" s="704" t="str">
        <f t="shared" si="15"/>
        <v>Thanh toán tiền lương tháng 9/2013</v>
      </c>
      <c r="G52" s="705"/>
      <c r="H52" s="616"/>
      <c r="I52" s="484"/>
      <c r="J52" s="484"/>
      <c r="K52" s="706">
        <f t="shared" ref="K52" si="19">K50+K51</f>
        <v>13300000</v>
      </c>
      <c r="L52" s="707" t="s">
        <v>268</v>
      </c>
      <c r="M52" s="707" t="s">
        <v>47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>x</v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>x</v>
      </c>
      <c r="AA52" s="850"/>
    </row>
    <row r="53" spans="1:28" ht="15.75" customHeight="1">
      <c r="A53" s="204" t="str">
        <f>IF(B53&lt;&gt;"",IF(AND(B53&gt;=_TM1,B53&lt;=_TM2,OR(TH!L53="1111",TH!M53="1111")),TH!D53,""),"")</f>
        <v/>
      </c>
      <c r="B53" s="36">
        <f t="shared" si="4"/>
        <v>10</v>
      </c>
      <c r="C53" s="812">
        <f t="shared" ref="C53:C61" si="20">E53</f>
        <v>41578</v>
      </c>
      <c r="D53" s="812" t="s">
        <v>343</v>
      </c>
      <c r="E53" s="812">
        <v>41578</v>
      </c>
      <c r="F53" s="704" t="s">
        <v>1287</v>
      </c>
      <c r="G53" s="705"/>
      <c r="H53" s="616"/>
      <c r="I53" s="484"/>
      <c r="J53" s="484"/>
      <c r="K53" s="706">
        <v>5910000</v>
      </c>
      <c r="L53" s="707" t="s">
        <v>83</v>
      </c>
      <c r="M53" s="707" t="s">
        <v>268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50"/>
    </row>
    <row r="54" spans="1:28" ht="15.75" customHeight="1">
      <c r="A54" s="204" t="str">
        <f>IF(B54&lt;&gt;"",IF(AND(B54&gt;=_TM1,B54&lt;=_TM2,OR(TH!L54="1111",TH!M54="1111")),TH!D54,""),"")</f>
        <v/>
      </c>
      <c r="B54" s="36">
        <f t="shared" si="4"/>
        <v>10</v>
      </c>
      <c r="C54" s="812">
        <f t="shared" si="20"/>
        <v>41578</v>
      </c>
      <c r="D54" s="812" t="s">
        <v>343</v>
      </c>
      <c r="E54" s="812">
        <v>41578</v>
      </c>
      <c r="F54" s="704" t="s">
        <v>1288</v>
      </c>
      <c r="G54" s="705"/>
      <c r="H54" s="616"/>
      <c r="I54" s="484"/>
      <c r="J54" s="484"/>
      <c r="K54" s="706">
        <v>7615000</v>
      </c>
      <c r="L54" s="707" t="s">
        <v>165</v>
      </c>
      <c r="M54" s="707" t="s">
        <v>268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50"/>
    </row>
    <row r="55" spans="1:28" ht="15.75" customHeight="1">
      <c r="A55" s="204" t="str">
        <f>IF(B55&lt;&gt;"",IF(AND(B55&gt;=_TM1,B55&lt;=_TM2,OR(TH!L55="1111",TH!M55="1111")),TH!D55,""),"")</f>
        <v>CTGS</v>
      </c>
      <c r="B55" s="36">
        <f t="shared" si="4"/>
        <v>10</v>
      </c>
      <c r="C55" s="812">
        <f t="shared" si="20"/>
        <v>41578</v>
      </c>
      <c r="D55" s="812" t="s">
        <v>343</v>
      </c>
      <c r="E55" s="812">
        <v>41578</v>
      </c>
      <c r="F55" s="704" t="str">
        <f t="shared" ref="F55:F61" si="21">"Thanh toán tiền lương tháng "&amp;MONTH(E55)&amp;"/"&amp;YEAR(E55)</f>
        <v>Thanh toán tiền lương tháng 10/2013</v>
      </c>
      <c r="G55" s="705"/>
      <c r="H55" s="616"/>
      <c r="I55" s="484"/>
      <c r="J55" s="484"/>
      <c r="K55" s="706">
        <f t="shared" ref="K55" si="22">K53+K54</f>
        <v>13525000</v>
      </c>
      <c r="L55" s="707" t="s">
        <v>268</v>
      </c>
      <c r="M55" s="707" t="s">
        <v>47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50"/>
    </row>
    <row r="56" spans="1:28" ht="15.75" customHeight="1">
      <c r="A56" s="204" t="str">
        <f>IF(B56&lt;&gt;"",IF(AND(B56&gt;=_TM1,B56&lt;=_TM2,OR(TH!L56="1111",TH!M56="1111")),TH!D56,""),"")</f>
        <v/>
      </c>
      <c r="B56" s="36">
        <f t="shared" si="4"/>
        <v>11</v>
      </c>
      <c r="C56" s="812">
        <f t="shared" si="20"/>
        <v>41608</v>
      </c>
      <c r="D56" s="812" t="s">
        <v>343</v>
      </c>
      <c r="E56" s="812">
        <v>41608</v>
      </c>
      <c r="F56" s="704" t="s">
        <v>1287</v>
      </c>
      <c r="G56" s="705"/>
      <c r="H56" s="616"/>
      <c r="I56" s="484"/>
      <c r="J56" s="484"/>
      <c r="K56" s="706">
        <v>5880000</v>
      </c>
      <c r="L56" s="707" t="s">
        <v>83</v>
      </c>
      <c r="M56" s="707" t="s">
        <v>268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>x</v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50"/>
    </row>
    <row r="57" spans="1:28" ht="15.75" customHeight="1">
      <c r="A57" s="204" t="str">
        <f>IF(B57&lt;&gt;"",IF(AND(B57&gt;=_TM1,B57&lt;=_TM2,OR(TH!L57="1111",TH!M57="1111")),TH!D57,""),"")</f>
        <v/>
      </c>
      <c r="B57" s="36">
        <f t="shared" si="4"/>
        <v>11</v>
      </c>
      <c r="C57" s="812">
        <f t="shared" si="20"/>
        <v>41608</v>
      </c>
      <c r="D57" s="812" t="s">
        <v>343</v>
      </c>
      <c r="E57" s="812">
        <v>41608</v>
      </c>
      <c r="F57" s="704" t="s">
        <v>1288</v>
      </c>
      <c r="G57" s="705"/>
      <c r="H57" s="616"/>
      <c r="I57" s="484"/>
      <c r="J57" s="484"/>
      <c r="K57" s="706">
        <v>7570000</v>
      </c>
      <c r="L57" s="707" t="s">
        <v>165</v>
      </c>
      <c r="M57" s="707" t="s">
        <v>268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50"/>
    </row>
    <row r="58" spans="1:28" ht="15.75" customHeight="1">
      <c r="A58" s="204" t="str">
        <f>IF(B58&lt;&gt;"",IF(AND(B58&gt;=_TM1,B58&lt;=_TM2,OR(TH!L58="1111",TH!M58="1111")),TH!D58,""),"")</f>
        <v>CTGS</v>
      </c>
      <c r="B58" s="36">
        <f t="shared" si="4"/>
        <v>11</v>
      </c>
      <c r="C58" s="812">
        <f t="shared" si="20"/>
        <v>41608</v>
      </c>
      <c r="D58" s="812" t="s">
        <v>343</v>
      </c>
      <c r="E58" s="812">
        <v>41608</v>
      </c>
      <c r="F58" s="704" t="str">
        <f t="shared" si="21"/>
        <v>Thanh toán tiền lương tháng 11/2013</v>
      </c>
      <c r="G58" s="705"/>
      <c r="H58" s="616"/>
      <c r="I58" s="484"/>
      <c r="J58" s="484"/>
      <c r="K58" s="706">
        <f t="shared" ref="K58" si="23">K56+K57</f>
        <v>13450000</v>
      </c>
      <c r="L58" s="707" t="s">
        <v>268</v>
      </c>
      <c r="M58" s="707" t="s">
        <v>47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50"/>
    </row>
    <row r="59" spans="1:28" ht="15.75" customHeight="1">
      <c r="A59" s="204" t="str">
        <f>IF(B59&lt;&gt;"",IF(AND(B59&gt;=_TM1,B59&lt;=_TM2,OR(TH!L59="1111",TH!M59="1111")),TH!D59,""),"")</f>
        <v/>
      </c>
      <c r="B59" s="36">
        <f t="shared" si="4"/>
        <v>12</v>
      </c>
      <c r="C59" s="812">
        <f t="shared" si="20"/>
        <v>41639</v>
      </c>
      <c r="D59" s="812" t="s">
        <v>343</v>
      </c>
      <c r="E59" s="812">
        <v>41639</v>
      </c>
      <c r="F59" s="704" t="s">
        <v>1287</v>
      </c>
      <c r="G59" s="705"/>
      <c r="H59" s="616"/>
      <c r="I59" s="484"/>
      <c r="J59" s="484"/>
      <c r="K59" s="706">
        <v>5880000</v>
      </c>
      <c r="L59" s="707" t="s">
        <v>83</v>
      </c>
      <c r="M59" s="707" t="s">
        <v>268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>x</v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50"/>
    </row>
    <row r="60" spans="1:28" ht="15.75" customHeight="1">
      <c r="A60" s="204" t="str">
        <f>IF(B60&lt;&gt;"",IF(AND(B60&gt;=_TM1,B60&lt;=_TM2,OR(TH!L60="1111",TH!M60="1111")),TH!D60,""),"")</f>
        <v/>
      </c>
      <c r="B60" s="36">
        <f t="shared" si="4"/>
        <v>12</v>
      </c>
      <c r="C60" s="812">
        <f t="shared" si="20"/>
        <v>41639</v>
      </c>
      <c r="D60" s="812" t="s">
        <v>343</v>
      </c>
      <c r="E60" s="812">
        <v>41639</v>
      </c>
      <c r="F60" s="704" t="s">
        <v>1288</v>
      </c>
      <c r="G60" s="705"/>
      <c r="H60" s="616"/>
      <c r="I60" s="484"/>
      <c r="J60" s="484"/>
      <c r="K60" s="706">
        <v>7570000</v>
      </c>
      <c r="L60" s="707" t="s">
        <v>165</v>
      </c>
      <c r="M60" s="707" t="s">
        <v>268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50"/>
    </row>
    <row r="61" spans="1:28" ht="15.75" customHeight="1">
      <c r="A61" s="204" t="str">
        <f>IF(B61&lt;&gt;"",IF(AND(B61&gt;=_TM1,B61&lt;=_TM2,OR(TH!L61="1111",TH!M61="1111")),TH!D61,""),"")</f>
        <v>CTGS</v>
      </c>
      <c r="B61" s="36">
        <f t="shared" si="4"/>
        <v>12</v>
      </c>
      <c r="C61" s="812">
        <f t="shared" si="20"/>
        <v>41639</v>
      </c>
      <c r="D61" s="812" t="s">
        <v>343</v>
      </c>
      <c r="E61" s="812">
        <v>41639</v>
      </c>
      <c r="F61" s="704" t="str">
        <f t="shared" si="21"/>
        <v>Thanh toán tiền lương tháng 12/2013</v>
      </c>
      <c r="G61" s="705"/>
      <c r="H61" s="616"/>
      <c r="I61" s="484"/>
      <c r="J61" s="484"/>
      <c r="K61" s="706">
        <f t="shared" ref="K61" si="24">K59+K60</f>
        <v>13450000</v>
      </c>
      <c r="L61" s="707" t="s">
        <v>268</v>
      </c>
      <c r="M61" s="707" t="s">
        <v>47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50"/>
    </row>
    <row r="62" spans="1:28" s="594" customFormat="1" ht="15.75" customHeight="1">
      <c r="A62" s="204" t="str">
        <f>IF(B62&lt;&gt;"",IF(AND(B62&gt;=_TM1,B62&lt;=_TM2,OR(TH!L62="1111",TH!M62="1111")),TH!D62,""),"")</f>
        <v/>
      </c>
      <c r="B62" s="36">
        <f t="shared" si="0"/>
        <v>1</v>
      </c>
      <c r="C62" s="184">
        <v>41276</v>
      </c>
      <c r="D62" s="184" t="s">
        <v>405</v>
      </c>
      <c r="E62" s="191">
        <v>41235</v>
      </c>
      <c r="F62" s="189" t="s">
        <v>346</v>
      </c>
      <c r="G62" s="664" t="s">
        <v>494</v>
      </c>
      <c r="H62" s="7" t="s">
        <v>375</v>
      </c>
      <c r="I62" s="256">
        <v>72</v>
      </c>
      <c r="J62" s="258">
        <v>42000</v>
      </c>
      <c r="K62" s="38">
        <f>ROUND(I62*J62,0)</f>
        <v>3024000</v>
      </c>
      <c r="L62" s="603" t="s">
        <v>161</v>
      </c>
      <c r="M62" s="603" t="s">
        <v>8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50"/>
    </row>
    <row r="63" spans="1:28" s="594" customFormat="1" ht="15.75" customHeight="1">
      <c r="A63" s="204" t="str">
        <f>IF(B63&lt;&gt;"",IF(AND(B63&gt;=_TM1,B63&lt;=_TM2,OR(TH!L63="1111",TH!M63="1111")),TH!D63,""),"")</f>
        <v/>
      </c>
      <c r="B63" s="36">
        <f t="shared" si="0"/>
        <v>1</v>
      </c>
      <c r="C63" s="184">
        <v>41276</v>
      </c>
      <c r="D63" s="184" t="s">
        <v>405</v>
      </c>
      <c r="E63" s="191">
        <v>41235</v>
      </c>
      <c r="F63" s="189" t="s">
        <v>347</v>
      </c>
      <c r="G63" s="664" t="s">
        <v>494</v>
      </c>
      <c r="H63" s="7" t="s">
        <v>375</v>
      </c>
      <c r="I63" s="257"/>
      <c r="J63" s="258"/>
      <c r="K63" s="835">
        <v>40753</v>
      </c>
      <c r="L63" s="603" t="s">
        <v>83</v>
      </c>
      <c r="M63" s="603" t="s">
        <v>8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>x</v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50"/>
      <c r="AB63" s="594">
        <v>3</v>
      </c>
    </row>
    <row r="64" spans="1:28" s="594" customFormat="1" ht="15.75" customHeight="1">
      <c r="A64" s="204" t="str">
        <f>IF(B64&lt;&gt;"",IF(AND(B64&gt;=_TM1,B64&lt;=_TM2,OR(TH!L64="1111",TH!M64="1111")),TH!D64,""),"")</f>
        <v/>
      </c>
      <c r="B64" s="36">
        <f t="shared" si="0"/>
        <v>1</v>
      </c>
      <c r="C64" s="184">
        <v>41276</v>
      </c>
      <c r="D64" s="184" t="s">
        <v>405</v>
      </c>
      <c r="E64" s="191">
        <v>41235</v>
      </c>
      <c r="F64" s="189" t="s">
        <v>347</v>
      </c>
      <c r="G64" s="664" t="s">
        <v>494</v>
      </c>
      <c r="H64" s="7" t="s">
        <v>375</v>
      </c>
      <c r="I64" s="257"/>
      <c r="J64" s="258"/>
      <c r="K64" s="835">
        <f>302400-40753</f>
        <v>261647</v>
      </c>
      <c r="L64" s="603" t="s">
        <v>9</v>
      </c>
      <c r="M64" s="603" t="s">
        <v>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50"/>
      <c r="AB64" s="594">
        <v>3</v>
      </c>
    </row>
    <row r="65" spans="1:30" s="594" customFormat="1" ht="15.75" customHeight="1">
      <c r="A65" s="204" t="str">
        <f>IF(B65&lt;&gt;"",IF(AND(B65&gt;=_TM1,B65&lt;=_TM2,OR(TH!L65="1111",TH!M65="1111")),TH!D65,""),"")</f>
        <v/>
      </c>
      <c r="B65" s="36">
        <f t="shared" si="0"/>
        <v>1</v>
      </c>
      <c r="C65" s="184">
        <v>41276</v>
      </c>
      <c r="D65" s="184" t="s">
        <v>378</v>
      </c>
      <c r="E65" s="191">
        <v>41235</v>
      </c>
      <c r="F65" s="189" t="s">
        <v>371</v>
      </c>
      <c r="G65" s="664" t="s">
        <v>494</v>
      </c>
      <c r="H65" s="7" t="s">
        <v>375</v>
      </c>
      <c r="I65" s="257"/>
      <c r="J65" s="258"/>
      <c r="K65" s="602">
        <v>3326400</v>
      </c>
      <c r="L65" s="603" t="s">
        <v>8</v>
      </c>
      <c r="M65" s="603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50"/>
    </row>
    <row r="66" spans="1:30" ht="15.75" customHeight="1">
      <c r="A66" s="204" t="str">
        <f>IF(B66&lt;&gt;"",IF(AND(B66&gt;=_TM1,B66&lt;=_TM2,OR(TH!L66="1111",TH!M66="1111")),TH!D66,""),"")</f>
        <v/>
      </c>
      <c r="B66" s="36">
        <f t="shared" si="0"/>
        <v>1</v>
      </c>
      <c r="C66" s="184">
        <f t="shared" ref="C66:C129" si="25">E66</f>
        <v>41277</v>
      </c>
      <c r="D66" s="184" t="s">
        <v>379</v>
      </c>
      <c r="E66" s="184">
        <v>41277</v>
      </c>
      <c r="F66" s="189" t="s">
        <v>367</v>
      </c>
      <c r="G66" s="604" t="s">
        <v>336</v>
      </c>
      <c r="H66" s="7" t="s">
        <v>495</v>
      </c>
      <c r="I66" s="256"/>
      <c r="J66" s="256"/>
      <c r="K66" s="602">
        <v>40200000</v>
      </c>
      <c r="L66" s="603" t="s">
        <v>24</v>
      </c>
      <c r="M66" s="603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>x</v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50"/>
      <c r="AB66" s="594"/>
      <c r="AC66" s="594"/>
      <c r="AD66" s="594"/>
    </row>
    <row r="67" spans="1:30" ht="15.75" customHeight="1">
      <c r="A67" s="204" t="str">
        <f>IF(B67&lt;&gt;"",IF(AND(B67&gt;=_TM1,B67&lt;=_TM2,OR(TH!L67="1111",TH!M67="1111")),TH!D67,""),"")</f>
        <v/>
      </c>
      <c r="B67" s="36">
        <f t="shared" si="0"/>
        <v>1</v>
      </c>
      <c r="C67" s="184">
        <f t="shared" si="25"/>
        <v>41277</v>
      </c>
      <c r="D67" s="184" t="s">
        <v>340</v>
      </c>
      <c r="E67" s="191">
        <v>41277</v>
      </c>
      <c r="F67" s="189" t="s">
        <v>371</v>
      </c>
      <c r="G67" s="604" t="s">
        <v>336</v>
      </c>
      <c r="H67" s="193" t="s">
        <v>1112</v>
      </c>
      <c r="I67" s="257"/>
      <c r="J67" s="258"/>
      <c r="K67" s="38">
        <v>40160922</v>
      </c>
      <c r="L67" s="603" t="s">
        <v>8</v>
      </c>
      <c r="M67" s="603" t="s">
        <v>24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>x</v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50"/>
      <c r="AB67" s="211"/>
      <c r="AC67" s="594"/>
      <c r="AD67" s="594"/>
    </row>
    <row r="68" spans="1:30" s="594" customFormat="1" ht="15.75" customHeight="1">
      <c r="A68" s="204" t="str">
        <f>IF(B68&lt;&gt;"",IF(AND(B68&gt;=_TM1,B68&lt;=_TM2,OR(TH!L68="1111",TH!M68="1111")),TH!D68,""),"")</f>
        <v/>
      </c>
      <c r="B68" s="36">
        <f t="shared" si="0"/>
        <v>1</v>
      </c>
      <c r="C68" s="184">
        <f t="shared" si="25"/>
        <v>41277</v>
      </c>
      <c r="D68" s="184" t="s">
        <v>340</v>
      </c>
      <c r="E68" s="191">
        <v>41277</v>
      </c>
      <c r="F68" s="189" t="s">
        <v>342</v>
      </c>
      <c r="G68" s="604" t="s">
        <v>336</v>
      </c>
      <c r="H68" s="7"/>
      <c r="I68" s="257"/>
      <c r="J68" s="258"/>
      <c r="K68" s="38">
        <v>20080</v>
      </c>
      <c r="L68" s="603" t="s">
        <v>83</v>
      </c>
      <c r="M68" s="603" t="s">
        <v>24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>x</v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>x</v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50"/>
      <c r="AB68" s="211"/>
    </row>
    <row r="69" spans="1:30" s="594" customFormat="1" ht="15.75" customHeight="1">
      <c r="A69" s="204" t="str">
        <f>IF(B69&lt;&gt;"",IF(AND(B69&gt;=_TM1,B69&lt;=_TM2,OR(TH!L69="1111",TH!M69="1111")),TH!D69,""),"")</f>
        <v/>
      </c>
      <c r="B69" s="36">
        <f t="shared" si="0"/>
        <v>1</v>
      </c>
      <c r="C69" s="184">
        <f t="shared" si="25"/>
        <v>41277</v>
      </c>
      <c r="D69" s="184" t="s">
        <v>340</v>
      </c>
      <c r="E69" s="191">
        <v>41277</v>
      </c>
      <c r="F69" s="189" t="s">
        <v>496</v>
      </c>
      <c r="G69" s="604" t="s">
        <v>336</v>
      </c>
      <c r="H69" s="7"/>
      <c r="I69" s="257"/>
      <c r="J69" s="258"/>
      <c r="K69" s="38">
        <v>12000</v>
      </c>
      <c r="L69" s="603" t="s">
        <v>83</v>
      </c>
      <c r="M69" s="603" t="s">
        <v>24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>x</v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>x</v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50"/>
    </row>
    <row r="70" spans="1:30" s="594" customFormat="1" ht="15.75" customHeight="1">
      <c r="A70" s="204" t="str">
        <f>IF(B70&lt;&gt;"",IF(AND(B70&gt;=_TM1,B70&lt;=_TM2,OR(TH!L70="1111",TH!M70="1111")),TH!D70,""),"")</f>
        <v/>
      </c>
      <c r="B70" s="36">
        <f t="shared" si="0"/>
        <v>1</v>
      </c>
      <c r="C70" s="184">
        <f t="shared" si="25"/>
        <v>41281</v>
      </c>
      <c r="D70" s="184" t="s">
        <v>406</v>
      </c>
      <c r="E70" s="191">
        <v>41281</v>
      </c>
      <c r="F70" s="189" t="s">
        <v>373</v>
      </c>
      <c r="G70" s="664" t="s">
        <v>497</v>
      </c>
      <c r="H70" s="7" t="s">
        <v>498</v>
      </c>
      <c r="I70" s="257">
        <v>50</v>
      </c>
      <c r="J70" s="258">
        <v>25000</v>
      </c>
      <c r="K70" s="38">
        <f>ROUND(I70*J70,0)</f>
        <v>1250000</v>
      </c>
      <c r="L70" s="603" t="s">
        <v>161</v>
      </c>
      <c r="M70" s="603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>x</v>
      </c>
      <c r="Z70" s="52" t="str">
        <f>IF(AND(B70&lt;=NKC!$N$8,B70&gt;=NKC!$M$8),"x","")</f>
        <v/>
      </c>
      <c r="AA70" s="850"/>
    </row>
    <row r="71" spans="1:30" s="594" customFormat="1" ht="15.75" customHeight="1">
      <c r="A71" s="204" t="str">
        <f>IF(B71&lt;&gt;"",IF(AND(B71&gt;=_TM1,B71&lt;=_TM2,OR(TH!L71="1111",TH!M71="1111")),TH!D71,""),"")</f>
        <v/>
      </c>
      <c r="B71" s="36">
        <f t="shared" si="0"/>
        <v>1</v>
      </c>
      <c r="C71" s="184">
        <f t="shared" si="25"/>
        <v>41281</v>
      </c>
      <c r="D71" s="184" t="s">
        <v>406</v>
      </c>
      <c r="E71" s="191">
        <v>41281</v>
      </c>
      <c r="F71" s="189" t="s">
        <v>374</v>
      </c>
      <c r="G71" s="664" t="s">
        <v>497</v>
      </c>
      <c r="H71" s="7" t="s">
        <v>498</v>
      </c>
      <c r="I71" s="257"/>
      <c r="J71" s="258"/>
      <c r="K71" s="38">
        <v>125000</v>
      </c>
      <c r="L71" s="603" t="s">
        <v>9</v>
      </c>
      <c r="M71" s="603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50"/>
      <c r="AB71" s="594">
        <v>1</v>
      </c>
      <c r="AC71" s="211"/>
    </row>
    <row r="72" spans="1:30" s="594" customFormat="1" ht="15.75" customHeight="1">
      <c r="A72" s="204" t="str">
        <f>IF(B72&lt;&gt;"",IF(AND(B72&gt;=_TM1,B72&lt;=_TM2,OR(TH!L72="1111",TH!M72="1111")),TH!D72,""),"")</f>
        <v/>
      </c>
      <c r="B72" s="36">
        <f t="shared" si="0"/>
        <v>1</v>
      </c>
      <c r="C72" s="184">
        <f t="shared" si="25"/>
        <v>41281</v>
      </c>
      <c r="D72" s="184" t="s">
        <v>380</v>
      </c>
      <c r="E72" s="191">
        <v>41281</v>
      </c>
      <c r="F72" s="189" t="s">
        <v>371</v>
      </c>
      <c r="G72" s="664" t="s">
        <v>497</v>
      </c>
      <c r="H72" s="7" t="s">
        <v>498</v>
      </c>
      <c r="I72" s="257"/>
      <c r="J72" s="258"/>
      <c r="K72" s="38">
        <v>1375000</v>
      </c>
      <c r="L72" s="603" t="s">
        <v>8</v>
      </c>
      <c r="M72" s="603" t="s">
        <v>47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>x</v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50"/>
      <c r="AC72" s="211"/>
    </row>
    <row r="73" spans="1:30" s="594" customFormat="1" ht="15.75" customHeight="1">
      <c r="A73" s="204" t="str">
        <f>IF(B73&lt;&gt;"",IF(AND(B73&gt;=_TM1,B73&lt;=_TM2,OR(TH!L73="1111",TH!M73="1111")),TH!D73,""),"")</f>
        <v/>
      </c>
      <c r="B73" s="36">
        <f t="shared" si="0"/>
        <v>1</v>
      </c>
      <c r="C73" s="184">
        <f t="shared" si="25"/>
        <v>41282</v>
      </c>
      <c r="D73" s="184" t="s">
        <v>339</v>
      </c>
      <c r="E73" s="191">
        <v>41282</v>
      </c>
      <c r="F73" s="189" t="s">
        <v>341</v>
      </c>
      <c r="G73" s="604" t="s">
        <v>336</v>
      </c>
      <c r="H73" s="7" t="s">
        <v>499</v>
      </c>
      <c r="I73" s="257"/>
      <c r="J73" s="258"/>
      <c r="K73" s="38">
        <v>13032580</v>
      </c>
      <c r="L73" s="603" t="s">
        <v>24</v>
      </c>
      <c r="M73" s="603" t="s">
        <v>265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>x</v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50"/>
      <c r="AC73" s="211"/>
    </row>
    <row r="74" spans="1:30" s="594" customFormat="1" ht="15.75" customHeight="1">
      <c r="A74" s="204" t="str">
        <f>IF(B74&lt;&gt;"",IF(AND(B74&gt;=_TM1,B74&lt;=_TM2,OR(TH!L74="1111",TH!M74="1111")),TH!D74,""),"")</f>
        <v/>
      </c>
      <c r="B74" s="36">
        <f t="shared" si="0"/>
        <v>1</v>
      </c>
      <c r="C74" s="184">
        <f t="shared" si="25"/>
        <v>41283</v>
      </c>
      <c r="D74" s="184" t="s">
        <v>376</v>
      </c>
      <c r="E74" s="191">
        <v>41283</v>
      </c>
      <c r="F74" s="189" t="s">
        <v>500</v>
      </c>
      <c r="G74" s="604" t="s">
        <v>336</v>
      </c>
      <c r="H74" s="7" t="s">
        <v>495</v>
      </c>
      <c r="I74" s="257"/>
      <c r="J74" s="258"/>
      <c r="K74" s="38">
        <v>13000000</v>
      </c>
      <c r="L74" s="603" t="s">
        <v>47</v>
      </c>
      <c r="M74" s="603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>x</v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50"/>
      <c r="AC74" s="211"/>
    </row>
    <row r="75" spans="1:30" s="594" customFormat="1" ht="15.75" customHeight="1">
      <c r="A75" s="204" t="str">
        <f>IF(B75&lt;&gt;"",IF(AND(B75&gt;=_TM1,B75&lt;=_TM2,OR(TH!L75="1111",TH!M75="1111")),TH!D75,""),"")</f>
        <v/>
      </c>
      <c r="B75" s="36">
        <f t="shared" si="0"/>
        <v>1</v>
      </c>
      <c r="C75" s="184">
        <f t="shared" si="25"/>
        <v>41289</v>
      </c>
      <c r="D75" s="184" t="s">
        <v>339</v>
      </c>
      <c r="E75" s="184">
        <v>41289</v>
      </c>
      <c r="F75" s="189" t="s">
        <v>341</v>
      </c>
      <c r="G75" s="604" t="s">
        <v>336</v>
      </c>
      <c r="H75" s="7" t="s">
        <v>501</v>
      </c>
      <c r="I75" s="256"/>
      <c r="J75" s="256"/>
      <c r="K75" s="602">
        <v>9537088</v>
      </c>
      <c r="L75" s="603" t="s">
        <v>24</v>
      </c>
      <c r="M75" s="603" t="s">
        <v>265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>x</v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50"/>
    </row>
    <row r="76" spans="1:30" s="594" customFormat="1" ht="15.75" customHeight="1">
      <c r="A76" s="204" t="str">
        <f>IF(B76&lt;&gt;"",IF(AND(B76&gt;=_TM1,B76&lt;=_TM2,OR(TH!L76="1111",TH!M76="1111")),TH!D76,""),"")</f>
        <v/>
      </c>
      <c r="B76" s="36">
        <f t="shared" si="0"/>
        <v>1</v>
      </c>
      <c r="C76" s="184">
        <f t="shared" si="25"/>
        <v>41295</v>
      </c>
      <c r="D76" s="184" t="s">
        <v>377</v>
      </c>
      <c r="E76" s="184">
        <v>41295</v>
      </c>
      <c r="F76" s="189" t="s">
        <v>500</v>
      </c>
      <c r="G76" s="604" t="s">
        <v>336</v>
      </c>
      <c r="H76" s="7" t="s">
        <v>495</v>
      </c>
      <c r="I76" s="256"/>
      <c r="J76" s="256"/>
      <c r="K76" s="602">
        <v>9500000</v>
      </c>
      <c r="L76" s="603" t="s">
        <v>47</v>
      </c>
      <c r="M76" s="603" t="s">
        <v>24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>x</v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>x</v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50"/>
      <c r="AB76" s="211"/>
    </row>
    <row r="77" spans="1:30" s="594" customFormat="1" ht="15.75" customHeight="1">
      <c r="A77" s="204" t="str">
        <f>IF(B77&lt;&gt;"",IF(AND(B77&gt;=_TM1,B77&lt;=_TM2,OR(TH!L77="1111",TH!M77="1111")),TH!D77,""),"")</f>
        <v/>
      </c>
      <c r="B77" s="36">
        <f t="shared" si="0"/>
        <v>1</v>
      </c>
      <c r="C77" s="184">
        <f t="shared" si="25"/>
        <v>41299</v>
      </c>
      <c r="D77" s="184" t="s">
        <v>381</v>
      </c>
      <c r="E77" s="191">
        <v>41299</v>
      </c>
      <c r="F77" s="189" t="s">
        <v>367</v>
      </c>
      <c r="G77" s="604" t="s">
        <v>336</v>
      </c>
      <c r="H77" s="7" t="s">
        <v>495</v>
      </c>
      <c r="I77" s="257"/>
      <c r="J77" s="258"/>
      <c r="K77" s="38">
        <v>6500000</v>
      </c>
      <c r="L77" s="603" t="s">
        <v>24</v>
      </c>
      <c r="M77" s="603" t="s">
        <v>47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>x</v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>x</v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50"/>
      <c r="AC77" s="211"/>
    </row>
    <row r="78" spans="1:30" s="594" customFormat="1" ht="15.75" customHeight="1">
      <c r="A78" s="204" t="str">
        <f>IF(B78&lt;&gt;"",IF(AND(B78&gt;=_TM1,B78&lt;=_TM2,OR(TH!L78="1111",TH!M78="1111")),TH!D78,""),"")</f>
        <v/>
      </c>
      <c r="B78" s="36">
        <f t="shared" si="0"/>
        <v>1</v>
      </c>
      <c r="C78" s="184">
        <f t="shared" si="25"/>
        <v>41299</v>
      </c>
      <c r="D78" s="184" t="s">
        <v>339</v>
      </c>
      <c r="E78" s="191">
        <v>41299</v>
      </c>
      <c r="F78" s="189" t="s">
        <v>369</v>
      </c>
      <c r="G78" s="604" t="s">
        <v>336</v>
      </c>
      <c r="H78" s="7"/>
      <c r="I78" s="257"/>
      <c r="J78" s="258"/>
      <c r="K78" s="38">
        <v>4047</v>
      </c>
      <c r="L78" s="603" t="s">
        <v>24</v>
      </c>
      <c r="M78" s="603" t="s">
        <v>40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>x</v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50"/>
      <c r="AC78" s="211"/>
    </row>
    <row r="79" spans="1:30" s="594" customFormat="1" ht="15.75" customHeight="1">
      <c r="A79" s="204" t="str">
        <f>IF(B79&lt;&gt;"",IF(AND(B79&gt;=_TM1,B79&lt;=_TM2,OR(TH!L79="1111",TH!M79="1111")),TH!D79,""),"")</f>
        <v/>
      </c>
      <c r="B79" s="36">
        <f t="shared" si="0"/>
        <v>1</v>
      </c>
      <c r="C79" s="184">
        <f t="shared" si="25"/>
        <v>41299</v>
      </c>
      <c r="D79" s="184" t="s">
        <v>340</v>
      </c>
      <c r="E79" s="184">
        <v>41299</v>
      </c>
      <c r="F79" s="189" t="s">
        <v>371</v>
      </c>
      <c r="G79" s="604" t="s">
        <v>336</v>
      </c>
      <c r="H79" s="193" t="s">
        <v>1112</v>
      </c>
      <c r="I79" s="256"/>
      <c r="J79" s="256"/>
      <c r="K79" s="602">
        <v>6512000</v>
      </c>
      <c r="L79" s="603" t="s">
        <v>8</v>
      </c>
      <c r="M79" s="603" t="s">
        <v>24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>x</v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50"/>
      <c r="AB79" s="211"/>
    </row>
    <row r="80" spans="1:30" s="594" customFormat="1" ht="15.75" customHeight="1">
      <c r="A80" s="204" t="str">
        <f>IF(B80&lt;&gt;"",IF(AND(B80&gt;=_TM1,B80&lt;=_TM2,OR(TH!L80="1111",TH!M80="1111")),TH!D80,""),"")</f>
        <v/>
      </c>
      <c r="B80" s="36">
        <f t="shared" si="0"/>
        <v>1</v>
      </c>
      <c r="C80" s="184">
        <f t="shared" si="25"/>
        <v>41299</v>
      </c>
      <c r="D80" s="184" t="s">
        <v>340</v>
      </c>
      <c r="E80" s="184">
        <v>41299</v>
      </c>
      <c r="F80" s="189" t="s">
        <v>342</v>
      </c>
      <c r="G80" s="604" t="s">
        <v>336</v>
      </c>
      <c r="H80" s="45"/>
      <c r="I80" s="256"/>
      <c r="J80" s="256"/>
      <c r="K80" s="38">
        <v>10000</v>
      </c>
      <c r="L80" s="603" t="s">
        <v>83</v>
      </c>
      <c r="M80" s="603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>x</v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>x</v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50"/>
      <c r="AB80" s="211"/>
    </row>
    <row r="81" spans="1:29" s="594" customFormat="1" ht="15.75" customHeight="1">
      <c r="A81" s="204" t="str">
        <f>IF(B81&lt;&gt;"",IF(AND(B81&gt;=_TM1,B81&lt;=_TM2,OR(TH!L81="1111",TH!M81="1111")),TH!D81,""),"")</f>
        <v/>
      </c>
      <c r="B81" s="36">
        <f t="shared" si="0"/>
        <v>1</v>
      </c>
      <c r="C81" s="184">
        <f t="shared" si="25"/>
        <v>41299</v>
      </c>
      <c r="D81" s="184" t="s">
        <v>340</v>
      </c>
      <c r="E81" s="184">
        <v>41299</v>
      </c>
      <c r="F81" s="189" t="s">
        <v>496</v>
      </c>
      <c r="G81" s="604" t="s">
        <v>336</v>
      </c>
      <c r="H81" s="7"/>
      <c r="I81" s="257"/>
      <c r="J81" s="258"/>
      <c r="K81" s="38">
        <v>10000</v>
      </c>
      <c r="L81" s="603" t="s">
        <v>83</v>
      </c>
      <c r="M81" s="603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>x</v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>x</v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50"/>
    </row>
    <row r="82" spans="1:29" s="594" customFormat="1" ht="15.75" customHeight="1">
      <c r="A82" s="204" t="str">
        <f>IF(B82&lt;&gt;"",IF(AND(B82&gt;=_TM1,B82&lt;=_TM2,OR(TH!L82="1111",TH!M82="1111")),TH!D82,""),"")</f>
        <v/>
      </c>
      <c r="B82" s="36">
        <f t="shared" si="0"/>
        <v>1</v>
      </c>
      <c r="C82" s="184">
        <f t="shared" si="25"/>
        <v>41302</v>
      </c>
      <c r="D82" s="184" t="s">
        <v>339</v>
      </c>
      <c r="E82" s="191">
        <v>41302</v>
      </c>
      <c r="F82" s="189" t="s">
        <v>341</v>
      </c>
      <c r="G82" s="604" t="s">
        <v>336</v>
      </c>
      <c r="H82" s="7" t="s">
        <v>499</v>
      </c>
      <c r="I82" s="257"/>
      <c r="J82" s="258"/>
      <c r="K82" s="38">
        <v>17874670</v>
      </c>
      <c r="L82" s="603" t="s">
        <v>24</v>
      </c>
      <c r="M82" s="603" t="s">
        <v>265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>x</v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50"/>
    </row>
    <row r="83" spans="1:29" s="594" customFormat="1" ht="15.75" customHeight="1">
      <c r="A83" s="204" t="str">
        <f>IF(B83&lt;&gt;"",IF(AND(B83&gt;=_TM1,B83&lt;=_TM2,OR(TH!L83="1111",TH!M83="1111")),TH!D83,""),"")</f>
        <v/>
      </c>
      <c r="B83" s="36">
        <f t="shared" si="0"/>
        <v>1</v>
      </c>
      <c r="C83" s="184">
        <f t="shared" si="25"/>
        <v>41303</v>
      </c>
      <c r="D83" s="184" t="s">
        <v>339</v>
      </c>
      <c r="E83" s="184">
        <v>41303</v>
      </c>
      <c r="F83" s="189" t="s">
        <v>341</v>
      </c>
      <c r="G83" s="604" t="s">
        <v>336</v>
      </c>
      <c r="H83" s="7" t="s">
        <v>431</v>
      </c>
      <c r="I83" s="256"/>
      <c r="J83" s="256"/>
      <c r="K83" s="38">
        <v>15292860</v>
      </c>
      <c r="L83" s="603" t="s">
        <v>24</v>
      </c>
      <c r="M83" s="603" t="s">
        <v>265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>x</v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50"/>
    </row>
    <row r="84" spans="1:29" s="594" customFormat="1" ht="15.75" customHeight="1">
      <c r="A84" s="204" t="str">
        <f>IF(B84&lt;&gt;"",IF(AND(B84&gt;=_TM1,B84&lt;=_TM2,OR(TH!L84="1111",TH!M84="1111")),TH!D84,""),"")</f>
        <v/>
      </c>
      <c r="B84" s="36">
        <f t="shared" si="0"/>
        <v>1</v>
      </c>
      <c r="C84" s="184">
        <f t="shared" si="25"/>
        <v>41303</v>
      </c>
      <c r="D84" s="184" t="s">
        <v>382</v>
      </c>
      <c r="E84" s="191">
        <v>41303</v>
      </c>
      <c r="F84" s="189" t="s">
        <v>436</v>
      </c>
      <c r="G84" s="487" t="s">
        <v>502</v>
      </c>
      <c r="H84" s="7" t="s">
        <v>372</v>
      </c>
      <c r="I84" s="256"/>
      <c r="J84" s="256"/>
      <c r="K84" s="602">
        <v>2600000</v>
      </c>
      <c r="L84" s="603" t="s">
        <v>165</v>
      </c>
      <c r="M84" s="603" t="s">
        <v>47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>x</v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50"/>
    </row>
    <row r="85" spans="1:29" s="594" customFormat="1" ht="15.75" customHeight="1">
      <c r="A85" s="204" t="str">
        <f>IF(B85&lt;&gt;"",IF(AND(B85&gt;=_TM1,B85&lt;=_TM2,OR(TH!L85="1111",TH!M85="1111")),TH!D85,""),"")</f>
        <v/>
      </c>
      <c r="B85" s="36">
        <f t="shared" si="0"/>
        <v>1</v>
      </c>
      <c r="C85" s="184">
        <f t="shared" si="25"/>
        <v>41303</v>
      </c>
      <c r="D85" s="184" t="s">
        <v>382</v>
      </c>
      <c r="E85" s="191">
        <v>41303</v>
      </c>
      <c r="F85" s="189" t="s">
        <v>348</v>
      </c>
      <c r="G85" s="487" t="s">
        <v>502</v>
      </c>
      <c r="H85" s="7" t="s">
        <v>372</v>
      </c>
      <c r="I85" s="256"/>
      <c r="J85" s="256"/>
      <c r="K85" s="602">
        <v>260000</v>
      </c>
      <c r="L85" s="603" t="s">
        <v>9</v>
      </c>
      <c r="M85" s="603" t="s">
        <v>47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>x</v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50"/>
      <c r="AB85" s="211">
        <v>1</v>
      </c>
      <c r="AC85" s="211"/>
    </row>
    <row r="86" spans="1:29" s="594" customFormat="1" ht="15.75" customHeight="1">
      <c r="A86" s="204" t="str">
        <f>IF(B86&lt;&gt;"",IF(AND(B86&gt;=_TM1,B86&lt;=_TM2,OR(TH!L86="1111",TH!M86="1111")),TH!D86,""),"")</f>
        <v/>
      </c>
      <c r="B86" s="36">
        <f t="shared" si="0"/>
        <v>2</v>
      </c>
      <c r="C86" s="184">
        <f t="shared" si="25"/>
        <v>41306</v>
      </c>
      <c r="D86" s="184" t="s">
        <v>339</v>
      </c>
      <c r="E86" s="191">
        <v>41306</v>
      </c>
      <c r="F86" s="189" t="s">
        <v>341</v>
      </c>
      <c r="G86" s="604" t="s">
        <v>336</v>
      </c>
      <c r="H86" s="7" t="s">
        <v>501</v>
      </c>
      <c r="I86" s="257"/>
      <c r="J86" s="258"/>
      <c r="K86" s="38">
        <v>16276502</v>
      </c>
      <c r="L86" s="603" t="s">
        <v>24</v>
      </c>
      <c r="M86" s="603" t="s">
        <v>265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>x</v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50"/>
      <c r="AB86" s="211"/>
      <c r="AC86" s="211"/>
    </row>
    <row r="87" spans="1:29" s="594" customFormat="1" ht="15.75" customHeight="1">
      <c r="A87" s="204" t="str">
        <f>IF(B87&lt;&gt;"",IF(AND(B87&gt;=_TM1,B87&lt;=_TM2,OR(TH!L87="1111",TH!M87="1111")),TH!D87,""),"")</f>
        <v/>
      </c>
      <c r="B87" s="36">
        <f t="shared" si="0"/>
        <v>2</v>
      </c>
      <c r="C87" s="184">
        <f t="shared" si="25"/>
        <v>41306</v>
      </c>
      <c r="D87" s="184" t="s">
        <v>396</v>
      </c>
      <c r="E87" s="191">
        <v>41306</v>
      </c>
      <c r="F87" s="189" t="s">
        <v>500</v>
      </c>
      <c r="G87" s="604" t="s">
        <v>336</v>
      </c>
      <c r="H87" s="7" t="s">
        <v>495</v>
      </c>
      <c r="I87" s="257"/>
      <c r="J87" s="258"/>
      <c r="K87" s="38">
        <v>33000000</v>
      </c>
      <c r="L87" s="603" t="s">
        <v>47</v>
      </c>
      <c r="M87" s="603" t="s">
        <v>24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>x</v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>x</v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50"/>
      <c r="AB87" s="211"/>
      <c r="AC87" s="211"/>
    </row>
    <row r="88" spans="1:29" s="594" customFormat="1" ht="15.75" customHeight="1">
      <c r="A88" s="204" t="str">
        <f>IF(B88&lt;&gt;"",IF(AND(B88&gt;=_TM1,B88&lt;=_TM2,OR(TH!L88="1111",TH!M88="1111")),TH!D88,""),"")</f>
        <v/>
      </c>
      <c r="B88" s="36">
        <f t="shared" si="0"/>
        <v>2</v>
      </c>
      <c r="C88" s="184">
        <f t="shared" si="25"/>
        <v>41311</v>
      </c>
      <c r="D88" s="184" t="s">
        <v>383</v>
      </c>
      <c r="E88" s="184">
        <v>41311</v>
      </c>
      <c r="F88" s="189" t="s">
        <v>367</v>
      </c>
      <c r="G88" s="604" t="s">
        <v>336</v>
      </c>
      <c r="H88" s="7" t="s">
        <v>368</v>
      </c>
      <c r="I88" s="256"/>
      <c r="J88" s="256"/>
      <c r="K88" s="38">
        <v>40000000</v>
      </c>
      <c r="L88" s="603" t="s">
        <v>24</v>
      </c>
      <c r="M88" s="603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>x</v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50"/>
      <c r="AB88" s="211"/>
      <c r="AC88" s="211"/>
    </row>
    <row r="89" spans="1:29" s="594" customFormat="1" ht="15.75" customHeight="1">
      <c r="A89" s="204" t="str">
        <f>IF(B89&lt;&gt;"",IF(AND(B89&gt;=_TM1,B89&lt;=_TM2,OR(TH!L89="1111",TH!M89="1111")),TH!D89,""),"")</f>
        <v/>
      </c>
      <c r="B89" s="36">
        <f t="shared" si="0"/>
        <v>2</v>
      </c>
      <c r="C89" s="184">
        <f t="shared" si="25"/>
        <v>41311</v>
      </c>
      <c r="D89" s="184" t="s">
        <v>340</v>
      </c>
      <c r="E89" s="191">
        <v>41311</v>
      </c>
      <c r="F89" s="189" t="s">
        <v>371</v>
      </c>
      <c r="G89" s="604" t="s">
        <v>336</v>
      </c>
      <c r="H89" s="193" t="s">
        <v>585</v>
      </c>
      <c r="I89" s="257"/>
      <c r="J89" s="258"/>
      <c r="K89" s="38">
        <v>50000000</v>
      </c>
      <c r="L89" s="603" t="s">
        <v>8</v>
      </c>
      <c r="M89" s="603" t="s">
        <v>24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>x</v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50"/>
      <c r="AB89" s="211"/>
      <c r="AC89" s="211"/>
    </row>
    <row r="90" spans="1:29" s="594" customFormat="1" ht="15.75" customHeight="1">
      <c r="A90" s="204" t="str">
        <f>IF(B90&lt;&gt;"",IF(AND(B90&gt;=_TM1,B90&lt;=_TM2,OR(TH!L90="1111",TH!M90="1111")),TH!D90,""),"")</f>
        <v/>
      </c>
      <c r="B90" s="36">
        <f t="shared" si="0"/>
        <v>2</v>
      </c>
      <c r="C90" s="184">
        <f t="shared" si="25"/>
        <v>41311</v>
      </c>
      <c r="D90" s="184" t="s">
        <v>340</v>
      </c>
      <c r="E90" s="191">
        <v>41311</v>
      </c>
      <c r="F90" s="189" t="s">
        <v>371</v>
      </c>
      <c r="G90" s="604" t="s">
        <v>336</v>
      </c>
      <c r="H90" s="193" t="s">
        <v>1112</v>
      </c>
      <c r="I90" s="257"/>
      <c r="J90" s="258"/>
      <c r="K90" s="38">
        <v>6500000</v>
      </c>
      <c r="L90" s="603" t="s">
        <v>8</v>
      </c>
      <c r="M90" s="603" t="s">
        <v>24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>x</v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50"/>
    </row>
    <row r="91" spans="1:29" s="594" customFormat="1" ht="15.75" customHeight="1">
      <c r="A91" s="204" t="str">
        <f>IF(B91&lt;&gt;"",IF(AND(B91&gt;=_TM1,B91&lt;=_TM2,OR(TH!L91="1111",TH!M91="1111")),TH!D91,""),"")</f>
        <v/>
      </c>
      <c r="B91" s="36">
        <f t="shared" si="0"/>
        <v>2</v>
      </c>
      <c r="C91" s="184">
        <f t="shared" si="25"/>
        <v>41311</v>
      </c>
      <c r="D91" s="184" t="s">
        <v>340</v>
      </c>
      <c r="E91" s="191">
        <v>41311</v>
      </c>
      <c r="F91" s="189" t="s">
        <v>496</v>
      </c>
      <c r="G91" s="604" t="s">
        <v>336</v>
      </c>
      <c r="H91" s="7"/>
      <c r="I91" s="257"/>
      <c r="J91" s="258"/>
      <c r="K91" s="38">
        <v>11902</v>
      </c>
      <c r="L91" s="603" t="s">
        <v>83</v>
      </c>
      <c r="M91" s="603" t="s">
        <v>24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>x</v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>x</v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50"/>
      <c r="AB91" s="211"/>
    </row>
    <row r="92" spans="1:29" s="594" customFormat="1" ht="15.75" customHeight="1">
      <c r="A92" s="204" t="str">
        <f>IF(B92&lt;&gt;"",IF(AND(B92&gt;=_TM1,B92&lt;=_TM2,OR(TH!L92="1111",TH!M92="1111")),TH!D92,""),"")</f>
        <v/>
      </c>
      <c r="B92" s="36">
        <f t="shared" si="0"/>
        <v>2</v>
      </c>
      <c r="C92" s="184">
        <f t="shared" si="25"/>
        <v>41311</v>
      </c>
      <c r="D92" s="184" t="s">
        <v>340</v>
      </c>
      <c r="E92" s="191">
        <v>41311</v>
      </c>
      <c r="F92" s="189" t="s">
        <v>342</v>
      </c>
      <c r="G92" s="604" t="s">
        <v>336</v>
      </c>
      <c r="H92" s="7"/>
      <c r="I92" s="257"/>
      <c r="J92" s="258"/>
      <c r="K92" s="38">
        <v>25000</v>
      </c>
      <c r="L92" s="603" t="s">
        <v>83</v>
      </c>
      <c r="M92" s="603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>x</v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>x</v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50"/>
      <c r="AB92" s="211"/>
      <c r="AC92" s="211"/>
    </row>
    <row r="93" spans="1:29" s="594" customFormat="1" ht="15.75" customHeight="1">
      <c r="A93" s="204" t="str">
        <f>IF(B93&lt;&gt;"",IF(AND(B93&gt;=_TM1,B93&lt;=_TM2,OR(TH!L93="1111",TH!M93="1111")),TH!D93,""),"")</f>
        <v/>
      </c>
      <c r="B93" s="36">
        <f t="shared" si="0"/>
        <v>2</v>
      </c>
      <c r="C93" s="184">
        <f t="shared" si="25"/>
        <v>41311</v>
      </c>
      <c r="D93" s="184" t="s">
        <v>340</v>
      </c>
      <c r="E93" s="191">
        <v>41311</v>
      </c>
      <c r="F93" s="189" t="s">
        <v>342</v>
      </c>
      <c r="G93" s="604" t="s">
        <v>336</v>
      </c>
      <c r="H93" s="7"/>
      <c r="I93" s="256"/>
      <c r="J93" s="256"/>
      <c r="K93" s="38">
        <v>20000</v>
      </c>
      <c r="L93" s="603" t="s">
        <v>83</v>
      </c>
      <c r="M93" s="603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>x</v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50"/>
      <c r="AB93" s="211"/>
      <c r="AC93" s="211"/>
    </row>
    <row r="94" spans="1:29" s="594" customFormat="1" ht="15.75" customHeight="1">
      <c r="A94" s="204" t="str">
        <f>IF(B94&lt;&gt;"",IF(AND(B94&gt;=_TM1,B94&lt;=_TM2,OR(TH!L94="1111",TH!M94="1111")),TH!D94,""),"")</f>
        <v/>
      </c>
      <c r="B94" s="36">
        <f t="shared" si="0"/>
        <v>2</v>
      </c>
      <c r="C94" s="184">
        <f t="shared" si="25"/>
        <v>41330</v>
      </c>
      <c r="D94" s="184" t="s">
        <v>339</v>
      </c>
      <c r="E94" s="184">
        <v>41330</v>
      </c>
      <c r="F94" s="189" t="s">
        <v>369</v>
      </c>
      <c r="G94" s="604" t="s">
        <v>336</v>
      </c>
      <c r="H94" s="7"/>
      <c r="I94" s="256"/>
      <c r="J94" s="256"/>
      <c r="K94" s="38">
        <v>11280</v>
      </c>
      <c r="L94" s="603" t="s">
        <v>24</v>
      </c>
      <c r="M94" s="603" t="s">
        <v>40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>x</v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50"/>
      <c r="AB94" s="211"/>
    </row>
    <row r="95" spans="1:29" s="594" customFormat="1" ht="15.75" customHeight="1">
      <c r="A95" s="204" t="str">
        <f>IF(B95&lt;&gt;"",IF(AND(B95&gt;=_TM1,B95&lt;=_TM2,OR(TH!L95="1111",TH!M95="1111")),TH!D95,""),"")</f>
        <v/>
      </c>
      <c r="B95" s="36">
        <f t="shared" si="0"/>
        <v>2</v>
      </c>
      <c r="C95" s="184">
        <f t="shared" si="25"/>
        <v>41333</v>
      </c>
      <c r="D95" s="184" t="s">
        <v>339</v>
      </c>
      <c r="E95" s="191">
        <v>41333</v>
      </c>
      <c r="F95" s="189" t="s">
        <v>341</v>
      </c>
      <c r="G95" s="604" t="s">
        <v>336</v>
      </c>
      <c r="H95" s="7" t="s">
        <v>503</v>
      </c>
      <c r="I95" s="257"/>
      <c r="J95" s="258"/>
      <c r="K95" s="38">
        <v>10000000</v>
      </c>
      <c r="L95" s="603" t="s">
        <v>24</v>
      </c>
      <c r="M95" s="603" t="s">
        <v>265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>x</v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50"/>
      <c r="AB95" s="211"/>
    </row>
    <row r="96" spans="1:29" s="594" customFormat="1" ht="15.75" customHeight="1">
      <c r="A96" s="204" t="str">
        <f>IF(B96&lt;&gt;"",IF(AND(B96&gt;=_TM1,B96&lt;=_TM2,OR(TH!L96="1111",TH!M96="1111")),TH!D96,""),"")</f>
        <v/>
      </c>
      <c r="B96" s="36">
        <f t="shared" si="0"/>
        <v>3</v>
      </c>
      <c r="C96" s="184">
        <f t="shared" si="25"/>
        <v>41334</v>
      </c>
      <c r="D96" s="184" t="s">
        <v>340</v>
      </c>
      <c r="E96" s="191">
        <v>41334</v>
      </c>
      <c r="F96" s="189" t="s">
        <v>371</v>
      </c>
      <c r="G96" s="604" t="s">
        <v>336</v>
      </c>
      <c r="H96" s="193" t="s">
        <v>585</v>
      </c>
      <c r="I96" s="257"/>
      <c r="J96" s="258"/>
      <c r="K96" s="38">
        <v>10000000</v>
      </c>
      <c r="L96" s="603" t="s">
        <v>8</v>
      </c>
      <c r="M96" s="603" t="s">
        <v>24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>x</v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50"/>
      <c r="AB96" s="211"/>
    </row>
    <row r="97" spans="1:30" s="594" customFormat="1" ht="15.75" customHeight="1">
      <c r="A97" s="204" t="str">
        <f>IF(B97&lt;&gt;"",IF(AND(B97&gt;=_TM1,B97&lt;=_TM2,OR(TH!L97="1111",TH!M97="1111")),TH!D97,""),"")</f>
        <v/>
      </c>
      <c r="B97" s="36">
        <f t="shared" si="0"/>
        <v>3</v>
      </c>
      <c r="C97" s="184">
        <f t="shared" si="25"/>
        <v>41337</v>
      </c>
      <c r="D97" s="184" t="s">
        <v>384</v>
      </c>
      <c r="E97" s="184">
        <v>41337</v>
      </c>
      <c r="F97" s="189" t="s">
        <v>367</v>
      </c>
      <c r="G97" s="604" t="s">
        <v>336</v>
      </c>
      <c r="H97" s="7" t="s">
        <v>495</v>
      </c>
      <c r="I97" s="256"/>
      <c r="J97" s="256"/>
      <c r="K97" s="38">
        <v>8500000</v>
      </c>
      <c r="L97" s="603" t="s">
        <v>24</v>
      </c>
      <c r="M97" s="603" t="s">
        <v>47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>x</v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>x</v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50"/>
    </row>
    <row r="98" spans="1:30" s="594" customFormat="1" ht="15.75" customHeight="1">
      <c r="A98" s="204" t="str">
        <f>IF(B98&lt;&gt;"",IF(AND(B98&gt;=_TM1,B98&lt;=_TM2,OR(TH!L98="1111",TH!M98="1111")),TH!D98,""),"")</f>
        <v/>
      </c>
      <c r="B98" s="36">
        <f t="shared" si="0"/>
        <v>3</v>
      </c>
      <c r="C98" s="184">
        <f t="shared" si="25"/>
        <v>41337</v>
      </c>
      <c r="D98" s="184" t="s">
        <v>340</v>
      </c>
      <c r="E98" s="191">
        <v>41337</v>
      </c>
      <c r="F98" s="189" t="s">
        <v>371</v>
      </c>
      <c r="G98" s="604" t="s">
        <v>336</v>
      </c>
      <c r="H98" s="193" t="s">
        <v>1112</v>
      </c>
      <c r="I98" s="257"/>
      <c r="J98" s="258"/>
      <c r="K98" s="38">
        <v>8500000</v>
      </c>
      <c r="L98" s="603" t="s">
        <v>8</v>
      </c>
      <c r="M98" s="603" t="s">
        <v>24</v>
      </c>
      <c r="N98" s="52" t="str">
        <f>IF(AND('331-CT'!$E$7=TH!H98,OR(L98="331",M98="331")),"331",IF(AND(OR(L98="131",M98="131"),H98='131-CT'!$E$7),"131",""))</f>
        <v>331</v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>x</v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50"/>
      <c r="AC98" s="198"/>
      <c r="AD98" s="198"/>
    </row>
    <row r="99" spans="1:30" s="594" customFormat="1" ht="15.75" customHeight="1">
      <c r="A99" s="204" t="str">
        <f>IF(B99&lt;&gt;"",IF(AND(B99&gt;=_TM1,B99&lt;=_TM2,OR(TH!L99="1111",TH!M99="1111")),TH!D99,""),"")</f>
        <v/>
      </c>
      <c r="B99" s="36">
        <f t="shared" si="0"/>
        <v>3</v>
      </c>
      <c r="C99" s="184">
        <f t="shared" si="25"/>
        <v>41337</v>
      </c>
      <c r="D99" s="184" t="s">
        <v>340</v>
      </c>
      <c r="E99" s="191">
        <v>41337</v>
      </c>
      <c r="F99" s="189" t="s">
        <v>342</v>
      </c>
      <c r="G99" s="604" t="s">
        <v>336</v>
      </c>
      <c r="H99" s="7"/>
      <c r="I99" s="257"/>
      <c r="J99" s="258"/>
      <c r="K99" s="38">
        <v>20000</v>
      </c>
      <c r="L99" s="603" t="s">
        <v>83</v>
      </c>
      <c r="M99" s="603" t="s">
        <v>24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>x</v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>x</v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50"/>
      <c r="AC99" s="198"/>
      <c r="AD99" s="198"/>
    </row>
    <row r="100" spans="1:30" s="594" customFormat="1" ht="15.75" customHeight="1">
      <c r="A100" s="204" t="str">
        <f>IF(B100&lt;&gt;"",IF(AND(B100&gt;=_TM1,B100&lt;=_TM2,OR(TH!L100="1111",TH!M100="1111")),TH!D100,""),"")</f>
        <v/>
      </c>
      <c r="B100" s="36">
        <f t="shared" si="0"/>
        <v>3</v>
      </c>
      <c r="C100" s="184">
        <f t="shared" si="25"/>
        <v>41337</v>
      </c>
      <c r="D100" s="184" t="s">
        <v>340</v>
      </c>
      <c r="E100" s="191">
        <v>41337</v>
      </c>
      <c r="F100" s="189" t="s">
        <v>496</v>
      </c>
      <c r="G100" s="604" t="s">
        <v>336</v>
      </c>
      <c r="H100" s="7"/>
      <c r="I100" s="257"/>
      <c r="J100" s="258"/>
      <c r="K100" s="38">
        <v>10000</v>
      </c>
      <c r="L100" s="603" t="s">
        <v>83</v>
      </c>
      <c r="M100" s="603" t="s">
        <v>24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>x</v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>x</v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50"/>
      <c r="AB100" s="211"/>
    </row>
    <row r="101" spans="1:30" s="594" customFormat="1" ht="15.75" customHeight="1">
      <c r="A101" s="204" t="str">
        <f>IF(B101&lt;&gt;"",IF(AND(B101&gt;=_TM1,B101&lt;=_TM2,OR(TH!L101="1111",TH!M101="1111")),TH!D101,""),"")</f>
        <v/>
      </c>
      <c r="B101" s="36">
        <f t="shared" si="0"/>
        <v>3</v>
      </c>
      <c r="C101" s="184">
        <f t="shared" si="25"/>
        <v>41341</v>
      </c>
      <c r="D101" s="184" t="s">
        <v>339</v>
      </c>
      <c r="E101" s="184">
        <v>41341</v>
      </c>
      <c r="F101" s="189" t="s">
        <v>341</v>
      </c>
      <c r="G101" s="604" t="s">
        <v>336</v>
      </c>
      <c r="H101" s="7" t="s">
        <v>503</v>
      </c>
      <c r="I101" s="256"/>
      <c r="J101" s="256"/>
      <c r="K101" s="665">
        <v>6903282</v>
      </c>
      <c r="L101" s="603" t="s">
        <v>24</v>
      </c>
      <c r="M101" s="603" t="s">
        <v>265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>x</v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50"/>
    </row>
    <row r="102" spans="1:30" s="594" customFormat="1" ht="15.75" customHeight="1">
      <c r="A102" s="204" t="str">
        <f>IF(B102&lt;&gt;"",IF(AND(B102&gt;=_TM1,B102&lt;=_TM2,OR(TH!L102="1111",TH!M102="1111")),TH!D102,""),"")</f>
        <v/>
      </c>
      <c r="B102" s="36">
        <f t="shared" si="0"/>
        <v>3</v>
      </c>
      <c r="C102" s="184">
        <f t="shared" si="25"/>
        <v>41342</v>
      </c>
      <c r="D102" s="184" t="s">
        <v>401</v>
      </c>
      <c r="E102" s="191">
        <v>41342</v>
      </c>
      <c r="F102" s="189" t="s">
        <v>500</v>
      </c>
      <c r="G102" s="604" t="s">
        <v>336</v>
      </c>
      <c r="H102" s="7" t="s">
        <v>338</v>
      </c>
      <c r="I102" s="257"/>
      <c r="J102" s="258"/>
      <c r="K102" s="38">
        <v>7000000</v>
      </c>
      <c r="L102" s="603" t="s">
        <v>47</v>
      </c>
      <c r="M102" s="603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50"/>
    </row>
    <row r="103" spans="1:30" s="594" customFormat="1" ht="15.75" customHeight="1">
      <c r="A103" s="204" t="str">
        <f>IF(B103&lt;&gt;"",IF(AND(B103&gt;=_TM1,B103&lt;=_TM2,OR(TH!L103="1111",TH!M103="1111")),TH!D103,""),"")</f>
        <v/>
      </c>
      <c r="B103" s="36">
        <f t="shared" si="0"/>
        <v>3</v>
      </c>
      <c r="C103" s="184">
        <f t="shared" si="25"/>
        <v>41352</v>
      </c>
      <c r="D103" s="184" t="s">
        <v>385</v>
      </c>
      <c r="E103" s="191">
        <v>41352</v>
      </c>
      <c r="F103" s="189" t="s">
        <v>436</v>
      </c>
      <c r="G103" s="487" t="s">
        <v>504</v>
      </c>
      <c r="H103" s="7" t="s">
        <v>372</v>
      </c>
      <c r="I103" s="256"/>
      <c r="J103" s="256"/>
      <c r="K103" s="38">
        <v>4160000</v>
      </c>
      <c r="L103" s="603" t="s">
        <v>165</v>
      </c>
      <c r="M103" s="603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50"/>
    </row>
    <row r="104" spans="1:30" s="594" customFormat="1" ht="15.75" customHeight="1">
      <c r="A104" s="204" t="str">
        <f>IF(B104&lt;&gt;"",IF(AND(B104&gt;=_TM1,B104&lt;=_TM2,OR(TH!L104="1111",TH!M104="1111")),TH!D104,""),"")</f>
        <v/>
      </c>
      <c r="B104" s="36">
        <f t="shared" si="0"/>
        <v>3</v>
      </c>
      <c r="C104" s="184">
        <f t="shared" si="25"/>
        <v>41352</v>
      </c>
      <c r="D104" s="184" t="s">
        <v>385</v>
      </c>
      <c r="E104" s="191">
        <v>41352</v>
      </c>
      <c r="F104" s="189" t="s">
        <v>348</v>
      </c>
      <c r="G104" s="487" t="s">
        <v>504</v>
      </c>
      <c r="H104" s="7" t="s">
        <v>372</v>
      </c>
      <c r="I104" s="256"/>
      <c r="J104" s="256"/>
      <c r="K104" s="602">
        <v>416000</v>
      </c>
      <c r="L104" s="603" t="s">
        <v>9</v>
      </c>
      <c r="M104" s="603" t="s">
        <v>47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50"/>
      <c r="AB104" s="594">
        <v>3</v>
      </c>
    </row>
    <row r="105" spans="1:30" s="594" customFormat="1" ht="15.75" customHeight="1">
      <c r="A105" s="204" t="str">
        <f>IF(B105&lt;&gt;"",IF(AND(B105&gt;=_TM1,B105&lt;=_TM2,OR(TH!L105="1111",TH!M105="1111")),TH!D105,""),"")</f>
        <v/>
      </c>
      <c r="B105" s="36">
        <f t="shared" si="0"/>
        <v>3</v>
      </c>
      <c r="C105" s="184">
        <f t="shared" si="25"/>
        <v>41358</v>
      </c>
      <c r="D105" s="184" t="s">
        <v>339</v>
      </c>
      <c r="E105" s="184">
        <v>41358</v>
      </c>
      <c r="F105" s="189" t="s">
        <v>369</v>
      </c>
      <c r="G105" s="604" t="s">
        <v>336</v>
      </c>
      <c r="H105" s="45"/>
      <c r="I105" s="256"/>
      <c r="J105" s="256"/>
      <c r="K105" s="38">
        <v>969</v>
      </c>
      <c r="L105" s="603" t="s">
        <v>24</v>
      </c>
      <c r="M105" s="603" t="s">
        <v>40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>x</v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50"/>
      <c r="AB105" s="211"/>
    </row>
    <row r="106" spans="1:30" s="594" customFormat="1" ht="15.75" customHeight="1">
      <c r="A106" s="204" t="str">
        <f>IF(B106&lt;&gt;"",IF(AND(B106&gt;=_TM1,B106&lt;=_TM2,OR(TH!L106="1111",TH!M106="1111")),TH!D106,""),"")</f>
        <v/>
      </c>
      <c r="B106" s="36">
        <f t="shared" si="0"/>
        <v>3</v>
      </c>
      <c r="C106" s="184">
        <f t="shared" si="25"/>
        <v>41362</v>
      </c>
      <c r="D106" s="184" t="s">
        <v>386</v>
      </c>
      <c r="E106" s="184">
        <v>41362</v>
      </c>
      <c r="F106" s="189" t="s">
        <v>436</v>
      </c>
      <c r="G106" s="664" t="s">
        <v>505</v>
      </c>
      <c r="H106" s="7" t="s">
        <v>372</v>
      </c>
      <c r="I106" s="256"/>
      <c r="J106" s="256"/>
      <c r="K106" s="602">
        <v>1560000</v>
      </c>
      <c r="L106" s="603" t="s">
        <v>165</v>
      </c>
      <c r="M106" s="603" t="s">
        <v>47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50"/>
    </row>
    <row r="107" spans="1:30" s="594" customFormat="1" ht="15.75" customHeight="1">
      <c r="A107" s="204" t="str">
        <f>IF(B107&lt;&gt;"",IF(AND(B107&gt;=_TM1,B107&lt;=_TM2,OR(TH!L107="1111",TH!M107="1111")),TH!D107,""),"")</f>
        <v/>
      </c>
      <c r="B107" s="36">
        <f t="shared" si="0"/>
        <v>3</v>
      </c>
      <c r="C107" s="184">
        <f t="shared" si="25"/>
        <v>41362</v>
      </c>
      <c r="D107" s="184" t="s">
        <v>386</v>
      </c>
      <c r="E107" s="184">
        <v>41362</v>
      </c>
      <c r="F107" s="189" t="s">
        <v>348</v>
      </c>
      <c r="G107" s="664" t="s">
        <v>505</v>
      </c>
      <c r="H107" s="7" t="s">
        <v>372</v>
      </c>
      <c r="I107" s="256"/>
      <c r="J107" s="256"/>
      <c r="K107" s="602">
        <v>156000</v>
      </c>
      <c r="L107" s="603" t="s">
        <v>9</v>
      </c>
      <c r="M107" s="603" t="s">
        <v>47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50"/>
      <c r="AB107" s="594">
        <v>3</v>
      </c>
    </row>
    <row r="108" spans="1:30" s="594" customFormat="1" ht="15.75" customHeight="1">
      <c r="A108" s="204" t="str">
        <f>IF(B108&lt;&gt;"",IF(AND(B108&gt;=_TM1,B108&lt;=_TM2,OR(TH!L108="1111",TH!M108="1111")),TH!D108,""),"")</f>
        <v/>
      </c>
      <c r="B108" s="36">
        <f t="shared" si="0"/>
        <v>3</v>
      </c>
      <c r="C108" s="184">
        <f t="shared" si="25"/>
        <v>41363</v>
      </c>
      <c r="D108" s="184" t="s">
        <v>393</v>
      </c>
      <c r="E108" s="191">
        <v>41363</v>
      </c>
      <c r="F108" s="189" t="s">
        <v>436</v>
      </c>
      <c r="G108" s="487" t="s">
        <v>506</v>
      </c>
      <c r="H108" s="7" t="s">
        <v>372</v>
      </c>
      <c r="I108" s="256"/>
      <c r="J108" s="256"/>
      <c r="K108" s="602">
        <v>1320000</v>
      </c>
      <c r="L108" s="603" t="s">
        <v>165</v>
      </c>
      <c r="M108" s="603" t="s">
        <v>47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50"/>
    </row>
    <row r="109" spans="1:30" s="594" customFormat="1" ht="15.75" customHeight="1">
      <c r="A109" s="204" t="str">
        <f>IF(B109&lt;&gt;"",IF(AND(B109&gt;=_TM1,B109&lt;=_TM2,OR(TH!L109="1111",TH!M109="1111")),TH!D109,""),"")</f>
        <v/>
      </c>
      <c r="B109" s="36">
        <f t="shared" si="0"/>
        <v>3</v>
      </c>
      <c r="C109" s="184">
        <f t="shared" si="25"/>
        <v>41363</v>
      </c>
      <c r="D109" s="184" t="s">
        <v>393</v>
      </c>
      <c r="E109" s="191">
        <v>41363</v>
      </c>
      <c r="F109" s="189" t="s">
        <v>348</v>
      </c>
      <c r="G109" s="487" t="s">
        <v>506</v>
      </c>
      <c r="H109" s="7" t="s">
        <v>372</v>
      </c>
      <c r="I109" s="257"/>
      <c r="J109" s="257"/>
      <c r="K109" s="602">
        <v>132000</v>
      </c>
      <c r="L109" s="603" t="s">
        <v>9</v>
      </c>
      <c r="M109" s="603" t="s">
        <v>47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50"/>
      <c r="AB109" s="211">
        <v>3</v>
      </c>
    </row>
    <row r="110" spans="1:30" s="594" customFormat="1" ht="15.75" customHeight="1">
      <c r="A110" s="204" t="str">
        <f>IF(B110&lt;&gt;"",IF(AND(B110&gt;=_TM1,B110&lt;=_TM2,OR(TH!L110="1111",TH!M110="1111")),TH!D110,""),"")</f>
        <v/>
      </c>
      <c r="B110" s="36">
        <f t="shared" ref="B110:B173" si="26">IF(C110&lt;&gt;"",MONTH(C110),"")</f>
        <v>4</v>
      </c>
      <c r="C110" s="184">
        <f t="shared" si="25"/>
        <v>41365</v>
      </c>
      <c r="D110" s="184" t="s">
        <v>340</v>
      </c>
      <c r="E110" s="191">
        <v>41365</v>
      </c>
      <c r="F110" s="189" t="s">
        <v>507</v>
      </c>
      <c r="G110" s="604" t="s">
        <v>336</v>
      </c>
      <c r="H110" s="7"/>
      <c r="I110" s="257"/>
      <c r="J110" s="258"/>
      <c r="K110" s="38">
        <v>30000</v>
      </c>
      <c r="L110" s="603" t="s">
        <v>83</v>
      </c>
      <c r="M110" s="603" t="s">
        <v>24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>x</v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>642</v>
      </c>
      <c r="V110" s="52" t="str">
        <f>IF(OR(TH!L110=TH!$V$7,M110=TH!$V$7),"x","")</f>
        <v>x</v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50"/>
    </row>
    <row r="111" spans="1:30" s="594" customFormat="1" ht="15.75" customHeight="1">
      <c r="A111" s="204" t="str">
        <f>IF(B111&lt;&gt;"",IF(AND(B111&gt;=_TM1,B111&lt;=_TM2,OR(TH!L111="1111",TH!M111="1111")),TH!D111,""),"")</f>
        <v/>
      </c>
      <c r="B111" s="36">
        <f t="shared" si="26"/>
        <v>4</v>
      </c>
      <c r="C111" s="184">
        <f t="shared" si="25"/>
        <v>41366</v>
      </c>
      <c r="D111" s="184" t="s">
        <v>339</v>
      </c>
      <c r="E111" s="191">
        <v>41366</v>
      </c>
      <c r="F111" s="189" t="s">
        <v>341</v>
      </c>
      <c r="G111" s="604" t="s">
        <v>336</v>
      </c>
      <c r="H111" s="7" t="s">
        <v>499</v>
      </c>
      <c r="I111" s="257"/>
      <c r="J111" s="258"/>
      <c r="K111" s="38">
        <v>30050350</v>
      </c>
      <c r="L111" s="603" t="s">
        <v>24</v>
      </c>
      <c r="M111" s="603" t="s">
        <v>265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>x</v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50"/>
      <c r="AB111" s="211"/>
    </row>
    <row r="112" spans="1:30" s="594" customFormat="1" ht="15.75" customHeight="1">
      <c r="A112" s="204" t="str">
        <f>IF(B112&lt;&gt;"",IF(AND(B112&gt;=_TM1,B112&lt;=_TM2,OR(TH!L112="1111",TH!M112="1111")),TH!D112,""),"")</f>
        <v/>
      </c>
      <c r="B112" s="36">
        <f t="shared" si="26"/>
        <v>4</v>
      </c>
      <c r="C112" s="184">
        <f t="shared" si="25"/>
        <v>41367</v>
      </c>
      <c r="D112" s="184" t="s">
        <v>376</v>
      </c>
      <c r="E112" s="184">
        <v>41367</v>
      </c>
      <c r="F112" s="189" t="s">
        <v>500</v>
      </c>
      <c r="G112" s="604" t="s">
        <v>336</v>
      </c>
      <c r="H112" s="7" t="s">
        <v>495</v>
      </c>
      <c r="I112" s="254"/>
      <c r="J112" s="254"/>
      <c r="K112" s="602">
        <v>30000000</v>
      </c>
      <c r="L112" s="603" t="s">
        <v>47</v>
      </c>
      <c r="M112" s="603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>x</v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>x</v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50"/>
      <c r="AB112" s="211"/>
    </row>
    <row r="113" spans="1:30" s="594" customFormat="1" ht="15.75" customHeight="1">
      <c r="A113" s="204" t="str">
        <f>IF(B113&lt;&gt;"",IF(AND(B113&gt;=_TM1,B113&lt;=_TM2,OR(TH!L113="1111",TH!M113="1111")),TH!D113,""),"")</f>
        <v/>
      </c>
      <c r="B113" s="36">
        <f t="shared" si="26"/>
        <v>4</v>
      </c>
      <c r="C113" s="184">
        <f t="shared" si="25"/>
        <v>41388</v>
      </c>
      <c r="D113" s="184" t="s">
        <v>339</v>
      </c>
      <c r="E113" s="191">
        <v>41388</v>
      </c>
      <c r="F113" s="189" t="s">
        <v>341</v>
      </c>
      <c r="G113" s="604" t="s">
        <v>336</v>
      </c>
      <c r="H113" s="45" t="s">
        <v>508</v>
      </c>
      <c r="I113" s="257"/>
      <c r="J113" s="258"/>
      <c r="K113" s="38">
        <v>17000000</v>
      </c>
      <c r="L113" s="603" t="s">
        <v>24</v>
      </c>
      <c r="M113" s="603" t="s">
        <v>265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>x</v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850"/>
    </row>
    <row r="114" spans="1:30" s="594" customFormat="1" ht="15.75" customHeight="1">
      <c r="A114" s="204" t="str">
        <f>IF(B114&lt;&gt;"",IF(AND(B114&gt;=_TM1,B114&lt;=_TM2,OR(TH!L114="1111",TH!M114="1111")),TH!D114,""),"")</f>
        <v/>
      </c>
      <c r="B114" s="36">
        <f t="shared" si="26"/>
        <v>4</v>
      </c>
      <c r="C114" s="184">
        <f t="shared" si="25"/>
        <v>41389</v>
      </c>
      <c r="D114" s="184" t="s">
        <v>339</v>
      </c>
      <c r="E114" s="191">
        <v>41389</v>
      </c>
      <c r="F114" s="189" t="s">
        <v>369</v>
      </c>
      <c r="G114" s="604" t="s">
        <v>336</v>
      </c>
      <c r="H114" s="7"/>
      <c r="I114" s="257"/>
      <c r="J114" s="258"/>
      <c r="K114" s="38">
        <v>2630</v>
      </c>
      <c r="L114" s="603" t="s">
        <v>24</v>
      </c>
      <c r="M114" s="603" t="s">
        <v>40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>x</v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850"/>
      <c r="AC114" s="211"/>
      <c r="AD114" s="211"/>
    </row>
    <row r="115" spans="1:30" s="594" customFormat="1" ht="15.75" customHeight="1">
      <c r="A115" s="204" t="str">
        <f>IF(B115&lt;&gt;"",IF(AND(B115&gt;=_TM1,B115&lt;=_TM2,OR(TH!L115="1111",TH!M115="1111")),TH!D115,""),"")</f>
        <v/>
      </c>
      <c r="B115" s="36">
        <f t="shared" si="26"/>
        <v>4</v>
      </c>
      <c r="C115" s="184">
        <f t="shared" si="25"/>
        <v>41389</v>
      </c>
      <c r="D115" s="184" t="s">
        <v>377</v>
      </c>
      <c r="E115" s="184">
        <v>41389</v>
      </c>
      <c r="F115" s="189" t="s">
        <v>500</v>
      </c>
      <c r="G115" s="604" t="s">
        <v>336</v>
      </c>
      <c r="H115" s="7" t="s">
        <v>495</v>
      </c>
      <c r="I115" s="256"/>
      <c r="J115" s="256"/>
      <c r="K115" s="602">
        <v>17000000</v>
      </c>
      <c r="L115" s="603" t="s">
        <v>47</v>
      </c>
      <c r="M115" s="603" t="s">
        <v>24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>x</v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>x</v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850"/>
      <c r="AC115" s="211"/>
      <c r="AD115" s="211"/>
    </row>
    <row r="116" spans="1:30" s="594" customFormat="1" ht="15.75" customHeight="1">
      <c r="A116" s="204" t="str">
        <f>IF(B116&lt;&gt;"",IF(AND(B116&gt;=_TM1,B116&lt;=_TM2,OR(TH!L116="1111",TH!M116="1111")),TH!D116,""),"")</f>
        <v/>
      </c>
      <c r="B116" s="36">
        <f t="shared" si="26"/>
        <v>4</v>
      </c>
      <c r="C116" s="184">
        <f t="shared" si="25"/>
        <v>41391</v>
      </c>
      <c r="D116" s="184" t="s">
        <v>378</v>
      </c>
      <c r="E116" s="184">
        <v>41391</v>
      </c>
      <c r="F116" s="189" t="s">
        <v>367</v>
      </c>
      <c r="G116" s="604" t="s">
        <v>336</v>
      </c>
      <c r="H116" s="7" t="s">
        <v>495</v>
      </c>
      <c r="I116" s="256"/>
      <c r="J116" s="256"/>
      <c r="K116" s="38">
        <v>20000000</v>
      </c>
      <c r="L116" s="603" t="s">
        <v>24</v>
      </c>
      <c r="M116" s="603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>x</v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>x</v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850"/>
      <c r="AC116" s="702"/>
      <c r="AD116" s="702"/>
    </row>
    <row r="117" spans="1:30" s="594" customFormat="1" ht="15.75" customHeight="1">
      <c r="A117" s="204" t="str">
        <f>IF(B117&lt;&gt;"",IF(AND(B117&gt;=_TM1,B117&lt;=_TM2,OR(TH!L117="1111",TH!M117="1111")),TH!D117,""),"")</f>
        <v/>
      </c>
      <c r="B117" s="36">
        <f t="shared" si="26"/>
        <v>4</v>
      </c>
      <c r="C117" s="184">
        <f t="shared" si="25"/>
        <v>41391</v>
      </c>
      <c r="D117" s="184" t="s">
        <v>340</v>
      </c>
      <c r="E117" s="191">
        <v>41391</v>
      </c>
      <c r="F117" s="189" t="s">
        <v>371</v>
      </c>
      <c r="G117" s="604" t="s">
        <v>336</v>
      </c>
      <c r="H117" s="193" t="s">
        <v>585</v>
      </c>
      <c r="I117" s="257"/>
      <c r="J117" s="258"/>
      <c r="K117" s="38">
        <v>20000000</v>
      </c>
      <c r="L117" s="603" t="s">
        <v>8</v>
      </c>
      <c r="M117" s="603" t="s">
        <v>24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>x</v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850"/>
    </row>
    <row r="118" spans="1:30" s="594" customFormat="1" ht="15.75" customHeight="1">
      <c r="A118" s="204" t="str">
        <f>IF(B118&lt;&gt;"",IF(AND(B118&gt;=_TM1,B118&lt;=_TM2,OR(TH!L118="1111",TH!M118="1111")),TH!D118,""),"")</f>
        <v/>
      </c>
      <c r="B118" s="36">
        <f t="shared" si="26"/>
        <v>4</v>
      </c>
      <c r="C118" s="184">
        <f t="shared" si="25"/>
        <v>41391</v>
      </c>
      <c r="D118" s="184" t="s">
        <v>340</v>
      </c>
      <c r="E118" s="191">
        <v>41391</v>
      </c>
      <c r="F118" s="189" t="s">
        <v>342</v>
      </c>
      <c r="G118" s="604" t="s">
        <v>336</v>
      </c>
      <c r="H118" s="7"/>
      <c r="I118" s="257"/>
      <c r="J118" s="258"/>
      <c r="K118" s="38">
        <v>20000</v>
      </c>
      <c r="L118" s="603" t="s">
        <v>83</v>
      </c>
      <c r="M118" s="603" t="s">
        <v>24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>x</v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>642</v>
      </c>
      <c r="V118" s="52" t="str">
        <f>IF(OR(TH!L118=TH!$V$7,M118=TH!$V$7),"x","")</f>
        <v>x</v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850"/>
    </row>
    <row r="119" spans="1:30" s="594" customFormat="1" ht="15.75" customHeight="1">
      <c r="A119" s="204" t="str">
        <f>IF(B119&lt;&gt;"",IF(AND(B119&gt;=_TM1,B119&lt;=_TM2,OR(TH!L119="1111",TH!M119="1111")),TH!D119,""),"")</f>
        <v/>
      </c>
      <c r="B119" s="36">
        <f t="shared" si="26"/>
        <v>4</v>
      </c>
      <c r="C119" s="184">
        <f t="shared" si="25"/>
        <v>41391</v>
      </c>
      <c r="D119" s="184" t="s">
        <v>340</v>
      </c>
      <c r="E119" s="191">
        <v>41391</v>
      </c>
      <c r="F119" s="189" t="s">
        <v>496</v>
      </c>
      <c r="G119" s="604" t="s">
        <v>336</v>
      </c>
      <c r="H119" s="7"/>
      <c r="I119" s="257"/>
      <c r="J119" s="258"/>
      <c r="K119" s="38">
        <v>15000</v>
      </c>
      <c r="L119" s="603" t="s">
        <v>83</v>
      </c>
      <c r="M119" s="603" t="s">
        <v>24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>x</v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>642</v>
      </c>
      <c r="V119" s="52" t="str">
        <f>IF(OR(TH!L119=TH!$V$7,M119=TH!$V$7),"x","")</f>
        <v>x</v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850"/>
    </row>
    <row r="120" spans="1:30" s="594" customFormat="1" ht="15.75" customHeight="1">
      <c r="A120" s="204" t="str">
        <f>IF(B120&lt;&gt;"",IF(AND(B120&gt;=_TM1,B120&lt;=_TM2,OR(TH!L120="1111",TH!M120="1111")),TH!D120,""),"")</f>
        <v/>
      </c>
      <c r="B120" s="36">
        <f t="shared" si="26"/>
        <v>5</v>
      </c>
      <c r="C120" s="184">
        <f t="shared" si="25"/>
        <v>41396</v>
      </c>
      <c r="D120" s="184" t="s">
        <v>339</v>
      </c>
      <c r="E120" s="191">
        <v>41396</v>
      </c>
      <c r="F120" s="189" t="s">
        <v>341</v>
      </c>
      <c r="G120" s="604" t="s">
        <v>336</v>
      </c>
      <c r="H120" s="7" t="s">
        <v>431</v>
      </c>
      <c r="I120" s="257"/>
      <c r="J120" s="258"/>
      <c r="K120" s="38">
        <v>8382000</v>
      </c>
      <c r="L120" s="603" t="s">
        <v>24</v>
      </c>
      <c r="M120" s="603" t="s">
        <v>265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>x</v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850"/>
      <c r="AC120" s="211"/>
      <c r="AD120" s="211"/>
    </row>
    <row r="121" spans="1:30" s="594" customFormat="1" ht="15.75" customHeight="1">
      <c r="A121" s="204" t="str">
        <f>IF(B121&lt;&gt;"",IF(AND(B121&gt;=_TM1,B121&lt;=_TM2,OR(TH!L121="1111",TH!M121="1111")),TH!D121,""),"")</f>
        <v/>
      </c>
      <c r="B121" s="36">
        <f t="shared" si="26"/>
        <v>5</v>
      </c>
      <c r="C121" s="184">
        <f t="shared" si="25"/>
        <v>41397</v>
      </c>
      <c r="D121" s="184" t="s">
        <v>396</v>
      </c>
      <c r="E121" s="191">
        <v>41397</v>
      </c>
      <c r="F121" s="189" t="s">
        <v>500</v>
      </c>
      <c r="G121" s="604" t="s">
        <v>336</v>
      </c>
      <c r="H121" s="7" t="s">
        <v>495</v>
      </c>
      <c r="I121" s="257"/>
      <c r="J121" s="258"/>
      <c r="K121" s="38">
        <v>8000000</v>
      </c>
      <c r="L121" s="603" t="s">
        <v>47</v>
      </c>
      <c r="M121" s="603" t="s">
        <v>24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>x</v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>x</v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850"/>
      <c r="AB121" s="211"/>
      <c r="AC121" s="211"/>
      <c r="AD121" s="211"/>
    </row>
    <row r="122" spans="1:30" s="594" customFormat="1" ht="15.75" customHeight="1">
      <c r="A122" s="204" t="str">
        <f>IF(B122&lt;&gt;"",IF(AND(B122&gt;=_TM1,B122&lt;=_TM2,OR(TH!L122="1111",TH!M122="1111")),TH!D122,""),"")</f>
        <v/>
      </c>
      <c r="B122" s="36">
        <f t="shared" si="26"/>
        <v>5</v>
      </c>
      <c r="C122" s="184">
        <f t="shared" si="25"/>
        <v>41398</v>
      </c>
      <c r="D122" s="184" t="s">
        <v>339</v>
      </c>
      <c r="E122" s="191">
        <v>41398</v>
      </c>
      <c r="F122" s="189" t="s">
        <v>341</v>
      </c>
      <c r="G122" s="604" t="s">
        <v>336</v>
      </c>
      <c r="H122" s="7" t="s">
        <v>431</v>
      </c>
      <c r="I122" s="257"/>
      <c r="J122" s="258"/>
      <c r="K122" s="38">
        <v>42122355</v>
      </c>
      <c r="L122" s="603" t="s">
        <v>24</v>
      </c>
      <c r="M122" s="603" t="s">
        <v>265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>x</v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850"/>
      <c r="AC122" s="211"/>
      <c r="AD122" s="211"/>
    </row>
    <row r="123" spans="1:30" s="702" customFormat="1" ht="15.75" customHeight="1">
      <c r="A123" s="204" t="str">
        <f>IF(B123&lt;&gt;"",IF(AND(B123&gt;=_TM1,B123&lt;=_TM2,OR(TH!L123="1111",TH!M123="1111")),TH!D123,""),"")</f>
        <v/>
      </c>
      <c r="B123" s="36">
        <f t="shared" si="26"/>
        <v>5</v>
      </c>
      <c r="C123" s="184">
        <f t="shared" si="25"/>
        <v>41400</v>
      </c>
      <c r="D123" s="184" t="s">
        <v>401</v>
      </c>
      <c r="E123" s="191">
        <v>41400</v>
      </c>
      <c r="F123" s="189" t="s">
        <v>500</v>
      </c>
      <c r="G123" s="604" t="s">
        <v>336</v>
      </c>
      <c r="H123" s="7" t="s">
        <v>495</v>
      </c>
      <c r="I123" s="257"/>
      <c r="J123" s="258"/>
      <c r="K123" s="38">
        <v>42000000</v>
      </c>
      <c r="L123" s="603" t="s">
        <v>47</v>
      </c>
      <c r="M123" s="603" t="s">
        <v>24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>x</v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>x</v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850"/>
      <c r="AB123" s="594"/>
      <c r="AC123" s="211"/>
      <c r="AD123" s="211"/>
    </row>
    <row r="124" spans="1:30" s="594" customFormat="1" ht="15.75" customHeight="1">
      <c r="A124" s="204" t="str">
        <f>IF(B124&lt;&gt;"",IF(AND(B124&gt;=_TM1,B124&lt;=_TM2,OR(TH!L124="1111",TH!M124="1111")),TH!D124,""),"")</f>
        <v/>
      </c>
      <c r="B124" s="36">
        <f t="shared" si="26"/>
        <v>5</v>
      </c>
      <c r="C124" s="184">
        <f t="shared" si="25"/>
        <v>41401</v>
      </c>
      <c r="D124" s="184" t="s">
        <v>379</v>
      </c>
      <c r="E124" s="191">
        <v>41401</v>
      </c>
      <c r="F124" s="189" t="s">
        <v>436</v>
      </c>
      <c r="G124" s="487" t="s">
        <v>509</v>
      </c>
      <c r="H124" s="7" t="s">
        <v>372</v>
      </c>
      <c r="I124" s="256"/>
      <c r="J124" s="256"/>
      <c r="K124" s="602">
        <v>3380000</v>
      </c>
      <c r="L124" s="603" t="s">
        <v>165</v>
      </c>
      <c r="M124" s="603" t="s">
        <v>47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>154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850"/>
      <c r="AB124" s="211"/>
      <c r="AC124" s="211"/>
      <c r="AD124" s="211"/>
    </row>
    <row r="125" spans="1:30" s="594" customFormat="1" ht="15.75" customHeight="1">
      <c r="A125" s="204" t="str">
        <f>IF(B125&lt;&gt;"",IF(AND(B125&gt;=_TM1,B125&lt;=_TM2,OR(TH!L125="1111",TH!M125="1111")),TH!D125,""),"")</f>
        <v/>
      </c>
      <c r="B125" s="36">
        <f t="shared" si="26"/>
        <v>5</v>
      </c>
      <c r="C125" s="184">
        <f t="shared" si="25"/>
        <v>41401</v>
      </c>
      <c r="D125" s="184" t="s">
        <v>379</v>
      </c>
      <c r="E125" s="191">
        <v>41401</v>
      </c>
      <c r="F125" s="189" t="s">
        <v>348</v>
      </c>
      <c r="G125" s="487" t="s">
        <v>509</v>
      </c>
      <c r="H125" s="7" t="s">
        <v>372</v>
      </c>
      <c r="I125" s="257"/>
      <c r="J125" s="257"/>
      <c r="K125" s="602">
        <v>338000</v>
      </c>
      <c r="L125" s="603" t="s">
        <v>9</v>
      </c>
      <c r="M125" s="603" t="s">
        <v>47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850"/>
      <c r="AB125" s="211">
        <v>5</v>
      </c>
      <c r="AC125" s="211"/>
      <c r="AD125" s="211"/>
    </row>
    <row r="126" spans="1:30" s="594" customFormat="1" ht="15.75" customHeight="1">
      <c r="A126" s="204" t="str">
        <f>IF(B126&lt;&gt;"",IF(AND(B126&gt;=_TM1,B126&lt;=_TM2,OR(TH!L126="1111",TH!M126="1111")),TH!D126,""),"")</f>
        <v/>
      </c>
      <c r="B126" s="36">
        <f t="shared" si="26"/>
        <v>5</v>
      </c>
      <c r="C126" s="184">
        <f t="shared" si="25"/>
        <v>41403</v>
      </c>
      <c r="D126" s="184" t="s">
        <v>380</v>
      </c>
      <c r="E126" s="191">
        <v>41403</v>
      </c>
      <c r="F126" s="189" t="s">
        <v>349</v>
      </c>
      <c r="G126" s="664" t="s">
        <v>510</v>
      </c>
      <c r="H126" s="7" t="s">
        <v>511</v>
      </c>
      <c r="I126" s="257"/>
      <c r="J126" s="258"/>
      <c r="K126" s="38">
        <v>556300</v>
      </c>
      <c r="L126" s="603" t="s">
        <v>83</v>
      </c>
      <c r="M126" s="603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>x</v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>642</v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850"/>
      <c r="AC126" s="211"/>
      <c r="AD126" s="211"/>
    </row>
    <row r="127" spans="1:30" s="594" customFormat="1" ht="15.75" customHeight="1">
      <c r="A127" s="204" t="str">
        <f>IF(B127&lt;&gt;"",IF(AND(B127&gt;=_TM1,B127&lt;=_TM2,OR(TH!L127="1111",TH!M127="1111")),TH!D127,""),"")</f>
        <v/>
      </c>
      <c r="B127" s="36">
        <f t="shared" si="26"/>
        <v>5</v>
      </c>
      <c r="C127" s="191">
        <f t="shared" si="25"/>
        <v>41403</v>
      </c>
      <c r="D127" s="184" t="s">
        <v>381</v>
      </c>
      <c r="E127" s="191">
        <v>41403</v>
      </c>
      <c r="F127" s="189" t="s">
        <v>436</v>
      </c>
      <c r="G127" s="487" t="s">
        <v>512</v>
      </c>
      <c r="H127" s="7" t="s">
        <v>372</v>
      </c>
      <c r="I127" s="256"/>
      <c r="J127" s="256"/>
      <c r="K127" s="602">
        <v>3640000</v>
      </c>
      <c r="L127" s="603" t="s">
        <v>165</v>
      </c>
      <c r="M127" s="603" t="s">
        <v>47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>154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850"/>
      <c r="AB127" s="211"/>
      <c r="AC127" s="198"/>
      <c r="AD127" s="198"/>
    </row>
    <row r="128" spans="1:30" s="594" customFormat="1" ht="15.75" customHeight="1">
      <c r="A128" s="204" t="str">
        <f>IF(B128&lt;&gt;"",IF(AND(B128&gt;=_TM1,B128&lt;=_TM2,OR(TH!L128="1111",TH!M128="1111")),TH!D128,""),"")</f>
        <v/>
      </c>
      <c r="B128" s="36">
        <f t="shared" si="26"/>
        <v>5</v>
      </c>
      <c r="C128" s="191">
        <f t="shared" si="25"/>
        <v>41403</v>
      </c>
      <c r="D128" s="184" t="s">
        <v>381</v>
      </c>
      <c r="E128" s="191">
        <v>41403</v>
      </c>
      <c r="F128" s="189" t="s">
        <v>348</v>
      </c>
      <c r="G128" s="487" t="s">
        <v>512</v>
      </c>
      <c r="H128" s="7" t="s">
        <v>372</v>
      </c>
      <c r="I128" s="257"/>
      <c r="J128" s="257"/>
      <c r="K128" s="602">
        <v>364000</v>
      </c>
      <c r="L128" s="603" t="s">
        <v>9</v>
      </c>
      <c r="M128" s="603" t="s">
        <v>47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850"/>
      <c r="AB128" s="211">
        <v>9</v>
      </c>
      <c r="AC128" s="211"/>
      <c r="AD128" s="211"/>
    </row>
    <row r="129" spans="1:30" s="594" customFormat="1" ht="15.75" customHeight="1">
      <c r="A129" s="204" t="str">
        <f>IF(B129&lt;&gt;"",IF(AND(B129&gt;=_TM1,B129&lt;=_TM2,OR(TH!L129="1111",TH!M129="1111")),TH!D129,""),"")</f>
        <v/>
      </c>
      <c r="B129" s="36">
        <f t="shared" si="26"/>
        <v>5</v>
      </c>
      <c r="C129" s="184">
        <f t="shared" si="25"/>
        <v>41410</v>
      </c>
      <c r="D129" s="184" t="s">
        <v>339</v>
      </c>
      <c r="E129" s="191">
        <v>41410</v>
      </c>
      <c r="F129" s="189" t="s">
        <v>341</v>
      </c>
      <c r="G129" s="604" t="s">
        <v>336</v>
      </c>
      <c r="H129" s="7" t="s">
        <v>431</v>
      </c>
      <c r="I129" s="257"/>
      <c r="J129" s="258"/>
      <c r="K129" s="38">
        <v>27451050</v>
      </c>
      <c r="L129" s="603" t="s">
        <v>24</v>
      </c>
      <c r="M129" s="603" t="s">
        <v>265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>x</v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850"/>
      <c r="AB129" s="211"/>
      <c r="AC129" s="211"/>
      <c r="AD129" s="211"/>
    </row>
    <row r="130" spans="1:30" s="211" customFormat="1" ht="15.75" customHeight="1">
      <c r="A130" s="204" t="str">
        <f>IF(B130&lt;&gt;"",IF(AND(B130&gt;=_TM1,B130&lt;=_TM2,OR(TH!L130="1111",TH!M130="1111")),TH!D130,""),"")</f>
        <v/>
      </c>
      <c r="B130" s="36">
        <f t="shared" si="26"/>
        <v>5</v>
      </c>
      <c r="C130" s="184">
        <f t="shared" ref="C130:C193" si="27">E130</f>
        <v>41411</v>
      </c>
      <c r="D130" s="184" t="s">
        <v>340</v>
      </c>
      <c r="E130" s="184">
        <v>41411</v>
      </c>
      <c r="F130" s="189" t="s">
        <v>371</v>
      </c>
      <c r="G130" s="604" t="s">
        <v>336</v>
      </c>
      <c r="H130" s="193" t="s">
        <v>1112</v>
      </c>
      <c r="I130" s="256"/>
      <c r="J130" s="256"/>
      <c r="K130" s="602">
        <v>10000000</v>
      </c>
      <c r="L130" s="603" t="s">
        <v>8</v>
      </c>
      <c r="M130" s="603" t="s">
        <v>24</v>
      </c>
      <c r="N130" s="52" t="str">
        <f>IF(AND('331-CT'!$E$7=TH!H130,OR(L130="331",M130="331")),"331",IF(AND(OR(L130="131",M130="131"),H130='131-CT'!$E$7),"131",""))</f>
        <v>331</v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850"/>
    </row>
    <row r="131" spans="1:30" s="211" customFormat="1" ht="15.75" customHeight="1">
      <c r="A131" s="204" t="str">
        <f>IF(B131&lt;&gt;"",IF(AND(B131&gt;=_TM1,B131&lt;=_TM2,OR(TH!L131="1111",TH!M131="1111")),TH!D131,""),"")</f>
        <v/>
      </c>
      <c r="B131" s="36">
        <f t="shared" si="26"/>
        <v>5</v>
      </c>
      <c r="C131" s="184">
        <f t="shared" si="27"/>
        <v>41411</v>
      </c>
      <c r="D131" s="184" t="s">
        <v>340</v>
      </c>
      <c r="E131" s="184">
        <v>41411</v>
      </c>
      <c r="F131" s="189" t="s">
        <v>342</v>
      </c>
      <c r="G131" s="604" t="s">
        <v>336</v>
      </c>
      <c r="H131" s="193"/>
      <c r="I131" s="256"/>
      <c r="J131" s="256"/>
      <c r="K131" s="602">
        <v>20000</v>
      </c>
      <c r="L131" s="603" t="s">
        <v>83</v>
      </c>
      <c r="M131" s="603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>642</v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850"/>
      <c r="AB131" s="594"/>
    </row>
    <row r="132" spans="1:30" s="211" customFormat="1" ht="15.75" customHeight="1">
      <c r="A132" s="204" t="str">
        <f>IF(B132&lt;&gt;"",IF(AND(B132&gt;=_TM1,B132&lt;=_TM2,OR(TH!L132="1111",TH!M132="1111")),TH!D132,""),"")</f>
        <v/>
      </c>
      <c r="B132" s="36">
        <f t="shared" si="26"/>
        <v>5</v>
      </c>
      <c r="C132" s="184">
        <f t="shared" si="27"/>
        <v>41411</v>
      </c>
      <c r="D132" s="184" t="s">
        <v>466</v>
      </c>
      <c r="E132" s="184">
        <v>41411</v>
      </c>
      <c r="F132" s="189" t="s">
        <v>500</v>
      </c>
      <c r="G132" s="604" t="s">
        <v>336</v>
      </c>
      <c r="H132" s="7" t="s">
        <v>368</v>
      </c>
      <c r="I132" s="257"/>
      <c r="J132" s="258"/>
      <c r="K132" s="38">
        <v>17500000</v>
      </c>
      <c r="L132" s="603" t="s">
        <v>47</v>
      </c>
      <c r="M132" s="603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>x</v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850"/>
      <c r="AB132" s="594"/>
    </row>
    <row r="133" spans="1:30" s="840" customFormat="1" ht="15.75" customHeight="1">
      <c r="A133" s="204" t="str">
        <f>IF(B133&lt;&gt;"",IF(AND(B133&gt;=_TM1,B133&lt;=_TM2,OR(TH!L133="1111",TH!M133="1111")),TH!D133,""),"")</f>
        <v/>
      </c>
      <c r="B133" s="36">
        <f t="shared" si="26"/>
        <v>5</v>
      </c>
      <c r="C133" s="184">
        <f t="shared" si="27"/>
        <v>41411</v>
      </c>
      <c r="D133" s="184" t="s">
        <v>340</v>
      </c>
      <c r="E133" s="184">
        <v>41411</v>
      </c>
      <c r="F133" s="189" t="s">
        <v>513</v>
      </c>
      <c r="G133" s="604" t="s">
        <v>336</v>
      </c>
      <c r="H133" s="7"/>
      <c r="I133" s="258"/>
      <c r="J133" s="256"/>
      <c r="K133" s="602">
        <v>15000</v>
      </c>
      <c r="L133" s="603" t="s">
        <v>83</v>
      </c>
      <c r="M133" s="603" t="s">
        <v>24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>x</v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>642</v>
      </c>
      <c r="V133" s="52" t="str">
        <f>IF(OR(TH!L133=TH!$V$7,M133=TH!$V$7),"x","")</f>
        <v>x</v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850"/>
      <c r="AB133" s="211"/>
      <c r="AC133" s="594"/>
      <c r="AD133" s="594"/>
    </row>
    <row r="134" spans="1:30" s="211" customFormat="1" ht="15.75" customHeight="1">
      <c r="A134" s="204" t="str">
        <f>IF(B134&lt;&gt;"",IF(AND(B134&gt;=_TM1,B134&lt;=_TM2,OR(TH!L134="1111",TH!M134="1111")),TH!D134,""),"")</f>
        <v/>
      </c>
      <c r="B134" s="36">
        <f t="shared" si="26"/>
        <v>5</v>
      </c>
      <c r="C134" s="184">
        <f t="shared" si="27"/>
        <v>41414</v>
      </c>
      <c r="D134" s="184" t="s">
        <v>339</v>
      </c>
      <c r="E134" s="184">
        <v>41414</v>
      </c>
      <c r="F134" s="189" t="s">
        <v>341</v>
      </c>
      <c r="G134" s="604" t="s">
        <v>336</v>
      </c>
      <c r="H134" s="7" t="s">
        <v>503</v>
      </c>
      <c r="I134" s="256"/>
      <c r="J134" s="256"/>
      <c r="K134" s="602">
        <v>10000000</v>
      </c>
      <c r="L134" s="603" t="s">
        <v>24</v>
      </c>
      <c r="M134" s="603" t="s">
        <v>265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>x</v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850"/>
      <c r="AC134" s="594"/>
      <c r="AD134" s="594"/>
    </row>
    <row r="135" spans="1:30" s="594" customFormat="1" ht="15.75" customHeight="1">
      <c r="A135" s="204" t="str">
        <f>IF(B135&lt;&gt;"",IF(AND(B135&gt;=_TM1,B135&lt;=_TM2,OR(TH!L135="1111",TH!M135="1111")),TH!D135,""),"")</f>
        <v/>
      </c>
      <c r="B135" s="36">
        <f t="shared" si="26"/>
        <v>5</v>
      </c>
      <c r="C135" s="184">
        <f t="shared" si="27"/>
        <v>41414</v>
      </c>
      <c r="D135" s="184" t="s">
        <v>339</v>
      </c>
      <c r="E135" s="184">
        <v>41414</v>
      </c>
      <c r="F135" s="189" t="s">
        <v>341</v>
      </c>
      <c r="G135" s="604" t="s">
        <v>336</v>
      </c>
      <c r="H135" s="7" t="s">
        <v>501</v>
      </c>
      <c r="I135" s="256"/>
      <c r="J135" s="256"/>
      <c r="K135" s="602">
        <v>9950490</v>
      </c>
      <c r="L135" s="603" t="s">
        <v>24</v>
      </c>
      <c r="M135" s="603" t="s">
        <v>265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>x</v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850"/>
      <c r="AB135" s="211"/>
    </row>
    <row r="136" spans="1:30" s="594" customFormat="1" ht="15.75" customHeight="1">
      <c r="A136" s="204" t="str">
        <f>IF(B136&lt;&gt;"",IF(AND(B136&gt;=_TM1,B136&lt;=_TM2,OR(TH!L136="1111",TH!M136="1111")),TH!D136,""),"")</f>
        <v/>
      </c>
      <c r="B136" s="36">
        <f t="shared" si="26"/>
        <v>5</v>
      </c>
      <c r="C136" s="184">
        <f t="shared" si="27"/>
        <v>41419</v>
      </c>
      <c r="D136" s="184" t="s">
        <v>339</v>
      </c>
      <c r="E136" s="191">
        <v>41419</v>
      </c>
      <c r="F136" s="189" t="s">
        <v>369</v>
      </c>
      <c r="G136" s="604" t="s">
        <v>336</v>
      </c>
      <c r="H136" s="45"/>
      <c r="I136" s="256"/>
      <c r="J136" s="256"/>
      <c r="K136" s="38">
        <v>13612</v>
      </c>
      <c r="L136" s="603" t="s">
        <v>24</v>
      </c>
      <c r="M136" s="603" t="s">
        <v>40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850"/>
      <c r="AB136" s="211"/>
      <c r="AC136" s="211"/>
      <c r="AD136" s="211"/>
    </row>
    <row r="137" spans="1:30" s="594" customFormat="1" ht="15.75" customHeight="1">
      <c r="A137" s="204" t="str">
        <f>IF(B137&lt;&gt;"",IF(AND(B137&gt;=_TM1,B137&lt;=_TM2,OR(TH!L137="1111",TH!M137="1111")),TH!D137,""),"")</f>
        <v/>
      </c>
      <c r="B137" s="36">
        <f t="shared" si="26"/>
        <v>5</v>
      </c>
      <c r="C137" s="184">
        <f t="shared" si="27"/>
        <v>41421</v>
      </c>
      <c r="D137" s="184" t="s">
        <v>339</v>
      </c>
      <c r="E137" s="191">
        <v>41421</v>
      </c>
      <c r="F137" s="189" t="s">
        <v>341</v>
      </c>
      <c r="G137" s="604" t="s">
        <v>336</v>
      </c>
      <c r="H137" s="7" t="s">
        <v>431</v>
      </c>
      <c r="I137" s="256"/>
      <c r="J137" s="256"/>
      <c r="K137" s="38">
        <v>28498800</v>
      </c>
      <c r="L137" s="603" t="s">
        <v>24</v>
      </c>
      <c r="M137" s="603" t="s">
        <v>265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>x</v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850"/>
      <c r="AB137" s="211"/>
    </row>
    <row r="138" spans="1:30" s="594" customFormat="1" ht="15.75" customHeight="1">
      <c r="A138" s="204" t="str">
        <f>IF(B138&lt;&gt;"",IF(AND(B138&gt;=_TM1,B138&lt;=_TM2,OR(TH!L138="1111",TH!M138="1111")),TH!D138,""),"")</f>
        <v/>
      </c>
      <c r="B138" s="36">
        <f t="shared" si="26"/>
        <v>5</v>
      </c>
      <c r="C138" s="184">
        <f t="shared" si="27"/>
        <v>41425</v>
      </c>
      <c r="D138" s="184" t="s">
        <v>339</v>
      </c>
      <c r="E138" s="191">
        <v>41425</v>
      </c>
      <c r="F138" s="189" t="s">
        <v>341</v>
      </c>
      <c r="G138" s="604" t="s">
        <v>336</v>
      </c>
      <c r="H138" s="7" t="s">
        <v>503</v>
      </c>
      <c r="I138" s="257"/>
      <c r="J138" s="258"/>
      <c r="K138" s="38">
        <v>20000000</v>
      </c>
      <c r="L138" s="603" t="s">
        <v>24</v>
      </c>
      <c r="M138" s="603" t="s">
        <v>265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>x</v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850"/>
    </row>
    <row r="139" spans="1:30" s="594" customFormat="1" ht="15.75" customHeight="1">
      <c r="A139" s="204" t="str">
        <f>IF(B139&lt;&gt;"",IF(AND(B139&gt;=_TM1,B139&lt;=_TM2,OR(TH!L139="1111",TH!M139="1111")),TH!D139,""),"")</f>
        <v/>
      </c>
      <c r="B139" s="36">
        <f t="shared" si="26"/>
        <v>5</v>
      </c>
      <c r="C139" s="184">
        <f t="shared" si="27"/>
        <v>41425</v>
      </c>
      <c r="D139" s="184" t="s">
        <v>476</v>
      </c>
      <c r="E139" s="191">
        <v>41425</v>
      </c>
      <c r="F139" s="189" t="s">
        <v>500</v>
      </c>
      <c r="G139" s="604" t="s">
        <v>336</v>
      </c>
      <c r="H139" s="7" t="s">
        <v>368</v>
      </c>
      <c r="I139" s="256"/>
      <c r="J139" s="258"/>
      <c r="K139" s="602">
        <v>68000000</v>
      </c>
      <c r="L139" s="603" t="s">
        <v>47</v>
      </c>
      <c r="M139" s="603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850"/>
    </row>
    <row r="140" spans="1:30" s="594" customFormat="1" ht="15.75" customHeight="1">
      <c r="A140" s="204" t="str">
        <f>IF(B140&lt;&gt;"",IF(AND(B140&gt;=_TM1,B140&lt;=_TM2,OR(TH!L140="1111",TH!M140="1111")),TH!D140,""),"")</f>
        <v/>
      </c>
      <c r="B140" s="36">
        <f t="shared" si="26"/>
        <v>6</v>
      </c>
      <c r="C140" s="184">
        <f t="shared" si="27"/>
        <v>41429</v>
      </c>
      <c r="D140" s="184" t="s">
        <v>382</v>
      </c>
      <c r="E140" s="184">
        <v>41429</v>
      </c>
      <c r="F140" s="189" t="s">
        <v>514</v>
      </c>
      <c r="G140" s="664" t="s">
        <v>515</v>
      </c>
      <c r="H140" s="7" t="s">
        <v>516</v>
      </c>
      <c r="I140" s="256"/>
      <c r="J140" s="256"/>
      <c r="K140" s="602">
        <v>22244468</v>
      </c>
      <c r="L140" s="603" t="s">
        <v>61</v>
      </c>
      <c r="M140" s="603" t="s">
        <v>47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>x</v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850"/>
    </row>
    <row r="141" spans="1:30" s="594" customFormat="1" ht="15.75" customHeight="1">
      <c r="A141" s="204" t="str">
        <f>IF(B141&lt;&gt;"",IF(AND(B141&gt;=_TM1,B141&lt;=_TM2,OR(TH!L141="1111",TH!M141="1111")),TH!D141,""),"")</f>
        <v/>
      </c>
      <c r="B141" s="36">
        <f t="shared" si="26"/>
        <v>6</v>
      </c>
      <c r="C141" s="184">
        <f t="shared" si="27"/>
        <v>41443</v>
      </c>
      <c r="D141" s="184" t="s">
        <v>383</v>
      </c>
      <c r="E141" s="191">
        <v>41443</v>
      </c>
      <c r="F141" s="189" t="s">
        <v>387</v>
      </c>
      <c r="G141" s="664" t="s">
        <v>517</v>
      </c>
      <c r="H141" s="7" t="s">
        <v>518</v>
      </c>
      <c r="I141" s="257"/>
      <c r="J141" s="258"/>
      <c r="K141" s="38">
        <v>543634</v>
      </c>
      <c r="L141" s="603" t="s">
        <v>83</v>
      </c>
      <c r="M141" s="603" t="s">
        <v>47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>x</v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>642</v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850"/>
      <c r="AB141" s="211"/>
    </row>
    <row r="142" spans="1:30" s="594" customFormat="1" ht="15.75" customHeight="1">
      <c r="A142" s="204" t="str">
        <f>IF(B142&lt;&gt;"",IF(AND(B142&gt;=_TM1,B142&lt;=_TM2,OR(TH!L142="1111",TH!M142="1111")),TH!D142,""),"")</f>
        <v/>
      </c>
      <c r="B142" s="36">
        <f t="shared" si="26"/>
        <v>6</v>
      </c>
      <c r="C142" s="184">
        <f t="shared" si="27"/>
        <v>41443</v>
      </c>
      <c r="D142" s="184" t="s">
        <v>383</v>
      </c>
      <c r="E142" s="191">
        <v>41443</v>
      </c>
      <c r="F142" s="189" t="s">
        <v>388</v>
      </c>
      <c r="G142" s="664" t="s">
        <v>517</v>
      </c>
      <c r="H142" s="7" t="s">
        <v>518</v>
      </c>
      <c r="I142" s="257"/>
      <c r="J142" s="258"/>
      <c r="K142" s="38">
        <v>54363</v>
      </c>
      <c r="L142" s="603" t="s">
        <v>9</v>
      </c>
      <c r="M142" s="603" t="s">
        <v>47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850"/>
      <c r="AB142" s="594">
        <v>9</v>
      </c>
      <c r="AC142" s="839"/>
      <c r="AD142" s="839"/>
    </row>
    <row r="143" spans="1:30" s="594" customFormat="1" ht="15.75" customHeight="1">
      <c r="A143" s="204" t="str">
        <f>IF(B143&lt;&gt;"",IF(AND(B143&gt;=_TM1,B143&lt;=_TM2,OR(TH!L143="1111",TH!M143="1111")),TH!D143,""),"")</f>
        <v/>
      </c>
      <c r="B143" s="36">
        <f t="shared" si="26"/>
        <v>6</v>
      </c>
      <c r="C143" s="184">
        <f t="shared" si="27"/>
        <v>41445</v>
      </c>
      <c r="D143" s="184" t="s">
        <v>384</v>
      </c>
      <c r="E143" s="191">
        <v>41445</v>
      </c>
      <c r="F143" s="189" t="s">
        <v>349</v>
      </c>
      <c r="G143" s="664" t="s">
        <v>519</v>
      </c>
      <c r="H143" s="7" t="s">
        <v>391</v>
      </c>
      <c r="I143" s="257"/>
      <c r="J143" s="258"/>
      <c r="K143" s="38">
        <v>400000</v>
      </c>
      <c r="L143" s="603" t="s">
        <v>83</v>
      </c>
      <c r="M143" s="603" t="s">
        <v>47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>642</v>
      </c>
      <c r="V143" s="52" t="str">
        <f>IF(OR(TH!L143=TH!$V$7,M143=TH!$V$7),"x","")</f>
        <v>x</v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850"/>
      <c r="AB143" s="211"/>
      <c r="AC143" s="211"/>
      <c r="AD143" s="211"/>
    </row>
    <row r="144" spans="1:30" s="594" customFormat="1" ht="15.75" customHeight="1">
      <c r="A144" s="204" t="str">
        <f>IF(B144&lt;&gt;"",IF(AND(B144&gt;=_TM1,B144&lt;=_TM2,OR(TH!L144="1111",TH!M144="1111")),TH!D144,""),"")</f>
        <v/>
      </c>
      <c r="B144" s="36">
        <f t="shared" si="26"/>
        <v>6</v>
      </c>
      <c r="C144" s="184">
        <f t="shared" si="27"/>
        <v>41446</v>
      </c>
      <c r="D144" s="184" t="s">
        <v>339</v>
      </c>
      <c r="E144" s="191">
        <v>41446</v>
      </c>
      <c r="F144" s="189" t="s">
        <v>341</v>
      </c>
      <c r="G144" s="604" t="s">
        <v>336</v>
      </c>
      <c r="H144" s="7" t="s">
        <v>503</v>
      </c>
      <c r="I144" s="257"/>
      <c r="J144" s="258"/>
      <c r="K144" s="38">
        <v>23721250</v>
      </c>
      <c r="L144" s="603" t="s">
        <v>24</v>
      </c>
      <c r="M144" s="603" t="s">
        <v>265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850"/>
      <c r="AC144" s="198"/>
      <c r="AD144" s="198"/>
    </row>
    <row r="145" spans="1:30" s="594" customFormat="1" ht="15.75" customHeight="1">
      <c r="A145" s="204" t="str">
        <f>IF(B145&lt;&gt;"",IF(AND(B145&gt;=_TM1,B145&lt;=_TM2,OR(TH!L145="1111",TH!M145="1111")),TH!D145,""),"")</f>
        <v/>
      </c>
      <c r="B145" s="36">
        <f t="shared" si="26"/>
        <v>6</v>
      </c>
      <c r="C145" s="184">
        <f t="shared" si="27"/>
        <v>41447</v>
      </c>
      <c r="D145" s="184" t="s">
        <v>340</v>
      </c>
      <c r="E145" s="191">
        <v>41447</v>
      </c>
      <c r="F145" s="189" t="s">
        <v>371</v>
      </c>
      <c r="G145" s="604" t="s">
        <v>336</v>
      </c>
      <c r="H145" s="193" t="s">
        <v>585</v>
      </c>
      <c r="I145" s="256"/>
      <c r="J145" s="258"/>
      <c r="K145" s="602">
        <v>20000000</v>
      </c>
      <c r="L145" s="603" t="s">
        <v>8</v>
      </c>
      <c r="M145" s="603" t="s">
        <v>24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>x</v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850"/>
      <c r="AC145" s="198"/>
      <c r="AD145" s="198"/>
    </row>
    <row r="146" spans="1:30" s="594" customFormat="1" ht="15.75" customHeight="1">
      <c r="A146" s="204" t="str">
        <f>IF(B146&lt;&gt;"",IF(AND(B146&gt;=_TM1,B146&lt;=_TM2,OR(TH!L146="1111",TH!M146="1111")),TH!D146,""),"")</f>
        <v/>
      </c>
      <c r="B146" s="36">
        <f t="shared" si="26"/>
        <v>6</v>
      </c>
      <c r="C146" s="184">
        <f t="shared" si="27"/>
        <v>41447</v>
      </c>
      <c r="D146" s="184" t="s">
        <v>340</v>
      </c>
      <c r="E146" s="191">
        <v>41447</v>
      </c>
      <c r="F146" s="189" t="s">
        <v>342</v>
      </c>
      <c r="G146" s="604" t="s">
        <v>336</v>
      </c>
      <c r="H146" s="7"/>
      <c r="I146" s="256"/>
      <c r="J146" s="258"/>
      <c r="K146" s="602">
        <v>20000</v>
      </c>
      <c r="L146" s="603" t="s">
        <v>83</v>
      </c>
      <c r="M146" s="603" t="s">
        <v>24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>x</v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>642</v>
      </c>
      <c r="V146" s="52" t="str">
        <f>IF(OR(TH!L146=TH!$V$7,M146=TH!$V$7),"x","")</f>
        <v>x</v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850"/>
      <c r="AC146" s="198"/>
      <c r="AD146" s="198"/>
    </row>
    <row r="147" spans="1:30" s="594" customFormat="1" ht="15.75" customHeight="1">
      <c r="A147" s="204" t="str">
        <f>IF(B147&lt;&gt;"",IF(AND(B147&gt;=_TM1,B147&lt;=_TM2,OR(TH!L147="1111",TH!M147="1111")),TH!D147,""),"")</f>
        <v/>
      </c>
      <c r="B147" s="36">
        <f t="shared" si="26"/>
        <v>6</v>
      </c>
      <c r="C147" s="184">
        <f t="shared" si="27"/>
        <v>41450</v>
      </c>
      <c r="D147" s="184" t="s">
        <v>339</v>
      </c>
      <c r="E147" s="191">
        <v>41450</v>
      </c>
      <c r="F147" s="189" t="s">
        <v>341</v>
      </c>
      <c r="G147" s="604" t="s">
        <v>336</v>
      </c>
      <c r="H147" s="7" t="s">
        <v>520</v>
      </c>
      <c r="I147" s="257"/>
      <c r="J147" s="258"/>
      <c r="K147" s="38">
        <v>37813270</v>
      </c>
      <c r="L147" s="603" t="s">
        <v>24</v>
      </c>
      <c r="M147" s="603" t="s">
        <v>265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>x</v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850"/>
      <c r="AC147" s="198"/>
      <c r="AD147" s="198"/>
    </row>
    <row r="148" spans="1:30" s="594" customFormat="1" ht="15.75" customHeight="1">
      <c r="A148" s="204" t="str">
        <f>IF(B148&lt;&gt;"",IF(AND(B148&gt;=_TM1,B148&lt;=_TM2,OR(TH!L148="1111",TH!M148="1111")),TH!D148,""),"")</f>
        <v/>
      </c>
      <c r="B148" s="36">
        <f t="shared" si="26"/>
        <v>6</v>
      </c>
      <c r="C148" s="184">
        <f t="shared" si="27"/>
        <v>41450</v>
      </c>
      <c r="D148" s="184" t="s">
        <v>339</v>
      </c>
      <c r="E148" s="191">
        <v>41450</v>
      </c>
      <c r="F148" s="189" t="s">
        <v>369</v>
      </c>
      <c r="G148" s="604" t="s">
        <v>336</v>
      </c>
      <c r="H148" s="7"/>
      <c r="I148" s="257"/>
      <c r="J148" s="258"/>
      <c r="K148" s="38">
        <v>17760</v>
      </c>
      <c r="L148" s="603" t="s">
        <v>24</v>
      </c>
      <c r="M148" s="603" t="s">
        <v>40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>x</v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50"/>
      <c r="AC148" s="198"/>
      <c r="AD148" s="198"/>
    </row>
    <row r="149" spans="1:30" s="594" customFormat="1" ht="15.75" customHeight="1">
      <c r="A149" s="204" t="str">
        <f>IF(B149&lt;&gt;"",IF(AND(B149&gt;=_TM1,B149&lt;=_TM2,OR(TH!L149="1111",TH!M149="1111")),TH!D149,""),"")</f>
        <v/>
      </c>
      <c r="B149" s="36">
        <f t="shared" si="26"/>
        <v>6</v>
      </c>
      <c r="C149" s="184">
        <f t="shared" si="27"/>
        <v>41451</v>
      </c>
      <c r="D149" s="184" t="s">
        <v>472</v>
      </c>
      <c r="E149" s="191">
        <v>41451</v>
      </c>
      <c r="F149" s="189" t="s">
        <v>500</v>
      </c>
      <c r="G149" s="604" t="s">
        <v>336</v>
      </c>
      <c r="H149" s="7" t="s">
        <v>368</v>
      </c>
      <c r="I149" s="257"/>
      <c r="J149" s="258"/>
      <c r="K149" s="38">
        <v>22000000</v>
      </c>
      <c r="L149" s="603" t="s">
        <v>47</v>
      </c>
      <c r="M149" s="603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>x</v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>x</v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50"/>
      <c r="AC149" s="198"/>
      <c r="AD149" s="198"/>
    </row>
    <row r="150" spans="1:30" s="594" customFormat="1" ht="15.75" customHeight="1">
      <c r="A150" s="204" t="str">
        <f>IF(B150&lt;&gt;"",IF(AND(B150&gt;=_TM1,B150&lt;=_TM2,OR(TH!L150="1111",TH!M150="1111")),TH!D150,""),"")</f>
        <v/>
      </c>
      <c r="B150" s="36">
        <f t="shared" si="26"/>
        <v>6</v>
      </c>
      <c r="C150" s="184">
        <f t="shared" si="27"/>
        <v>41451</v>
      </c>
      <c r="D150" s="184" t="s">
        <v>340</v>
      </c>
      <c r="E150" s="191">
        <v>41451</v>
      </c>
      <c r="F150" s="189" t="s">
        <v>371</v>
      </c>
      <c r="G150" s="604" t="s">
        <v>336</v>
      </c>
      <c r="H150" s="193" t="s">
        <v>585</v>
      </c>
      <c r="I150" s="257"/>
      <c r="J150" s="258"/>
      <c r="K150" s="38">
        <v>20000000</v>
      </c>
      <c r="L150" s="603" t="s">
        <v>8</v>
      </c>
      <c r="M150" s="603" t="s">
        <v>24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>x</v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50"/>
      <c r="AC150" s="198"/>
      <c r="AD150" s="198"/>
    </row>
    <row r="151" spans="1:30" s="594" customFormat="1" ht="15.75" customHeight="1">
      <c r="A151" s="204" t="str">
        <f>IF(B151&lt;&gt;"",IF(AND(B151&gt;=_TM1,B151&lt;=_TM2,OR(TH!L151="1111",TH!M151="1111")),TH!D151,""),"")</f>
        <v/>
      </c>
      <c r="B151" s="36">
        <f t="shared" si="26"/>
        <v>7</v>
      </c>
      <c r="C151" s="184">
        <f t="shared" si="27"/>
        <v>41465</v>
      </c>
      <c r="D151" s="184" t="s">
        <v>378</v>
      </c>
      <c r="E151" s="191">
        <v>41465</v>
      </c>
      <c r="F151" s="189" t="s">
        <v>521</v>
      </c>
      <c r="G151" s="664" t="s">
        <v>522</v>
      </c>
      <c r="H151" s="7" t="s">
        <v>523</v>
      </c>
      <c r="I151" s="256"/>
      <c r="J151" s="258"/>
      <c r="K151" s="602">
        <f>471793+454546</f>
        <v>926339</v>
      </c>
      <c r="L151" s="603" t="s">
        <v>83</v>
      </c>
      <c r="M151" s="603" t="s">
        <v>47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>x</v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50"/>
      <c r="AC151" s="198"/>
      <c r="AD151" s="198"/>
    </row>
    <row r="152" spans="1:30" s="594" customFormat="1" ht="15.75" customHeight="1">
      <c r="A152" s="204" t="str">
        <f>IF(B152&lt;&gt;"",IF(AND(B152&gt;=_TM1,B152&lt;=_TM2,OR(TH!L152="1111",TH!M152="1111")),TH!D152,""),"")</f>
        <v/>
      </c>
      <c r="B152" s="36">
        <f t="shared" si="26"/>
        <v>7</v>
      </c>
      <c r="C152" s="184">
        <f t="shared" si="27"/>
        <v>41465</v>
      </c>
      <c r="D152" s="184" t="s">
        <v>378</v>
      </c>
      <c r="E152" s="191">
        <v>41465</v>
      </c>
      <c r="F152" s="189" t="s">
        <v>524</v>
      </c>
      <c r="G152" s="664" t="s">
        <v>522</v>
      </c>
      <c r="H152" s="7" t="s">
        <v>523</v>
      </c>
      <c r="I152" s="257"/>
      <c r="J152" s="258"/>
      <c r="K152" s="38">
        <f>47179+45454</f>
        <v>92633</v>
      </c>
      <c r="L152" s="603" t="s">
        <v>9</v>
      </c>
      <c r="M152" s="603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50"/>
      <c r="AB152" s="594">
        <v>9</v>
      </c>
      <c r="AC152" s="198"/>
      <c r="AD152" s="198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si="26"/>
        <v>7</v>
      </c>
      <c r="C153" s="184">
        <f t="shared" si="27"/>
        <v>41471</v>
      </c>
      <c r="D153" s="184" t="s">
        <v>379</v>
      </c>
      <c r="E153" s="191">
        <v>41471</v>
      </c>
      <c r="F153" s="189" t="s">
        <v>525</v>
      </c>
      <c r="G153" s="664" t="s">
        <v>526</v>
      </c>
      <c r="H153" s="7" t="s">
        <v>527</v>
      </c>
      <c r="I153" s="257"/>
      <c r="J153" s="258"/>
      <c r="K153" s="38">
        <v>850000</v>
      </c>
      <c r="L153" s="603" t="s">
        <v>83</v>
      </c>
      <c r="M153" s="603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50"/>
      <c r="AB153" s="211"/>
      <c r="AC153" s="702"/>
      <c r="AD153" s="702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26"/>
        <v>7</v>
      </c>
      <c r="C154" s="184">
        <f t="shared" si="27"/>
        <v>41471</v>
      </c>
      <c r="D154" s="184" t="s">
        <v>379</v>
      </c>
      <c r="E154" s="191">
        <v>41471</v>
      </c>
      <c r="F154" s="189" t="s">
        <v>528</v>
      </c>
      <c r="G154" s="664" t="s">
        <v>526</v>
      </c>
      <c r="H154" s="7" t="s">
        <v>527</v>
      </c>
      <c r="I154" s="256"/>
      <c r="J154" s="258"/>
      <c r="K154" s="602">
        <v>85000</v>
      </c>
      <c r="L154" s="603" t="s">
        <v>9</v>
      </c>
      <c r="M154" s="603" t="s">
        <v>47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>x</v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50"/>
      <c r="AB154" s="594">
        <v>9</v>
      </c>
      <c r="AC154" s="594"/>
      <c r="AD154" s="594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26"/>
        <v>7</v>
      </c>
      <c r="C155" s="184">
        <f t="shared" si="27"/>
        <v>41478</v>
      </c>
      <c r="D155" s="184" t="s">
        <v>339</v>
      </c>
      <c r="E155" s="191">
        <v>41478</v>
      </c>
      <c r="F155" s="189" t="s">
        <v>341</v>
      </c>
      <c r="G155" s="604" t="s">
        <v>336</v>
      </c>
      <c r="H155" s="7" t="s">
        <v>501</v>
      </c>
      <c r="I155" s="257"/>
      <c r="J155" s="258"/>
      <c r="K155" s="38">
        <v>9873578</v>
      </c>
      <c r="L155" s="603" t="s">
        <v>24</v>
      </c>
      <c r="M155" s="603" t="s">
        <v>265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>x</v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50"/>
      <c r="AB155" s="594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26"/>
        <v>7</v>
      </c>
      <c r="C156" s="191">
        <f t="shared" si="27"/>
        <v>41479</v>
      </c>
      <c r="D156" s="184" t="s">
        <v>380</v>
      </c>
      <c r="E156" s="191">
        <v>41479</v>
      </c>
      <c r="F156" s="189" t="s">
        <v>436</v>
      </c>
      <c r="G156" s="487" t="s">
        <v>529</v>
      </c>
      <c r="H156" s="7" t="s">
        <v>372</v>
      </c>
      <c r="I156" s="256"/>
      <c r="J156" s="256"/>
      <c r="K156" s="602">
        <v>2800000</v>
      </c>
      <c r="L156" s="603" t="s">
        <v>165</v>
      </c>
      <c r="M156" s="603" t="s">
        <v>47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>x</v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50"/>
      <c r="AB156" s="594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26"/>
        <v>7</v>
      </c>
      <c r="C157" s="191">
        <f t="shared" si="27"/>
        <v>41479</v>
      </c>
      <c r="D157" s="184" t="s">
        <v>380</v>
      </c>
      <c r="E157" s="191">
        <v>41479</v>
      </c>
      <c r="F157" s="189" t="s">
        <v>348</v>
      </c>
      <c r="G157" s="487" t="s">
        <v>529</v>
      </c>
      <c r="H157" s="7" t="s">
        <v>372</v>
      </c>
      <c r="I157" s="257"/>
      <c r="J157" s="257"/>
      <c r="K157" s="602">
        <v>280000</v>
      </c>
      <c r="L157" s="603" t="s">
        <v>9</v>
      </c>
      <c r="M157" s="603" t="s">
        <v>47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>x</v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50"/>
      <c r="AB157" s="211">
        <v>9</v>
      </c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26"/>
        <v>7</v>
      </c>
      <c r="C158" s="184">
        <f t="shared" si="27"/>
        <v>41480</v>
      </c>
      <c r="D158" s="184" t="s">
        <v>339</v>
      </c>
      <c r="E158" s="184">
        <v>41480</v>
      </c>
      <c r="F158" s="189" t="s">
        <v>341</v>
      </c>
      <c r="G158" s="604" t="s">
        <v>336</v>
      </c>
      <c r="H158" s="7" t="s">
        <v>530</v>
      </c>
      <c r="I158" s="256"/>
      <c r="J158" s="256"/>
      <c r="K158" s="602">
        <v>20754363</v>
      </c>
      <c r="L158" s="603" t="s">
        <v>24</v>
      </c>
      <c r="M158" s="603" t="s">
        <v>265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>x</v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50"/>
      <c r="AB158" s="594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26"/>
        <v>7</v>
      </c>
      <c r="C159" s="184">
        <f t="shared" si="27"/>
        <v>41480</v>
      </c>
      <c r="D159" s="184" t="s">
        <v>339</v>
      </c>
      <c r="E159" s="184">
        <v>41480</v>
      </c>
      <c r="F159" s="189" t="s">
        <v>369</v>
      </c>
      <c r="G159" s="604" t="s">
        <v>336</v>
      </c>
      <c r="H159" s="7"/>
      <c r="I159" s="256"/>
      <c r="J159" s="256"/>
      <c r="K159" s="602">
        <v>1736</v>
      </c>
      <c r="L159" s="603" t="s">
        <v>24</v>
      </c>
      <c r="M159" s="603" t="s">
        <v>40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>x</v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50"/>
      <c r="AB159" s="211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26"/>
        <v>7</v>
      </c>
      <c r="C160" s="191">
        <f t="shared" si="27"/>
        <v>41480</v>
      </c>
      <c r="D160" s="184" t="s">
        <v>381</v>
      </c>
      <c r="E160" s="191">
        <v>41480</v>
      </c>
      <c r="F160" s="189" t="s">
        <v>436</v>
      </c>
      <c r="G160" s="487" t="s">
        <v>531</v>
      </c>
      <c r="H160" s="7" t="s">
        <v>372</v>
      </c>
      <c r="I160" s="256"/>
      <c r="J160" s="256"/>
      <c r="K160" s="602">
        <v>660000</v>
      </c>
      <c r="L160" s="603" t="s">
        <v>165</v>
      </c>
      <c r="M160" s="603" t="s">
        <v>47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50"/>
      <c r="AB160" s="211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26"/>
        <v>7</v>
      </c>
      <c r="C161" s="191">
        <f t="shared" si="27"/>
        <v>41480</v>
      </c>
      <c r="D161" s="184" t="s">
        <v>381</v>
      </c>
      <c r="E161" s="191">
        <v>41480</v>
      </c>
      <c r="F161" s="189" t="s">
        <v>348</v>
      </c>
      <c r="G161" s="487" t="s">
        <v>531</v>
      </c>
      <c r="H161" s="7" t="s">
        <v>372</v>
      </c>
      <c r="I161" s="257"/>
      <c r="J161" s="257"/>
      <c r="K161" s="602">
        <v>66000</v>
      </c>
      <c r="L161" s="603" t="s">
        <v>9</v>
      </c>
      <c r="M161" s="603" t="s">
        <v>47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>x</v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50"/>
      <c r="AB161" s="211">
        <v>9</v>
      </c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26"/>
        <v>7</v>
      </c>
      <c r="C162" s="184">
        <f t="shared" si="27"/>
        <v>41481</v>
      </c>
      <c r="D162" s="184" t="s">
        <v>339</v>
      </c>
      <c r="E162" s="191">
        <v>41481</v>
      </c>
      <c r="F162" s="189" t="s">
        <v>341</v>
      </c>
      <c r="G162" s="604" t="s">
        <v>336</v>
      </c>
      <c r="H162" s="7" t="s">
        <v>499</v>
      </c>
      <c r="I162" s="257"/>
      <c r="J162" s="258"/>
      <c r="K162" s="38">
        <v>19948170</v>
      </c>
      <c r="L162" s="603" t="s">
        <v>24</v>
      </c>
      <c r="M162" s="603" t="s">
        <v>265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>x</v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50"/>
      <c r="AB162" s="211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26"/>
        <v>7</v>
      </c>
      <c r="C163" s="184">
        <f t="shared" si="27"/>
        <v>41481</v>
      </c>
      <c r="D163" s="184" t="s">
        <v>376</v>
      </c>
      <c r="E163" s="191">
        <v>41481</v>
      </c>
      <c r="F163" s="189" t="s">
        <v>500</v>
      </c>
      <c r="G163" s="604" t="s">
        <v>336</v>
      </c>
      <c r="H163" s="7" t="s">
        <v>368</v>
      </c>
      <c r="I163" s="257"/>
      <c r="J163" s="258"/>
      <c r="K163" s="38">
        <v>31000000</v>
      </c>
      <c r="L163" s="603" t="s">
        <v>47</v>
      </c>
      <c r="M163" s="603" t="s">
        <v>24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>x</v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50"/>
      <c r="AB163" s="594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26"/>
        <v>7</v>
      </c>
      <c r="C164" s="184">
        <f t="shared" si="27"/>
        <v>41481</v>
      </c>
      <c r="D164" s="184" t="s">
        <v>382</v>
      </c>
      <c r="E164" s="184">
        <v>41481</v>
      </c>
      <c r="F164" s="189" t="s">
        <v>532</v>
      </c>
      <c r="G164" s="664" t="s">
        <v>533</v>
      </c>
      <c r="H164" s="7" t="s">
        <v>516</v>
      </c>
      <c r="I164" s="256"/>
      <c r="J164" s="256"/>
      <c r="K164" s="602">
        <v>670000</v>
      </c>
      <c r="L164" s="603" t="s">
        <v>87</v>
      </c>
      <c r="M164" s="603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50"/>
      <c r="AB164" s="594"/>
      <c r="AC164" s="211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26"/>
        <v>7</v>
      </c>
      <c r="C165" s="184">
        <f t="shared" si="27"/>
        <v>41485</v>
      </c>
      <c r="D165" s="184" t="s">
        <v>340</v>
      </c>
      <c r="E165" s="191">
        <v>41485</v>
      </c>
      <c r="F165" s="189" t="s">
        <v>371</v>
      </c>
      <c r="G165" s="604" t="s">
        <v>336</v>
      </c>
      <c r="H165" s="193" t="s">
        <v>585</v>
      </c>
      <c r="I165" s="256"/>
      <c r="J165" s="258"/>
      <c r="K165" s="602">
        <v>20000000</v>
      </c>
      <c r="L165" s="603" t="s">
        <v>8</v>
      </c>
      <c r="M165" s="603" t="s">
        <v>24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>x</v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50"/>
      <c r="AB165" s="594"/>
      <c r="AC165" s="211"/>
      <c r="AD165" s="211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26"/>
        <v>8</v>
      </c>
      <c r="C166" s="184">
        <f t="shared" si="27"/>
        <v>41492</v>
      </c>
      <c r="D166" s="184" t="s">
        <v>339</v>
      </c>
      <c r="E166" s="184">
        <v>41492</v>
      </c>
      <c r="F166" s="189" t="s">
        <v>341</v>
      </c>
      <c r="G166" s="604" t="s">
        <v>336</v>
      </c>
      <c r="H166" s="7" t="s">
        <v>431</v>
      </c>
      <c r="I166" s="256"/>
      <c r="J166" s="256"/>
      <c r="K166" s="602">
        <v>31257600</v>
      </c>
      <c r="L166" s="603" t="s">
        <v>24</v>
      </c>
      <c r="M166" s="603" t="s">
        <v>265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>x</v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50"/>
      <c r="AB166" s="594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26"/>
        <v>8</v>
      </c>
      <c r="C167" s="184">
        <f t="shared" si="27"/>
        <v>41493</v>
      </c>
      <c r="D167" s="184" t="s">
        <v>339</v>
      </c>
      <c r="E167" s="184">
        <v>41493</v>
      </c>
      <c r="F167" s="189" t="s">
        <v>341</v>
      </c>
      <c r="G167" s="604" t="s">
        <v>336</v>
      </c>
      <c r="H167" s="7" t="s">
        <v>534</v>
      </c>
      <c r="I167" s="256"/>
      <c r="J167" s="256"/>
      <c r="K167" s="602">
        <v>7668870</v>
      </c>
      <c r="L167" s="603" t="s">
        <v>24</v>
      </c>
      <c r="M167" s="603" t="s">
        <v>265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>x</v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50"/>
      <c r="AB167" s="594"/>
      <c r="AC167" s="594"/>
      <c r="AD167" s="594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26"/>
        <v>8</v>
      </c>
      <c r="C168" s="184">
        <f t="shared" si="27"/>
        <v>41493</v>
      </c>
      <c r="D168" s="184" t="s">
        <v>377</v>
      </c>
      <c r="E168" s="191">
        <v>41493</v>
      </c>
      <c r="F168" s="189" t="s">
        <v>500</v>
      </c>
      <c r="G168" s="604" t="s">
        <v>336</v>
      </c>
      <c r="H168" s="7" t="s">
        <v>368</v>
      </c>
      <c r="I168" s="256"/>
      <c r="J168" s="258"/>
      <c r="K168" s="602">
        <v>39000000</v>
      </c>
      <c r="L168" s="603" t="s">
        <v>47</v>
      </c>
      <c r="M168" s="603" t="s">
        <v>24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>x</v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50"/>
      <c r="AB168" s="211"/>
      <c r="AC168" s="594"/>
      <c r="AD168" s="594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26"/>
        <v>8</v>
      </c>
      <c r="C169" s="184">
        <f t="shared" si="27"/>
        <v>41493</v>
      </c>
      <c r="D169" s="184" t="s">
        <v>383</v>
      </c>
      <c r="E169" s="191">
        <v>41493</v>
      </c>
      <c r="F169" s="189" t="s">
        <v>521</v>
      </c>
      <c r="G169" s="664" t="s">
        <v>535</v>
      </c>
      <c r="H169" s="7" t="s">
        <v>523</v>
      </c>
      <c r="I169" s="257"/>
      <c r="J169" s="258"/>
      <c r="K169" s="38">
        <v>299871</v>
      </c>
      <c r="L169" s="603" t="s">
        <v>83</v>
      </c>
      <c r="M169" s="603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>x</v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50"/>
      <c r="AB169" s="594"/>
      <c r="AC169" s="211"/>
      <c r="AD169" s="211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26"/>
        <v>8</v>
      </c>
      <c r="C170" s="184">
        <f t="shared" si="27"/>
        <v>41493</v>
      </c>
      <c r="D170" s="184" t="s">
        <v>383</v>
      </c>
      <c r="E170" s="191">
        <v>41493</v>
      </c>
      <c r="F170" s="189" t="s">
        <v>524</v>
      </c>
      <c r="G170" s="664" t="s">
        <v>535</v>
      </c>
      <c r="H170" s="7" t="s">
        <v>523</v>
      </c>
      <c r="I170" s="256"/>
      <c r="J170" s="258"/>
      <c r="K170" s="602">
        <v>29987</v>
      </c>
      <c r="L170" s="603" t="s">
        <v>9</v>
      </c>
      <c r="M170" s="603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>x</v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50"/>
      <c r="AB170" s="594">
        <v>12</v>
      </c>
      <c r="AC170" s="211"/>
      <c r="AD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26"/>
        <v>8</v>
      </c>
      <c r="C171" s="191">
        <f t="shared" si="27"/>
        <v>41496</v>
      </c>
      <c r="D171" s="184" t="s">
        <v>384</v>
      </c>
      <c r="E171" s="191">
        <v>41496</v>
      </c>
      <c r="F171" s="189" t="s">
        <v>436</v>
      </c>
      <c r="G171" s="487" t="s">
        <v>536</v>
      </c>
      <c r="H171" s="7" t="s">
        <v>372</v>
      </c>
      <c r="I171" s="256"/>
      <c r="J171" s="256"/>
      <c r="K171" s="602">
        <v>3900000</v>
      </c>
      <c r="L171" s="603" t="s">
        <v>165</v>
      </c>
      <c r="M171" s="603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50"/>
      <c r="AB171" s="594"/>
      <c r="AC171" s="211"/>
      <c r="AD171" s="211"/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26"/>
        <v>8</v>
      </c>
      <c r="C172" s="191">
        <f t="shared" si="27"/>
        <v>41496</v>
      </c>
      <c r="D172" s="184" t="s">
        <v>384</v>
      </c>
      <c r="E172" s="191">
        <v>41496</v>
      </c>
      <c r="F172" s="189" t="s">
        <v>348</v>
      </c>
      <c r="G172" s="487" t="s">
        <v>536</v>
      </c>
      <c r="H172" s="7" t="s">
        <v>372</v>
      </c>
      <c r="I172" s="257"/>
      <c r="J172" s="257"/>
      <c r="K172" s="602">
        <v>390000</v>
      </c>
      <c r="L172" s="603" t="s">
        <v>9</v>
      </c>
      <c r="M172" s="603" t="s">
        <v>47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>x</v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50"/>
      <c r="AB172" s="211">
        <v>9</v>
      </c>
      <c r="AC172" s="211"/>
      <c r="AD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26"/>
        <v>8</v>
      </c>
      <c r="C173" s="184">
        <f t="shared" si="27"/>
        <v>41498</v>
      </c>
      <c r="D173" s="184" t="s">
        <v>339</v>
      </c>
      <c r="E173" s="184">
        <v>41498</v>
      </c>
      <c r="F173" s="189" t="s">
        <v>341</v>
      </c>
      <c r="G173" s="604" t="s">
        <v>336</v>
      </c>
      <c r="H173" s="7" t="s">
        <v>537</v>
      </c>
      <c r="I173" s="256"/>
      <c r="J173" s="256"/>
      <c r="K173" s="602">
        <v>13769635</v>
      </c>
      <c r="L173" s="603" t="s">
        <v>24</v>
      </c>
      <c r="M173" s="603" t="s">
        <v>265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>x</v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50"/>
      <c r="AB173" s="594"/>
      <c r="AC173" s="211"/>
      <c r="AD173" s="211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ref="B174:B237" si="28">IF(C174&lt;&gt;"",MONTH(C174),"")</f>
        <v>8</v>
      </c>
      <c r="C174" s="184">
        <f t="shared" si="27"/>
        <v>41500</v>
      </c>
      <c r="D174" s="184" t="s">
        <v>339</v>
      </c>
      <c r="E174" s="191">
        <v>41500</v>
      </c>
      <c r="F174" s="189" t="s">
        <v>341</v>
      </c>
      <c r="G174" s="604" t="s">
        <v>336</v>
      </c>
      <c r="H174" s="7" t="s">
        <v>537</v>
      </c>
      <c r="I174" s="257"/>
      <c r="J174" s="258"/>
      <c r="K174" s="38">
        <v>13730475</v>
      </c>
      <c r="L174" s="603" t="s">
        <v>24</v>
      </c>
      <c r="M174" s="603" t="s">
        <v>265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>x</v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50"/>
      <c r="AB174" s="594"/>
      <c r="AC174" s="211"/>
      <c r="AD174" s="211"/>
    </row>
    <row r="175" spans="1:30" ht="15.75" customHeight="1">
      <c r="A175" s="204" t="str">
        <f>IF(B175&lt;&gt;"",IF(AND(B175&gt;=_TM1,B175&lt;=_TM2,OR(TH!L175="1111",TH!M175="1111")),TH!D175,""),"")</f>
        <v/>
      </c>
      <c r="B175" s="36">
        <f t="shared" si="28"/>
        <v>8</v>
      </c>
      <c r="C175" s="184">
        <f t="shared" si="27"/>
        <v>41500</v>
      </c>
      <c r="D175" s="184" t="s">
        <v>339</v>
      </c>
      <c r="E175" s="184">
        <v>41500</v>
      </c>
      <c r="F175" s="189" t="s">
        <v>341</v>
      </c>
      <c r="G175" s="604" t="s">
        <v>336</v>
      </c>
      <c r="H175" s="7" t="s">
        <v>501</v>
      </c>
      <c r="I175" s="256"/>
      <c r="J175" s="256"/>
      <c r="K175" s="38">
        <v>9614000</v>
      </c>
      <c r="L175" s="603" t="s">
        <v>24</v>
      </c>
      <c r="M175" s="603" t="s">
        <v>265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>x</v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>x</v>
      </c>
      <c r="AA175" s="850"/>
      <c r="AB175" s="594"/>
      <c r="AC175" s="594"/>
      <c r="AD175" s="594"/>
    </row>
    <row r="176" spans="1:30" ht="15.75" customHeight="1">
      <c r="A176" s="204" t="str">
        <f>IF(B176&lt;&gt;"",IF(AND(B176&gt;=_TM1,B176&lt;=_TM2,OR(TH!L176="1111",TH!M176="1111")),TH!D176,""),"")</f>
        <v/>
      </c>
      <c r="B176" s="36">
        <f t="shared" si="28"/>
        <v>8</v>
      </c>
      <c r="C176" s="184">
        <f t="shared" si="27"/>
        <v>41501</v>
      </c>
      <c r="D176" s="184" t="s">
        <v>339</v>
      </c>
      <c r="E176" s="191">
        <v>41501</v>
      </c>
      <c r="F176" s="189" t="s">
        <v>341</v>
      </c>
      <c r="G176" s="604" t="s">
        <v>336</v>
      </c>
      <c r="H176" s="7" t="s">
        <v>499</v>
      </c>
      <c r="I176" s="257"/>
      <c r="J176" s="258"/>
      <c r="K176" s="38">
        <v>14048210</v>
      </c>
      <c r="L176" s="603" t="s">
        <v>24</v>
      </c>
      <c r="M176" s="603" t="s">
        <v>265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>x</v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>x</v>
      </c>
      <c r="AA176" s="850"/>
      <c r="AB176" s="594"/>
      <c r="AC176" s="594"/>
      <c r="AD176" s="594"/>
    </row>
    <row r="177" spans="1:30" ht="15.75" customHeight="1">
      <c r="A177" s="204" t="str">
        <f>IF(B177&lt;&gt;"",IF(AND(B177&gt;=_TM1,B177&lt;=_TM2,OR(TH!L177="1111",TH!M177="1111")),TH!D177,""),"")</f>
        <v/>
      </c>
      <c r="B177" s="36">
        <f t="shared" si="28"/>
        <v>8</v>
      </c>
      <c r="C177" s="184">
        <f t="shared" si="27"/>
        <v>41502</v>
      </c>
      <c r="D177" s="184" t="s">
        <v>396</v>
      </c>
      <c r="E177" s="191">
        <v>41502</v>
      </c>
      <c r="F177" s="189" t="s">
        <v>500</v>
      </c>
      <c r="G177" s="604" t="s">
        <v>336</v>
      </c>
      <c r="H177" s="7" t="s">
        <v>368</v>
      </c>
      <c r="I177" s="256"/>
      <c r="J177" s="258"/>
      <c r="K177" s="38">
        <v>35600000</v>
      </c>
      <c r="L177" s="603" t="s">
        <v>47</v>
      </c>
      <c r="M177" s="603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>x</v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>x</v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>x</v>
      </c>
      <c r="AA177" s="850"/>
      <c r="AB177" s="594"/>
      <c r="AC177" s="594"/>
      <c r="AD177" s="594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28"/>
        <v>8</v>
      </c>
      <c r="C178" s="184">
        <f t="shared" si="27"/>
        <v>41502</v>
      </c>
      <c r="D178" s="184" t="s">
        <v>340</v>
      </c>
      <c r="E178" s="191">
        <v>41502</v>
      </c>
      <c r="F178" s="189" t="s">
        <v>371</v>
      </c>
      <c r="G178" s="604" t="s">
        <v>336</v>
      </c>
      <c r="H178" s="193" t="s">
        <v>1112</v>
      </c>
      <c r="I178" s="256"/>
      <c r="J178" s="258"/>
      <c r="K178" s="602">
        <v>15500000</v>
      </c>
      <c r="L178" s="603" t="s">
        <v>8</v>
      </c>
      <c r="M178" s="603" t="s">
        <v>24</v>
      </c>
      <c r="N178" s="52" t="str">
        <f>IF(AND('331-CT'!$E$7=TH!H178,OR(L178="331",M178="331")),"331",IF(AND(OR(L178="131",M178="131"),H178='131-CT'!$E$7),"131",""))</f>
        <v>331</v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>x</v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>x</v>
      </c>
      <c r="AA178" s="850"/>
      <c r="AB178" s="594"/>
      <c r="AC178" s="211"/>
      <c r="AD178" s="211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28"/>
        <v>8</v>
      </c>
      <c r="C179" s="184">
        <f t="shared" si="27"/>
        <v>41502</v>
      </c>
      <c r="D179" s="184" t="s">
        <v>340</v>
      </c>
      <c r="E179" s="191">
        <v>41502</v>
      </c>
      <c r="F179" s="189" t="s">
        <v>342</v>
      </c>
      <c r="G179" s="604" t="s">
        <v>336</v>
      </c>
      <c r="H179" s="7"/>
      <c r="I179" s="256"/>
      <c r="J179" s="258"/>
      <c r="K179" s="602">
        <v>15000</v>
      </c>
      <c r="L179" s="603" t="s">
        <v>83</v>
      </c>
      <c r="M179" s="603" t="s">
        <v>24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>x</v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>x</v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>x</v>
      </c>
      <c r="AA179" s="850"/>
      <c r="AB179" s="594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28"/>
        <v>8</v>
      </c>
      <c r="C180" s="184">
        <f t="shared" si="27"/>
        <v>41505</v>
      </c>
      <c r="D180" s="184" t="s">
        <v>339</v>
      </c>
      <c r="E180" s="184">
        <v>41505</v>
      </c>
      <c r="F180" s="189" t="s">
        <v>341</v>
      </c>
      <c r="G180" s="604" t="s">
        <v>336</v>
      </c>
      <c r="H180" s="7" t="s">
        <v>431</v>
      </c>
      <c r="I180" s="256"/>
      <c r="J180" s="256"/>
      <c r="K180" s="602">
        <v>21154375</v>
      </c>
      <c r="L180" s="603" t="s">
        <v>24</v>
      </c>
      <c r="M180" s="603" t="s">
        <v>265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>x</v>
      </c>
      <c r="AA180" s="850"/>
      <c r="AB180" s="594"/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/>
      </c>
      <c r="B181" s="36">
        <f t="shared" si="28"/>
        <v>8</v>
      </c>
      <c r="C181" s="184">
        <f t="shared" si="27"/>
        <v>41507</v>
      </c>
      <c r="D181" s="184" t="s">
        <v>339</v>
      </c>
      <c r="E181" s="191">
        <v>41507</v>
      </c>
      <c r="F181" s="189" t="s">
        <v>341</v>
      </c>
      <c r="G181" s="604" t="s">
        <v>336</v>
      </c>
      <c r="H181" s="7" t="s">
        <v>537</v>
      </c>
      <c r="I181" s="257"/>
      <c r="J181" s="258"/>
      <c r="K181" s="38">
        <v>13847955</v>
      </c>
      <c r="L181" s="603" t="s">
        <v>24</v>
      </c>
      <c r="M181" s="603" t="s">
        <v>265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>x</v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>x</v>
      </c>
      <c r="AA181" s="850"/>
      <c r="AB181" s="594"/>
    </row>
    <row r="182" spans="1:30" ht="15.75" customHeight="1">
      <c r="A182" s="204" t="str">
        <f>IF(B182&lt;&gt;"",IF(AND(B182&gt;=_TM1,B182&lt;=_TM2,OR(TH!L182="1111",TH!M182="1111")),TH!D182,""),"")</f>
        <v/>
      </c>
      <c r="B182" s="36">
        <f t="shared" si="28"/>
        <v>8</v>
      </c>
      <c r="C182" s="184">
        <f t="shared" si="27"/>
        <v>41507</v>
      </c>
      <c r="D182" s="184" t="s">
        <v>339</v>
      </c>
      <c r="E182" s="191">
        <v>41507</v>
      </c>
      <c r="F182" s="189" t="s">
        <v>341</v>
      </c>
      <c r="G182" s="604" t="s">
        <v>336</v>
      </c>
      <c r="H182" s="7" t="s">
        <v>431</v>
      </c>
      <c r="I182" s="257"/>
      <c r="J182" s="258"/>
      <c r="K182" s="38">
        <v>20625000</v>
      </c>
      <c r="L182" s="603" t="s">
        <v>24</v>
      </c>
      <c r="M182" s="603" t="s">
        <v>265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>x</v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>x</v>
      </c>
      <c r="AA182" s="850"/>
      <c r="AB182" s="594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28"/>
        <v>8</v>
      </c>
      <c r="C183" s="184">
        <f t="shared" si="27"/>
        <v>41509</v>
      </c>
      <c r="D183" s="184" t="s">
        <v>339</v>
      </c>
      <c r="E183" s="191">
        <v>41509</v>
      </c>
      <c r="F183" s="189" t="s">
        <v>341</v>
      </c>
      <c r="G183" s="604" t="s">
        <v>336</v>
      </c>
      <c r="H183" s="7" t="s">
        <v>538</v>
      </c>
      <c r="I183" s="257"/>
      <c r="J183" s="258"/>
      <c r="K183" s="38">
        <v>19995118</v>
      </c>
      <c r="L183" s="603" t="s">
        <v>24</v>
      </c>
      <c r="M183" s="603" t="s">
        <v>265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>x</v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>x</v>
      </c>
      <c r="AA183" s="850"/>
      <c r="AB183" s="594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28"/>
        <v>8</v>
      </c>
      <c r="C184" s="191">
        <f t="shared" si="27"/>
        <v>41509</v>
      </c>
      <c r="D184" s="184" t="s">
        <v>385</v>
      </c>
      <c r="E184" s="191">
        <v>41509</v>
      </c>
      <c r="F184" s="189" t="s">
        <v>436</v>
      </c>
      <c r="G184" s="487" t="s">
        <v>539</v>
      </c>
      <c r="H184" s="7" t="s">
        <v>372</v>
      </c>
      <c r="I184" s="256"/>
      <c r="J184" s="256"/>
      <c r="K184" s="602">
        <v>1000000</v>
      </c>
      <c r="L184" s="603" t="s">
        <v>165</v>
      </c>
      <c r="M184" s="603" t="s">
        <v>47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>x</v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>x</v>
      </c>
      <c r="AA184" s="850"/>
      <c r="AB184" s="594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28"/>
        <v>8</v>
      </c>
      <c r="C185" s="191">
        <f t="shared" si="27"/>
        <v>41509</v>
      </c>
      <c r="D185" s="184" t="s">
        <v>385</v>
      </c>
      <c r="E185" s="191">
        <v>41509</v>
      </c>
      <c r="F185" s="189" t="s">
        <v>348</v>
      </c>
      <c r="G185" s="487" t="s">
        <v>539</v>
      </c>
      <c r="H185" s="7" t="s">
        <v>372</v>
      </c>
      <c r="I185" s="257"/>
      <c r="J185" s="257"/>
      <c r="K185" s="602">
        <v>100000</v>
      </c>
      <c r="L185" s="603" t="s">
        <v>9</v>
      </c>
      <c r="M185" s="603" t="s">
        <v>47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>x</v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>x</v>
      </c>
      <c r="AA185" s="850"/>
      <c r="AB185" s="211">
        <v>9</v>
      </c>
    </row>
    <row r="186" spans="1:30" ht="15.75" customHeight="1">
      <c r="A186" s="204" t="str">
        <f>IF(B186&lt;&gt;"",IF(AND(B186&gt;=_TM1,B186&lt;=_TM2,OR(TH!L186="1111",TH!M186="1111")),TH!D186,""),"")</f>
        <v/>
      </c>
      <c r="B186" s="36">
        <f t="shared" si="28"/>
        <v>8</v>
      </c>
      <c r="C186" s="184">
        <f t="shared" si="27"/>
        <v>41510</v>
      </c>
      <c r="D186" s="184" t="s">
        <v>339</v>
      </c>
      <c r="E186" s="184">
        <v>41510</v>
      </c>
      <c r="F186" s="189" t="s">
        <v>369</v>
      </c>
      <c r="G186" s="604" t="s">
        <v>336</v>
      </c>
      <c r="H186" s="7"/>
      <c r="I186" s="256"/>
      <c r="J186" s="256"/>
      <c r="K186" s="602">
        <v>20308</v>
      </c>
      <c r="L186" s="603" t="s">
        <v>24</v>
      </c>
      <c r="M186" s="603" t="s">
        <v>40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>x</v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>x</v>
      </c>
      <c r="AA186" s="850"/>
      <c r="AB186" s="594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28"/>
        <v>8</v>
      </c>
      <c r="C187" s="184">
        <f t="shared" si="27"/>
        <v>41512</v>
      </c>
      <c r="D187" s="184" t="s">
        <v>401</v>
      </c>
      <c r="E187" s="191">
        <v>41512</v>
      </c>
      <c r="F187" s="189" t="s">
        <v>500</v>
      </c>
      <c r="G187" s="604" t="s">
        <v>336</v>
      </c>
      <c r="H187" s="7" t="s">
        <v>368</v>
      </c>
      <c r="I187" s="256"/>
      <c r="J187" s="258"/>
      <c r="K187" s="38">
        <v>75500000</v>
      </c>
      <c r="L187" s="603" t="s">
        <v>47</v>
      </c>
      <c r="M187" s="603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>x</v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>x</v>
      </c>
      <c r="AA187" s="850"/>
      <c r="AB187" s="594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28"/>
        <v>8</v>
      </c>
      <c r="C188" s="184">
        <f t="shared" si="27"/>
        <v>41513</v>
      </c>
      <c r="D188" s="184" t="s">
        <v>339</v>
      </c>
      <c r="E188" s="191">
        <v>41513</v>
      </c>
      <c r="F188" s="189" t="s">
        <v>341</v>
      </c>
      <c r="G188" s="604" t="s">
        <v>336</v>
      </c>
      <c r="H188" s="7" t="s">
        <v>534</v>
      </c>
      <c r="I188" s="257"/>
      <c r="J188" s="258"/>
      <c r="K188" s="38">
        <v>16547850</v>
      </c>
      <c r="L188" s="603" t="s">
        <v>24</v>
      </c>
      <c r="M188" s="603" t="s">
        <v>265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>x</v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>x</v>
      </c>
      <c r="AA188" s="850"/>
      <c r="AB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28"/>
        <v>8</v>
      </c>
      <c r="C189" s="184">
        <f t="shared" si="27"/>
        <v>41517</v>
      </c>
      <c r="D189" s="184" t="s">
        <v>466</v>
      </c>
      <c r="E189" s="191">
        <v>41517</v>
      </c>
      <c r="F189" s="189" t="s">
        <v>500</v>
      </c>
      <c r="G189" s="604" t="s">
        <v>336</v>
      </c>
      <c r="H189" s="7" t="s">
        <v>368</v>
      </c>
      <c r="I189" s="257"/>
      <c r="J189" s="258"/>
      <c r="K189" s="38">
        <v>16700000</v>
      </c>
      <c r="L189" s="603" t="s">
        <v>47</v>
      </c>
      <c r="M189" s="603" t="s">
        <v>24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>x</v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>x</v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>x</v>
      </c>
      <c r="AA189" s="850"/>
      <c r="AB189" s="594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28"/>
        <v>9</v>
      </c>
      <c r="C190" s="184">
        <f t="shared" si="27"/>
        <v>41522</v>
      </c>
      <c r="D190" s="184" t="s">
        <v>386</v>
      </c>
      <c r="E190" s="191">
        <v>41522</v>
      </c>
      <c r="F190" s="189" t="s">
        <v>521</v>
      </c>
      <c r="G190" s="664" t="s">
        <v>540</v>
      </c>
      <c r="H190" s="7" t="s">
        <v>523</v>
      </c>
      <c r="I190" s="257"/>
      <c r="J190" s="258"/>
      <c r="K190" s="38">
        <f>103476+347925</f>
        <v>451401</v>
      </c>
      <c r="L190" s="603" t="s">
        <v>83</v>
      </c>
      <c r="M190" s="603" t="s">
        <v>47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>x</v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>x</v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>x</v>
      </c>
      <c r="AA190" s="850"/>
      <c r="AB190" s="594"/>
      <c r="AC190" s="211"/>
      <c r="AD190" s="211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28"/>
        <v>9</v>
      </c>
      <c r="C191" s="184">
        <f t="shared" si="27"/>
        <v>41522</v>
      </c>
      <c r="D191" s="184" t="s">
        <v>386</v>
      </c>
      <c r="E191" s="191">
        <v>41522</v>
      </c>
      <c r="F191" s="189" t="s">
        <v>524</v>
      </c>
      <c r="G191" s="664" t="s">
        <v>540</v>
      </c>
      <c r="H191" s="7" t="s">
        <v>523</v>
      </c>
      <c r="I191" s="257"/>
      <c r="J191" s="258"/>
      <c r="K191" s="38">
        <f>10347+34792</f>
        <v>45139</v>
      </c>
      <c r="L191" s="603" t="s">
        <v>9</v>
      </c>
      <c r="M191" s="603" t="s">
        <v>47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>x</v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>x</v>
      </c>
      <c r="AA191" s="850"/>
      <c r="AB191" s="594">
        <v>12</v>
      </c>
      <c r="AC191" s="211"/>
      <c r="AD191" s="211"/>
    </row>
    <row r="192" spans="1:30" ht="15.75" customHeight="1">
      <c r="A192" s="204" t="str">
        <f>IF(B192&lt;&gt;"",IF(AND(B192&gt;=_TM1,B192&lt;=_TM2,OR(TH!L192="1111",TH!M192="1111")),TH!D192,""),"")</f>
        <v/>
      </c>
      <c r="B192" s="36">
        <f t="shared" si="28"/>
        <v>9</v>
      </c>
      <c r="C192" s="184">
        <f t="shared" si="27"/>
        <v>41526</v>
      </c>
      <c r="D192" s="184" t="s">
        <v>339</v>
      </c>
      <c r="E192" s="191">
        <v>41526</v>
      </c>
      <c r="F192" s="189" t="s">
        <v>341</v>
      </c>
      <c r="G192" s="604" t="s">
        <v>336</v>
      </c>
      <c r="H192" s="7" t="s">
        <v>534</v>
      </c>
      <c r="I192" s="257"/>
      <c r="J192" s="258"/>
      <c r="K192" s="38">
        <v>17307400</v>
      </c>
      <c r="L192" s="603" t="s">
        <v>24</v>
      </c>
      <c r="M192" s="603" t="s">
        <v>265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>x</v>
      </c>
      <c r="AA192" s="850"/>
      <c r="AB192" s="211"/>
      <c r="AC192" s="211"/>
      <c r="AD192" s="211"/>
    </row>
    <row r="193" spans="1:30" ht="15.75" customHeight="1">
      <c r="A193" s="204" t="str">
        <f>IF(B193&lt;&gt;"",IF(AND(B193&gt;=_TM1,B193&lt;=_TM2,OR(TH!L193="1111",TH!M193="1111")),TH!D193,""),"")</f>
        <v/>
      </c>
      <c r="B193" s="36">
        <f t="shared" si="28"/>
        <v>9</v>
      </c>
      <c r="C193" s="184">
        <f t="shared" si="27"/>
        <v>41528</v>
      </c>
      <c r="D193" s="184" t="s">
        <v>339</v>
      </c>
      <c r="E193" s="184">
        <v>41528</v>
      </c>
      <c r="F193" s="189" t="s">
        <v>341</v>
      </c>
      <c r="G193" s="604" t="s">
        <v>336</v>
      </c>
      <c r="H193" s="7" t="s">
        <v>537</v>
      </c>
      <c r="I193" s="256"/>
      <c r="J193" s="256"/>
      <c r="K193" s="602">
        <v>11550000</v>
      </c>
      <c r="L193" s="603" t="s">
        <v>24</v>
      </c>
      <c r="M193" s="603" t="s">
        <v>265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>x</v>
      </c>
      <c r="AA193" s="850"/>
      <c r="AB193" s="702"/>
    </row>
    <row r="194" spans="1:30" ht="15.75" customHeight="1">
      <c r="A194" s="204" t="str">
        <f>IF(B194&lt;&gt;"",IF(AND(B194&gt;=_TM1,B194&lt;=_TM2,OR(TH!L194="1111",TH!M194="1111")),TH!D194,""),"")</f>
        <v/>
      </c>
      <c r="B194" s="36">
        <f t="shared" si="28"/>
        <v>9</v>
      </c>
      <c r="C194" s="184">
        <f t="shared" ref="C194:C257" si="29">E194</f>
        <v>41528</v>
      </c>
      <c r="D194" s="184" t="s">
        <v>476</v>
      </c>
      <c r="E194" s="191">
        <v>41528</v>
      </c>
      <c r="F194" s="189" t="s">
        <v>500</v>
      </c>
      <c r="G194" s="604" t="s">
        <v>336</v>
      </c>
      <c r="H194" s="7" t="s">
        <v>368</v>
      </c>
      <c r="I194" s="257"/>
      <c r="J194" s="258"/>
      <c r="K194" s="38">
        <v>28800000</v>
      </c>
      <c r="L194" s="603" t="s">
        <v>47</v>
      </c>
      <c r="M194" s="603" t="s">
        <v>24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>x</v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>x</v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>x</v>
      </c>
      <c r="AA194" s="850"/>
      <c r="AB194" s="594"/>
    </row>
    <row r="195" spans="1:30" ht="15.75" customHeight="1">
      <c r="A195" s="204" t="str">
        <f>IF(B195&lt;&gt;"",IF(AND(B195&gt;=_TM1,B195&lt;=_TM2,OR(TH!L195="1111",TH!M195="1111")),TH!D195,""),"")</f>
        <v/>
      </c>
      <c r="B195" s="36">
        <f t="shared" si="28"/>
        <v>9</v>
      </c>
      <c r="C195" s="184">
        <f t="shared" si="29"/>
        <v>41533</v>
      </c>
      <c r="D195" s="184" t="s">
        <v>339</v>
      </c>
      <c r="E195" s="184">
        <v>41533</v>
      </c>
      <c r="F195" s="189" t="s">
        <v>341</v>
      </c>
      <c r="G195" s="604" t="s">
        <v>336</v>
      </c>
      <c r="H195" s="7" t="s">
        <v>430</v>
      </c>
      <c r="I195" s="256"/>
      <c r="J195" s="256"/>
      <c r="K195" s="602">
        <v>3068120</v>
      </c>
      <c r="L195" s="603" t="s">
        <v>24</v>
      </c>
      <c r="M195" s="603" t="s">
        <v>265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>x</v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>x</v>
      </c>
      <c r="AA195" s="850"/>
      <c r="AB195" s="594"/>
    </row>
    <row r="196" spans="1:30" ht="15.75" customHeight="1">
      <c r="A196" s="204" t="str">
        <f>IF(B196&lt;&gt;"",IF(AND(B196&gt;=_TM1,B196&lt;=_TM2,OR(TH!L196="1111",TH!M196="1111")),TH!D196,""),"")</f>
        <v/>
      </c>
      <c r="B196" s="36">
        <f t="shared" si="28"/>
        <v>9</v>
      </c>
      <c r="C196" s="184">
        <f t="shared" si="29"/>
        <v>41534</v>
      </c>
      <c r="D196" s="184" t="s">
        <v>339</v>
      </c>
      <c r="E196" s="184">
        <v>41534</v>
      </c>
      <c r="F196" s="189" t="s">
        <v>341</v>
      </c>
      <c r="G196" s="604" t="s">
        <v>336</v>
      </c>
      <c r="H196" s="7" t="s">
        <v>541</v>
      </c>
      <c r="I196" s="256"/>
      <c r="J196" s="256"/>
      <c r="K196" s="602">
        <v>18409413</v>
      </c>
      <c r="L196" s="603" t="s">
        <v>24</v>
      </c>
      <c r="M196" s="603" t="s">
        <v>265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>x</v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>x</v>
      </c>
      <c r="AA196" s="850"/>
      <c r="AB196" s="594"/>
    </row>
    <row r="197" spans="1:30" ht="15.75" customHeight="1">
      <c r="A197" s="204" t="str">
        <f>IF(B197&lt;&gt;"",IF(AND(B197&gt;=_TM1,B197&lt;=_TM2,OR(TH!L197="1111",TH!M197="1111")),TH!D197,""),"")</f>
        <v/>
      </c>
      <c r="B197" s="36">
        <f t="shared" si="28"/>
        <v>9</v>
      </c>
      <c r="C197" s="184">
        <f t="shared" si="29"/>
        <v>41535</v>
      </c>
      <c r="D197" s="184" t="s">
        <v>339</v>
      </c>
      <c r="E197" s="184">
        <v>41535</v>
      </c>
      <c r="F197" s="189" t="s">
        <v>341</v>
      </c>
      <c r="G197" s="604" t="s">
        <v>336</v>
      </c>
      <c r="H197" s="7" t="s">
        <v>431</v>
      </c>
      <c r="I197" s="256"/>
      <c r="J197" s="256"/>
      <c r="K197" s="602">
        <v>13681250</v>
      </c>
      <c r="L197" s="603" t="s">
        <v>24</v>
      </c>
      <c r="M197" s="603" t="s">
        <v>265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>x</v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>x</v>
      </c>
      <c r="AA197" s="850"/>
      <c r="AB197" s="594"/>
    </row>
    <row r="198" spans="1:30" ht="15.75" customHeight="1">
      <c r="A198" s="204" t="str">
        <f>IF(B198&lt;&gt;"",IF(AND(B198&gt;=_TM1,B198&lt;=_TM2,OR(TH!L198="1111",TH!M198="1111")),TH!D198,""),"")</f>
        <v/>
      </c>
      <c r="B198" s="36">
        <f t="shared" si="28"/>
        <v>9</v>
      </c>
      <c r="C198" s="184">
        <f t="shared" si="29"/>
        <v>41535</v>
      </c>
      <c r="D198" s="184" t="s">
        <v>472</v>
      </c>
      <c r="E198" s="191">
        <v>41535</v>
      </c>
      <c r="F198" s="189" t="s">
        <v>500</v>
      </c>
      <c r="G198" s="604" t="s">
        <v>336</v>
      </c>
      <c r="H198" s="7" t="s">
        <v>368</v>
      </c>
      <c r="I198" s="256"/>
      <c r="J198" s="258"/>
      <c r="K198" s="602">
        <v>21500000</v>
      </c>
      <c r="L198" s="603" t="s">
        <v>47</v>
      </c>
      <c r="M198" s="603" t="s">
        <v>24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>x</v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>x</v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>x</v>
      </c>
      <c r="AA198" s="850"/>
      <c r="AB198" s="594"/>
    </row>
    <row r="199" spans="1:30" ht="15.75" customHeight="1">
      <c r="A199" s="204" t="str">
        <f>IF(B199&lt;&gt;"",IF(AND(B199&gt;=_TM1,B199&lt;=_TM2,OR(TH!L199="1111",TH!M199="1111")),TH!D199,""),"")</f>
        <v/>
      </c>
      <c r="B199" s="36">
        <f t="shared" si="28"/>
        <v>9</v>
      </c>
      <c r="C199" s="184">
        <f t="shared" si="29"/>
        <v>41536</v>
      </c>
      <c r="D199" s="184" t="s">
        <v>339</v>
      </c>
      <c r="E199" s="191">
        <v>41536</v>
      </c>
      <c r="F199" s="189" t="s">
        <v>341</v>
      </c>
      <c r="G199" s="604" t="s">
        <v>336</v>
      </c>
      <c r="H199" s="7" t="s">
        <v>542</v>
      </c>
      <c r="I199" s="257"/>
      <c r="J199" s="258"/>
      <c r="K199" s="38">
        <v>12547810</v>
      </c>
      <c r="L199" s="603" t="s">
        <v>24</v>
      </c>
      <c r="M199" s="603" t="s">
        <v>265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>x</v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>x</v>
      </c>
      <c r="AA199" s="850"/>
      <c r="AB199" s="211"/>
    </row>
    <row r="200" spans="1:30" ht="15.75" customHeight="1">
      <c r="A200" s="204" t="str">
        <f>IF(B200&lt;&gt;"",IF(AND(B200&gt;=_TM1,B200&lt;=_TM2,OR(TH!L200="1111",TH!M200="1111")),TH!D200,""),"")</f>
        <v/>
      </c>
      <c r="B200" s="36">
        <f t="shared" si="28"/>
        <v>9</v>
      </c>
      <c r="C200" s="184">
        <f t="shared" si="29"/>
        <v>41537</v>
      </c>
      <c r="D200" s="184" t="s">
        <v>473</v>
      </c>
      <c r="E200" s="191">
        <v>41537</v>
      </c>
      <c r="F200" s="189" t="s">
        <v>500</v>
      </c>
      <c r="G200" s="604" t="s">
        <v>336</v>
      </c>
      <c r="H200" s="7" t="s">
        <v>368</v>
      </c>
      <c r="I200" s="256"/>
      <c r="J200" s="258"/>
      <c r="K200" s="602">
        <v>26000000</v>
      </c>
      <c r="L200" s="603" t="s">
        <v>47</v>
      </c>
      <c r="M200" s="603" t="s">
        <v>24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>x</v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>x</v>
      </c>
      <c r="AA200" s="850"/>
      <c r="AB200" s="594"/>
    </row>
    <row r="201" spans="1:30" ht="15.75" customHeight="1">
      <c r="A201" s="204" t="str">
        <f>IF(B201&lt;&gt;"",IF(AND(B201&gt;=_TM1,B201&lt;=_TM2,OR(TH!L201="1111",TH!M201="1111")),TH!D201,""),"")</f>
        <v/>
      </c>
      <c r="B201" s="36">
        <f t="shared" si="28"/>
        <v>9</v>
      </c>
      <c r="C201" s="191">
        <f t="shared" si="29"/>
        <v>41540</v>
      </c>
      <c r="D201" s="184" t="s">
        <v>393</v>
      </c>
      <c r="E201" s="191">
        <v>41540</v>
      </c>
      <c r="F201" s="189" t="s">
        <v>436</v>
      </c>
      <c r="G201" s="487" t="s">
        <v>543</v>
      </c>
      <c r="H201" s="7" t="s">
        <v>372</v>
      </c>
      <c r="I201" s="256"/>
      <c r="J201" s="256"/>
      <c r="K201" s="602">
        <v>1680000</v>
      </c>
      <c r="L201" s="603" t="s">
        <v>165</v>
      </c>
      <c r="M201" s="603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>x</v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>x</v>
      </c>
      <c r="AA201" s="850"/>
      <c r="AB201" s="211"/>
      <c r="AC201" s="594"/>
      <c r="AD201" s="594"/>
    </row>
    <row r="202" spans="1:30" ht="15.75" customHeight="1">
      <c r="A202" s="204" t="str">
        <f>IF(B202&lt;&gt;"",IF(AND(B202&gt;=_TM1,B202&lt;=_TM2,OR(TH!L202="1111",TH!M202="1111")),TH!D202,""),"")</f>
        <v/>
      </c>
      <c r="B202" s="36">
        <f t="shared" si="28"/>
        <v>9</v>
      </c>
      <c r="C202" s="191">
        <f t="shared" si="29"/>
        <v>41540</v>
      </c>
      <c r="D202" s="184" t="s">
        <v>393</v>
      </c>
      <c r="E202" s="191">
        <v>41540</v>
      </c>
      <c r="F202" s="189" t="s">
        <v>348</v>
      </c>
      <c r="G202" s="487" t="s">
        <v>543</v>
      </c>
      <c r="H202" s="7" t="s">
        <v>372</v>
      </c>
      <c r="I202" s="257"/>
      <c r="J202" s="257"/>
      <c r="K202" s="602">
        <v>168000</v>
      </c>
      <c r="L202" s="603" t="s">
        <v>9</v>
      </c>
      <c r="M202" s="603" t="s">
        <v>47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>x</v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>x</v>
      </c>
      <c r="AA202" s="850"/>
      <c r="AB202" s="211">
        <v>9</v>
      </c>
      <c r="AC202" s="594"/>
      <c r="AD202" s="211"/>
    </row>
    <row r="203" spans="1:30" ht="15.75" customHeight="1">
      <c r="A203" s="204" t="str">
        <f>IF(B203&lt;&gt;"",IF(AND(B203&gt;=_TM1,B203&lt;=_TM2,OR(TH!L203="1111",TH!M203="1111")),TH!D203,""),"")</f>
        <v/>
      </c>
      <c r="B203" s="36">
        <f t="shared" si="28"/>
        <v>9</v>
      </c>
      <c r="C203" s="184">
        <f t="shared" si="29"/>
        <v>41541</v>
      </c>
      <c r="D203" s="184" t="s">
        <v>339</v>
      </c>
      <c r="E203" s="184">
        <v>41541</v>
      </c>
      <c r="F203" s="189" t="s">
        <v>341</v>
      </c>
      <c r="G203" s="604" t="s">
        <v>336</v>
      </c>
      <c r="H203" s="7" t="s">
        <v>537</v>
      </c>
      <c r="I203" s="256"/>
      <c r="J203" s="256"/>
      <c r="K203" s="602">
        <v>12642630</v>
      </c>
      <c r="L203" s="603" t="s">
        <v>24</v>
      </c>
      <c r="M203" s="603" t="s">
        <v>265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>x</v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>x</v>
      </c>
      <c r="AA203" s="850"/>
      <c r="AB203" s="211"/>
      <c r="AC203" s="594"/>
      <c r="AD203" s="594"/>
    </row>
    <row r="204" spans="1:30" ht="15.75" customHeight="1">
      <c r="A204" s="204" t="str">
        <f>IF(B204&lt;&gt;"",IF(AND(B204&gt;=_TM1,B204&lt;=_TM2,OR(TH!L204="1111",TH!M204="1111")),TH!D204,""),"")</f>
        <v/>
      </c>
      <c r="B204" s="36">
        <f t="shared" si="28"/>
        <v>9</v>
      </c>
      <c r="C204" s="184">
        <f t="shared" si="29"/>
        <v>41542</v>
      </c>
      <c r="D204" s="184" t="s">
        <v>339</v>
      </c>
      <c r="E204" s="191">
        <v>41542</v>
      </c>
      <c r="F204" s="189" t="s">
        <v>369</v>
      </c>
      <c r="G204" s="604" t="s">
        <v>336</v>
      </c>
      <c r="H204" s="7"/>
      <c r="I204" s="257"/>
      <c r="J204" s="258"/>
      <c r="K204" s="38">
        <v>6004</v>
      </c>
      <c r="L204" s="603" t="s">
        <v>24</v>
      </c>
      <c r="M204" s="603" t="s">
        <v>40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>x</v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>x</v>
      </c>
      <c r="AA204" s="850"/>
      <c r="AB204" s="211"/>
      <c r="AC204" s="211"/>
      <c r="AD204" s="211"/>
    </row>
    <row r="205" spans="1:30" ht="15.75" customHeight="1">
      <c r="A205" s="204" t="str">
        <f>IF(B205&lt;&gt;"",IF(AND(B205&gt;=_TM1,B205&lt;=_TM2,OR(TH!L205="1111",TH!M205="1111")),TH!D205,""),"")</f>
        <v/>
      </c>
      <c r="B205" s="36">
        <f t="shared" si="28"/>
        <v>9</v>
      </c>
      <c r="C205" s="184">
        <f t="shared" si="29"/>
        <v>41542</v>
      </c>
      <c r="D205" s="184" t="s">
        <v>474</v>
      </c>
      <c r="E205" s="191">
        <v>41542</v>
      </c>
      <c r="F205" s="189" t="s">
        <v>500</v>
      </c>
      <c r="G205" s="604" t="s">
        <v>336</v>
      </c>
      <c r="H205" s="7" t="s">
        <v>368</v>
      </c>
      <c r="I205" s="257"/>
      <c r="J205" s="258"/>
      <c r="K205" s="602">
        <v>12900000</v>
      </c>
      <c r="L205" s="603" t="s">
        <v>47</v>
      </c>
      <c r="M205" s="603" t="s">
        <v>24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>x</v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>x</v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>x</v>
      </c>
      <c r="AA205" s="850"/>
      <c r="AB205" s="594"/>
      <c r="AC205" s="211"/>
      <c r="AD205" s="211"/>
    </row>
    <row r="206" spans="1:30" ht="15.75" customHeight="1">
      <c r="A206" s="204" t="str">
        <f>IF(B206&lt;&gt;"",IF(AND(B206&gt;=_TM1,B206&lt;=_TM2,OR(TH!L206="1111",TH!M206="1111")),TH!D206,""),"")</f>
        <v/>
      </c>
      <c r="B206" s="36">
        <f t="shared" si="28"/>
        <v>9</v>
      </c>
      <c r="C206" s="191">
        <f t="shared" si="29"/>
        <v>41543</v>
      </c>
      <c r="D206" s="184" t="s">
        <v>394</v>
      </c>
      <c r="E206" s="191">
        <v>41543</v>
      </c>
      <c r="F206" s="189" t="s">
        <v>436</v>
      </c>
      <c r="G206" s="487" t="s">
        <v>544</v>
      </c>
      <c r="H206" s="7" t="s">
        <v>372</v>
      </c>
      <c r="I206" s="256"/>
      <c r="J206" s="256"/>
      <c r="K206" s="602">
        <v>4020000</v>
      </c>
      <c r="L206" s="603" t="s">
        <v>165</v>
      </c>
      <c r="M206" s="603" t="s">
        <v>47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>x</v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>x</v>
      </c>
      <c r="AA206" s="850"/>
      <c r="AB206" s="211"/>
      <c r="AC206" s="211"/>
      <c r="AD206" s="211"/>
    </row>
    <row r="207" spans="1:30" ht="15.75" customHeight="1">
      <c r="A207" s="204" t="str">
        <f>IF(B207&lt;&gt;"",IF(AND(B207&gt;=_TM1,B207&lt;=_TM2,OR(TH!L207="1111",TH!M207="1111")),TH!D207,""),"")</f>
        <v/>
      </c>
      <c r="B207" s="36">
        <f t="shared" si="28"/>
        <v>9</v>
      </c>
      <c r="C207" s="191">
        <f t="shared" si="29"/>
        <v>41543</v>
      </c>
      <c r="D207" s="184" t="s">
        <v>394</v>
      </c>
      <c r="E207" s="191">
        <v>41543</v>
      </c>
      <c r="F207" s="189" t="s">
        <v>348</v>
      </c>
      <c r="G207" s="487" t="s">
        <v>544</v>
      </c>
      <c r="H207" s="7" t="s">
        <v>372</v>
      </c>
      <c r="I207" s="257"/>
      <c r="J207" s="257"/>
      <c r="K207" s="602">
        <v>402000</v>
      </c>
      <c r="L207" s="603" t="s">
        <v>9</v>
      </c>
      <c r="M207" s="603" t="s">
        <v>47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>x</v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>x</v>
      </c>
      <c r="AA207" s="850"/>
      <c r="AB207" s="211">
        <v>9</v>
      </c>
      <c r="AC207" s="594"/>
      <c r="AD207" s="594"/>
    </row>
    <row r="208" spans="1:30" ht="15.75" customHeight="1">
      <c r="A208" s="204" t="str">
        <f>IF(B208&lt;&gt;"",IF(AND(B208&gt;=_TM1,B208&lt;=_TM2,OR(TH!L208="1111",TH!M208="1111")),TH!D208,""),"")</f>
        <v/>
      </c>
      <c r="B208" s="36">
        <f t="shared" si="28"/>
        <v>9</v>
      </c>
      <c r="C208" s="191">
        <f t="shared" si="29"/>
        <v>41544</v>
      </c>
      <c r="D208" s="184" t="s">
        <v>395</v>
      </c>
      <c r="E208" s="191">
        <v>41544</v>
      </c>
      <c r="F208" s="189" t="s">
        <v>436</v>
      </c>
      <c r="G208" s="487" t="s">
        <v>545</v>
      </c>
      <c r="H208" s="7" t="s">
        <v>372</v>
      </c>
      <c r="I208" s="256"/>
      <c r="J208" s="256"/>
      <c r="K208" s="602">
        <v>3920000</v>
      </c>
      <c r="L208" s="603" t="s">
        <v>165</v>
      </c>
      <c r="M208" s="603" t="s">
        <v>47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>x</v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>x</v>
      </c>
      <c r="AA208" s="850"/>
      <c r="AB208" s="211"/>
    </row>
    <row r="209" spans="1:30" ht="15.75" customHeight="1">
      <c r="A209" s="204" t="str">
        <f>IF(B209&lt;&gt;"",IF(AND(B209&gt;=_TM1,B209&lt;=_TM2,OR(TH!L209="1111",TH!M209="1111")),TH!D209,""),"")</f>
        <v/>
      </c>
      <c r="B209" s="36">
        <f t="shared" si="28"/>
        <v>9</v>
      </c>
      <c r="C209" s="191">
        <f t="shared" si="29"/>
        <v>41544</v>
      </c>
      <c r="D209" s="184" t="s">
        <v>395</v>
      </c>
      <c r="E209" s="191">
        <v>41544</v>
      </c>
      <c r="F209" s="189" t="s">
        <v>348</v>
      </c>
      <c r="G209" s="487" t="s">
        <v>545</v>
      </c>
      <c r="H209" s="7" t="s">
        <v>372</v>
      </c>
      <c r="I209" s="257"/>
      <c r="J209" s="257"/>
      <c r="K209" s="602">
        <v>392000</v>
      </c>
      <c r="L209" s="603" t="s">
        <v>9</v>
      </c>
      <c r="M209" s="603" t="s">
        <v>47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>x</v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>x</v>
      </c>
      <c r="AA209" s="850"/>
      <c r="AB209" s="594">
        <v>9</v>
      </c>
    </row>
    <row r="210" spans="1:30" ht="15.75" customHeight="1">
      <c r="A210" s="204" t="str">
        <f>IF(B210&lt;&gt;"",IF(AND(B210&gt;=_TM1,B210&lt;=_TM2,OR(TH!L210="1111",TH!M210="1111")),TH!D210,""),"")</f>
        <v/>
      </c>
      <c r="B210" s="36">
        <f t="shared" si="28"/>
        <v>9</v>
      </c>
      <c r="C210" s="184">
        <f t="shared" si="29"/>
        <v>41547</v>
      </c>
      <c r="D210" s="184" t="s">
        <v>339</v>
      </c>
      <c r="E210" s="191">
        <v>41547</v>
      </c>
      <c r="F210" s="189" t="s">
        <v>341</v>
      </c>
      <c r="G210" s="604" t="s">
        <v>336</v>
      </c>
      <c r="H210" s="7" t="s">
        <v>537</v>
      </c>
      <c r="I210" s="257"/>
      <c r="J210" s="258"/>
      <c r="K210" s="38">
        <v>14819200</v>
      </c>
      <c r="L210" s="603" t="s">
        <v>24</v>
      </c>
      <c r="M210" s="603" t="s">
        <v>265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>x</v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>x</v>
      </c>
      <c r="AA210" s="850"/>
      <c r="AB210" s="211"/>
    </row>
    <row r="211" spans="1:30" ht="15.75" customHeight="1">
      <c r="A211" s="204" t="str">
        <f>IF(B211&lt;&gt;"",IF(AND(B211&gt;=_TM1,B211&lt;=_TM2,OR(TH!L211="1111",TH!M211="1111")),TH!D211,""),"")</f>
        <v/>
      </c>
      <c r="B211" s="36">
        <f t="shared" si="28"/>
        <v>9</v>
      </c>
      <c r="C211" s="191">
        <f t="shared" si="29"/>
        <v>41547</v>
      </c>
      <c r="D211" s="184" t="s">
        <v>397</v>
      </c>
      <c r="E211" s="191">
        <v>41547</v>
      </c>
      <c r="F211" s="189" t="s">
        <v>436</v>
      </c>
      <c r="G211" s="487" t="s">
        <v>546</v>
      </c>
      <c r="H211" s="7" t="s">
        <v>372</v>
      </c>
      <c r="I211" s="256"/>
      <c r="J211" s="256"/>
      <c r="K211" s="602">
        <v>1520000</v>
      </c>
      <c r="L211" s="603" t="s">
        <v>165</v>
      </c>
      <c r="M211" s="603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>x</v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>x</v>
      </c>
      <c r="AA211" s="850"/>
      <c r="AB211" s="211"/>
    </row>
    <row r="212" spans="1:30" ht="15.75" customHeight="1">
      <c r="A212" s="204" t="str">
        <f>IF(B212&lt;&gt;"",IF(AND(B212&gt;=_TM1,B212&lt;=_TM2,OR(TH!L212="1111",TH!M212="1111")),TH!D212,""),"")</f>
        <v/>
      </c>
      <c r="B212" s="36">
        <f t="shared" si="28"/>
        <v>9</v>
      </c>
      <c r="C212" s="191">
        <f t="shared" si="29"/>
        <v>41547</v>
      </c>
      <c r="D212" s="184" t="s">
        <v>397</v>
      </c>
      <c r="E212" s="191">
        <v>41547</v>
      </c>
      <c r="F212" s="189" t="s">
        <v>348</v>
      </c>
      <c r="G212" s="487" t="s">
        <v>546</v>
      </c>
      <c r="H212" s="7" t="s">
        <v>372</v>
      </c>
      <c r="I212" s="257"/>
      <c r="J212" s="257"/>
      <c r="K212" s="602">
        <v>152000</v>
      </c>
      <c r="L212" s="603" t="s">
        <v>9</v>
      </c>
      <c r="M212" s="603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>x</v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>x</v>
      </c>
      <c r="AA212" s="850"/>
      <c r="AB212" s="594">
        <v>9</v>
      </c>
    </row>
    <row r="213" spans="1:30" ht="15.75" customHeight="1">
      <c r="A213" s="204" t="str">
        <f>IF(B213&lt;&gt;"",IF(AND(B213&gt;=_TM1,B213&lt;=_TM2,OR(TH!L213="1111",TH!M213="1111")),TH!D213,""),"")</f>
        <v>C01</v>
      </c>
      <c r="B213" s="36">
        <f t="shared" si="28"/>
        <v>10</v>
      </c>
      <c r="C213" s="184">
        <f t="shared" si="29"/>
        <v>41549</v>
      </c>
      <c r="D213" s="184" t="s">
        <v>378</v>
      </c>
      <c r="E213" s="191">
        <v>41549</v>
      </c>
      <c r="F213" s="189" t="s">
        <v>521</v>
      </c>
      <c r="G213" s="664" t="s">
        <v>547</v>
      </c>
      <c r="H213" s="7" t="s">
        <v>523</v>
      </c>
      <c r="I213" s="257"/>
      <c r="J213" s="258"/>
      <c r="K213" s="38">
        <f>365139+142669+234027</f>
        <v>741835</v>
      </c>
      <c r="L213" s="603" t="s">
        <v>83</v>
      </c>
      <c r="M213" s="603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>x</v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50"/>
      <c r="AB213" s="594"/>
    </row>
    <row r="214" spans="1:30" ht="15.75" customHeight="1">
      <c r="A214" s="204" t="str">
        <f>IF(B214&lt;&gt;"",IF(AND(B214&gt;=_TM1,B214&lt;=_TM2,OR(TH!L214="1111",TH!M214="1111")),TH!D214,""),"")</f>
        <v>C01</v>
      </c>
      <c r="B214" s="36">
        <f t="shared" si="28"/>
        <v>10</v>
      </c>
      <c r="C214" s="184">
        <f t="shared" si="29"/>
        <v>41549</v>
      </c>
      <c r="D214" s="184" t="s">
        <v>378</v>
      </c>
      <c r="E214" s="191">
        <v>41549</v>
      </c>
      <c r="F214" s="189" t="s">
        <v>524</v>
      </c>
      <c r="G214" s="664" t="s">
        <v>547</v>
      </c>
      <c r="H214" s="7" t="s">
        <v>523</v>
      </c>
      <c r="I214" s="257"/>
      <c r="J214" s="258"/>
      <c r="K214" s="38">
        <f>36512+14267+23403</f>
        <v>74182</v>
      </c>
      <c r="L214" s="603" t="s">
        <v>9</v>
      </c>
      <c r="M214" s="603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50"/>
      <c r="AB214" s="594">
        <v>12</v>
      </c>
    </row>
    <row r="215" spans="1:30" ht="15.75" customHeight="1">
      <c r="A215" s="204" t="str">
        <f>IF(B215&lt;&gt;"",IF(AND(B215&gt;=_TM1,B215&lt;=_TM2,OR(TH!L215="1111",TH!M215="1111")),TH!D215,""),"")</f>
        <v>T01</v>
      </c>
      <c r="B215" s="36">
        <f t="shared" si="28"/>
        <v>10</v>
      </c>
      <c r="C215" s="184">
        <f t="shared" si="29"/>
        <v>41552</v>
      </c>
      <c r="D215" s="184" t="s">
        <v>376</v>
      </c>
      <c r="E215" s="191">
        <v>41552</v>
      </c>
      <c r="F215" s="189" t="s">
        <v>500</v>
      </c>
      <c r="G215" s="604" t="s">
        <v>336</v>
      </c>
      <c r="H215" s="7" t="s">
        <v>368</v>
      </c>
      <c r="I215" s="257"/>
      <c r="J215" s="258"/>
      <c r="K215" s="602">
        <v>14800000</v>
      </c>
      <c r="L215" s="603" t="s">
        <v>47</v>
      </c>
      <c r="M215" s="603" t="s">
        <v>24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>x</v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50"/>
      <c r="AB215" s="594"/>
    </row>
    <row r="216" spans="1:30" ht="15.75" customHeight="1">
      <c r="A216" s="204" t="str">
        <f>IF(B216&lt;&gt;"",IF(AND(B216&gt;=_TM1,B216&lt;=_TM2,OR(TH!L216="1111",TH!M216="1111")),TH!D216,""),"")</f>
        <v/>
      </c>
      <c r="B216" s="36">
        <f t="shared" si="28"/>
        <v>10</v>
      </c>
      <c r="C216" s="184">
        <f t="shared" si="29"/>
        <v>41554</v>
      </c>
      <c r="D216" s="184" t="s">
        <v>339</v>
      </c>
      <c r="E216" s="184">
        <v>41554</v>
      </c>
      <c r="F216" s="189" t="s">
        <v>341</v>
      </c>
      <c r="G216" s="604" t="s">
        <v>336</v>
      </c>
      <c r="H216" s="7" t="s">
        <v>537</v>
      </c>
      <c r="I216" s="256"/>
      <c r="J216" s="256"/>
      <c r="K216" s="602">
        <v>19729600</v>
      </c>
      <c r="L216" s="603" t="s">
        <v>24</v>
      </c>
      <c r="M216" s="603" t="s">
        <v>265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>x</v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50"/>
      <c r="AB216" s="211"/>
    </row>
    <row r="217" spans="1:30" ht="15.75" customHeight="1">
      <c r="A217" s="204" t="str">
        <f>IF(B217&lt;&gt;"",IF(AND(B217&gt;=_TM1,B217&lt;=_TM2,OR(TH!L217="1111",TH!M217="1111")),TH!D217,""),"")</f>
        <v/>
      </c>
      <c r="B217" s="36">
        <f t="shared" si="28"/>
        <v>10</v>
      </c>
      <c r="C217" s="184">
        <f t="shared" si="29"/>
        <v>41554</v>
      </c>
      <c r="D217" s="184" t="s">
        <v>339</v>
      </c>
      <c r="E217" s="191">
        <v>41554</v>
      </c>
      <c r="F217" s="189" t="s">
        <v>341</v>
      </c>
      <c r="G217" s="604" t="s">
        <v>336</v>
      </c>
      <c r="H217" s="7" t="s">
        <v>537</v>
      </c>
      <c r="I217" s="257"/>
      <c r="J217" s="258"/>
      <c r="K217" s="38">
        <v>13959000</v>
      </c>
      <c r="L217" s="603" t="s">
        <v>24</v>
      </c>
      <c r="M217" s="603" t="s">
        <v>265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>x</v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50"/>
      <c r="AB217" s="211"/>
      <c r="AC217" s="211"/>
      <c r="AD217" s="211"/>
    </row>
    <row r="218" spans="1:30" ht="15.75" customHeight="1">
      <c r="A218" s="204" t="str">
        <f>IF(B218&lt;&gt;"",IF(AND(B218&gt;=_TM1,B218&lt;=_TM2,OR(TH!L218="1111",TH!M218="1111")),TH!D218,""),"")</f>
        <v/>
      </c>
      <c r="B218" s="36">
        <f t="shared" si="28"/>
        <v>10</v>
      </c>
      <c r="C218" s="184">
        <f t="shared" si="29"/>
        <v>41554</v>
      </c>
      <c r="D218" s="184" t="s">
        <v>339</v>
      </c>
      <c r="E218" s="191">
        <v>41554</v>
      </c>
      <c r="F218" s="189" t="s">
        <v>341</v>
      </c>
      <c r="G218" s="604" t="s">
        <v>336</v>
      </c>
      <c r="H218" s="7" t="s">
        <v>548</v>
      </c>
      <c r="I218" s="257"/>
      <c r="J218" s="258"/>
      <c r="K218" s="38">
        <v>18621130</v>
      </c>
      <c r="L218" s="603" t="s">
        <v>24</v>
      </c>
      <c r="M218" s="603" t="s">
        <v>265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>x</v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50"/>
      <c r="AB218" s="211"/>
      <c r="AC218" s="211"/>
      <c r="AD218" s="211"/>
    </row>
    <row r="219" spans="1:30" ht="15.75" customHeight="1">
      <c r="A219" s="204" t="str">
        <f>IF(B219&lt;&gt;"",IF(AND(B219&gt;=_TM1,B219&lt;=_TM2,OR(TH!L219="1111",TH!M219="1111")),TH!D219,""),"")</f>
        <v>T02</v>
      </c>
      <c r="B219" s="36">
        <f t="shared" si="28"/>
        <v>10</v>
      </c>
      <c r="C219" s="184">
        <f t="shared" si="29"/>
        <v>41554</v>
      </c>
      <c r="D219" s="184" t="s">
        <v>377</v>
      </c>
      <c r="E219" s="191">
        <v>41554</v>
      </c>
      <c r="F219" s="189" t="s">
        <v>500</v>
      </c>
      <c r="G219" s="604" t="s">
        <v>336</v>
      </c>
      <c r="H219" s="7" t="s">
        <v>368</v>
      </c>
      <c r="I219" s="257"/>
      <c r="J219" s="258"/>
      <c r="K219" s="38">
        <v>33700000</v>
      </c>
      <c r="L219" s="603" t="s">
        <v>47</v>
      </c>
      <c r="M219" s="603" t="s">
        <v>24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>x</v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50"/>
      <c r="AB219" s="594"/>
      <c r="AC219" s="594"/>
      <c r="AD219" s="594"/>
    </row>
    <row r="220" spans="1:30" ht="15.75" customHeight="1">
      <c r="A220" s="204" t="str">
        <f>IF(B220&lt;&gt;"",IF(AND(B220&gt;=_TM1,B220&lt;=_TM2,OR(TH!L220="1111",TH!M220="1111")),TH!D220,""),"")</f>
        <v>T03</v>
      </c>
      <c r="B220" s="36">
        <f t="shared" si="28"/>
        <v>10</v>
      </c>
      <c r="C220" s="184">
        <f t="shared" si="29"/>
        <v>41556</v>
      </c>
      <c r="D220" s="184" t="s">
        <v>396</v>
      </c>
      <c r="E220" s="191">
        <v>41556</v>
      </c>
      <c r="F220" s="189" t="s">
        <v>500</v>
      </c>
      <c r="G220" s="604" t="s">
        <v>336</v>
      </c>
      <c r="H220" s="7" t="s">
        <v>368</v>
      </c>
      <c r="I220" s="257"/>
      <c r="J220" s="258"/>
      <c r="K220" s="38">
        <v>18500000</v>
      </c>
      <c r="L220" s="603" t="s">
        <v>47</v>
      </c>
      <c r="M220" s="603" t="s">
        <v>24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>x</v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50"/>
      <c r="AB220" s="594"/>
      <c r="AC220" s="594"/>
      <c r="AD220" s="594"/>
    </row>
    <row r="221" spans="1:30" ht="15.75" customHeight="1">
      <c r="A221" s="204" t="str">
        <f>IF(B221&lt;&gt;"",IF(AND(B221&gt;=_TM1,B221&lt;=_TM2,OR(TH!L221="1111",TH!M221="1111")),TH!D221,""),"")</f>
        <v/>
      </c>
      <c r="B221" s="36">
        <f t="shared" si="28"/>
        <v>10</v>
      </c>
      <c r="C221" s="184">
        <f t="shared" si="29"/>
        <v>41557</v>
      </c>
      <c r="D221" s="184" t="s">
        <v>339</v>
      </c>
      <c r="E221" s="191">
        <v>41557</v>
      </c>
      <c r="F221" s="189" t="s">
        <v>341</v>
      </c>
      <c r="G221" s="604" t="s">
        <v>336</v>
      </c>
      <c r="H221" s="7" t="s">
        <v>431</v>
      </c>
      <c r="I221" s="257"/>
      <c r="J221" s="258"/>
      <c r="K221" s="38">
        <v>6806250</v>
      </c>
      <c r="L221" s="603" t="s">
        <v>24</v>
      </c>
      <c r="M221" s="603" t="s">
        <v>265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>x</v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50"/>
      <c r="AB221" s="211"/>
      <c r="AC221" s="211"/>
      <c r="AD221" s="594"/>
    </row>
    <row r="222" spans="1:30" ht="15.75" customHeight="1">
      <c r="A222" s="204" t="str">
        <f>IF(B222&lt;&gt;"",IF(AND(B222&gt;=_TM1,B222&lt;=_TM2,OR(TH!L222="1111",TH!M222="1111")),TH!D222,""),"")</f>
        <v/>
      </c>
      <c r="B222" s="36">
        <f t="shared" si="28"/>
        <v>10</v>
      </c>
      <c r="C222" s="184">
        <f t="shared" si="29"/>
        <v>41561</v>
      </c>
      <c r="D222" s="184" t="s">
        <v>339</v>
      </c>
      <c r="E222" s="191">
        <v>41561</v>
      </c>
      <c r="F222" s="189" t="s">
        <v>341</v>
      </c>
      <c r="G222" s="604" t="s">
        <v>336</v>
      </c>
      <c r="H222" s="7" t="s">
        <v>537</v>
      </c>
      <c r="I222" s="257"/>
      <c r="J222" s="258"/>
      <c r="K222" s="38">
        <v>13855600</v>
      </c>
      <c r="L222" s="603" t="s">
        <v>24</v>
      </c>
      <c r="M222" s="603" t="s">
        <v>265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>x</v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50"/>
      <c r="AB222" s="211"/>
    </row>
    <row r="223" spans="1:30" ht="15.75" customHeight="1">
      <c r="A223" s="204" t="str">
        <f>IF(B223&lt;&gt;"",IF(AND(B223&gt;=_TM1,B223&lt;=_TM2,OR(TH!L223="1111",TH!M223="1111")),TH!D223,""),"")</f>
        <v/>
      </c>
      <c r="B223" s="36">
        <f t="shared" si="28"/>
        <v>10</v>
      </c>
      <c r="C223" s="184">
        <f t="shared" si="29"/>
        <v>41562</v>
      </c>
      <c r="D223" s="184" t="s">
        <v>339</v>
      </c>
      <c r="E223" s="184">
        <v>41562</v>
      </c>
      <c r="F223" s="189" t="s">
        <v>341</v>
      </c>
      <c r="G223" s="604" t="s">
        <v>336</v>
      </c>
      <c r="H223" s="7" t="s">
        <v>534</v>
      </c>
      <c r="I223" s="256"/>
      <c r="J223" s="256"/>
      <c r="K223" s="38">
        <v>10000000</v>
      </c>
      <c r="L223" s="603" t="s">
        <v>24</v>
      </c>
      <c r="M223" s="603" t="s">
        <v>265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>x</v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50"/>
      <c r="AB223" s="211"/>
    </row>
    <row r="224" spans="1:30" ht="15.75" customHeight="1">
      <c r="A224" s="204" t="str">
        <f>IF(B224&lt;&gt;"",IF(AND(B224&gt;=_TM1,B224&lt;=_TM2,OR(TH!L224="1111",TH!M224="1111")),TH!D224,""),"")</f>
        <v>T04</v>
      </c>
      <c r="B224" s="36">
        <f t="shared" si="28"/>
        <v>10</v>
      </c>
      <c r="C224" s="184">
        <f t="shared" si="29"/>
        <v>41562</v>
      </c>
      <c r="D224" s="184" t="s">
        <v>401</v>
      </c>
      <c r="E224" s="191">
        <v>41562</v>
      </c>
      <c r="F224" s="189" t="s">
        <v>500</v>
      </c>
      <c r="G224" s="604" t="s">
        <v>336</v>
      </c>
      <c r="H224" s="7" t="s">
        <v>368</v>
      </c>
      <c r="I224" s="256"/>
      <c r="J224" s="258"/>
      <c r="K224" s="602">
        <v>30800000</v>
      </c>
      <c r="L224" s="603" t="s">
        <v>47</v>
      </c>
      <c r="M224" s="603" t="s">
        <v>24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>x</v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50"/>
      <c r="AB224" s="594"/>
    </row>
    <row r="225" spans="1:30" ht="15.75" customHeight="1">
      <c r="A225" s="204" t="str">
        <f>IF(B225&lt;&gt;"",IF(AND(B225&gt;=_TM1,B225&lt;=_TM2,OR(TH!L225="1111",TH!M225="1111")),TH!D225,""),"")</f>
        <v/>
      </c>
      <c r="B225" s="36">
        <f t="shared" si="28"/>
        <v>10</v>
      </c>
      <c r="C225" s="184">
        <f t="shared" si="29"/>
        <v>41570</v>
      </c>
      <c r="D225" s="184" t="s">
        <v>339</v>
      </c>
      <c r="E225" s="184">
        <v>41570</v>
      </c>
      <c r="F225" s="189" t="s">
        <v>341</v>
      </c>
      <c r="G225" s="604" t="s">
        <v>336</v>
      </c>
      <c r="H225" s="7" t="s">
        <v>501</v>
      </c>
      <c r="I225" s="256"/>
      <c r="J225" s="256"/>
      <c r="K225" s="602">
        <v>5085806</v>
      </c>
      <c r="L225" s="603" t="s">
        <v>24</v>
      </c>
      <c r="M225" s="603" t="s">
        <v>265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>x</v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50"/>
      <c r="AB225" s="211"/>
    </row>
    <row r="226" spans="1:30" ht="15.75" customHeight="1">
      <c r="A226" s="204" t="str">
        <f>IF(B226&lt;&gt;"",IF(AND(B226&gt;=_TM1,B226&lt;=_TM2,OR(TH!L226="1111",TH!M226="1111")),TH!D226,""),"")</f>
        <v/>
      </c>
      <c r="B226" s="36">
        <f t="shared" si="28"/>
        <v>10</v>
      </c>
      <c r="C226" s="184">
        <f t="shared" si="29"/>
        <v>41572</v>
      </c>
      <c r="D226" s="184" t="s">
        <v>339</v>
      </c>
      <c r="E226" s="184">
        <v>41572</v>
      </c>
      <c r="F226" s="189" t="s">
        <v>369</v>
      </c>
      <c r="G226" s="604" t="s">
        <v>336</v>
      </c>
      <c r="H226" s="7"/>
      <c r="I226" s="256"/>
      <c r="J226" s="256"/>
      <c r="K226" s="602">
        <v>5895</v>
      </c>
      <c r="L226" s="603" t="s">
        <v>24</v>
      </c>
      <c r="M226" s="603" t="s">
        <v>40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>x</v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50"/>
      <c r="AB226" s="211"/>
    </row>
    <row r="227" spans="1:30" ht="15.75" customHeight="1">
      <c r="A227" s="204" t="str">
        <f>IF(B227&lt;&gt;"",IF(AND(B227&gt;=_TM1,B227&lt;=_TM2,OR(TH!L227="1111",TH!M227="1111")),TH!D227,""),"")</f>
        <v/>
      </c>
      <c r="B227" s="36">
        <f t="shared" si="28"/>
        <v>10</v>
      </c>
      <c r="C227" s="184">
        <f t="shared" si="29"/>
        <v>41575</v>
      </c>
      <c r="D227" s="184" t="s">
        <v>339</v>
      </c>
      <c r="E227" s="191">
        <v>41575</v>
      </c>
      <c r="F227" s="189" t="s">
        <v>341</v>
      </c>
      <c r="G227" s="604" t="s">
        <v>336</v>
      </c>
      <c r="H227" s="7" t="s">
        <v>541</v>
      </c>
      <c r="I227" s="257"/>
      <c r="J227" s="258"/>
      <c r="K227" s="38">
        <v>10488500</v>
      </c>
      <c r="L227" s="603" t="s">
        <v>24</v>
      </c>
      <c r="M227" s="603" t="s">
        <v>265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>x</v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50"/>
      <c r="AB227" s="594"/>
    </row>
    <row r="228" spans="1:30" ht="15.75" customHeight="1">
      <c r="A228" s="204" t="str">
        <f>IF(B228&lt;&gt;"",IF(AND(B228&gt;=_TM1,B228&lt;=_TM2,OR(TH!L228="1111",TH!M228="1111")),TH!D228,""),"")</f>
        <v/>
      </c>
      <c r="B228" s="36">
        <f t="shared" si="28"/>
        <v>10</v>
      </c>
      <c r="C228" s="184">
        <f t="shared" si="29"/>
        <v>41575</v>
      </c>
      <c r="D228" s="184" t="s">
        <v>339</v>
      </c>
      <c r="E228" s="191">
        <v>41575</v>
      </c>
      <c r="F228" s="189" t="s">
        <v>341</v>
      </c>
      <c r="G228" s="604" t="s">
        <v>336</v>
      </c>
      <c r="H228" s="7" t="s">
        <v>537</v>
      </c>
      <c r="I228" s="257"/>
      <c r="J228" s="258"/>
      <c r="K228" s="38">
        <v>13959000</v>
      </c>
      <c r="L228" s="603" t="s">
        <v>24</v>
      </c>
      <c r="M228" s="603" t="s">
        <v>265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>x</v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50"/>
      <c r="AB228" s="594"/>
    </row>
    <row r="229" spans="1:30" ht="15.75" customHeight="1">
      <c r="A229" s="204" t="str">
        <f>IF(B229&lt;&gt;"",IF(AND(B229&gt;=_TM1,B229&lt;=_TM2,OR(TH!L229="1111",TH!M229="1111")),TH!D229,""),"")</f>
        <v/>
      </c>
      <c r="B229" s="36">
        <f t="shared" si="28"/>
        <v>10</v>
      </c>
      <c r="C229" s="184">
        <f t="shared" si="29"/>
        <v>41575</v>
      </c>
      <c r="D229" s="184" t="s">
        <v>339</v>
      </c>
      <c r="E229" s="191">
        <v>41575</v>
      </c>
      <c r="F229" s="189" t="s">
        <v>341</v>
      </c>
      <c r="G229" s="604" t="s">
        <v>336</v>
      </c>
      <c r="H229" s="7" t="s">
        <v>537</v>
      </c>
      <c r="I229" s="257"/>
      <c r="J229" s="258"/>
      <c r="K229" s="38">
        <v>15708000</v>
      </c>
      <c r="L229" s="603" t="s">
        <v>24</v>
      </c>
      <c r="M229" s="603" t="s">
        <v>265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>x</v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50"/>
      <c r="AB229" s="594"/>
    </row>
    <row r="230" spans="1:30" s="808" customFormat="1" ht="15.75" customHeight="1">
      <c r="A230" s="204" t="str">
        <f>IF(B230&lt;&gt;"",IF(AND(B230&gt;=_TM1,B230&lt;=_TM2,OR(TH!L230="1111",TH!M230="1111")),TH!D230,""),"")</f>
        <v>T05</v>
      </c>
      <c r="B230" s="36">
        <f t="shared" si="28"/>
        <v>10</v>
      </c>
      <c r="C230" s="184">
        <f t="shared" si="29"/>
        <v>41576</v>
      </c>
      <c r="D230" s="184" t="s">
        <v>466</v>
      </c>
      <c r="E230" s="191">
        <v>41576</v>
      </c>
      <c r="F230" s="189" t="s">
        <v>500</v>
      </c>
      <c r="G230" s="604" t="s">
        <v>336</v>
      </c>
      <c r="H230" s="7" t="s">
        <v>368</v>
      </c>
      <c r="I230" s="258"/>
      <c r="J230" s="258"/>
      <c r="K230" s="38">
        <v>45200000</v>
      </c>
      <c r="L230" s="603" t="s">
        <v>47</v>
      </c>
      <c r="M230" s="603" t="s">
        <v>24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>x</v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50"/>
      <c r="AB230" s="211"/>
      <c r="AC230" s="198"/>
      <c r="AD230" s="198"/>
    </row>
    <row r="231" spans="1:30" s="808" customFormat="1" ht="15.75" customHeight="1">
      <c r="A231" s="204" t="str">
        <f>IF(B231&lt;&gt;"",IF(AND(B231&gt;=_TM1,B231&lt;=_TM2,OR(TH!L231="1111",TH!M231="1111")),TH!D231,""),"")</f>
        <v/>
      </c>
      <c r="B231" s="36">
        <f t="shared" si="28"/>
        <v>10</v>
      </c>
      <c r="C231" s="184">
        <f t="shared" si="29"/>
        <v>41577</v>
      </c>
      <c r="D231" s="184" t="s">
        <v>339</v>
      </c>
      <c r="E231" s="191">
        <v>41577</v>
      </c>
      <c r="F231" s="189" t="s">
        <v>341</v>
      </c>
      <c r="G231" s="604" t="s">
        <v>336</v>
      </c>
      <c r="H231" s="7" t="s">
        <v>548</v>
      </c>
      <c r="I231" s="257"/>
      <c r="J231" s="258"/>
      <c r="K231" s="38">
        <v>34257520</v>
      </c>
      <c r="L231" s="603" t="s">
        <v>24</v>
      </c>
      <c r="M231" s="603" t="s">
        <v>265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>x</v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50"/>
      <c r="AB231" s="211"/>
      <c r="AC231" s="211"/>
      <c r="AD231" s="211"/>
    </row>
    <row r="232" spans="1:30" s="808" customFormat="1" ht="15.75" customHeight="1">
      <c r="A232" s="204" t="str">
        <f>IF(B232&lt;&gt;"",IF(AND(B232&gt;=_TM1,B232&lt;=_TM2,OR(TH!L232="1111",TH!M232="1111")),TH!D232,""),"")</f>
        <v>C02</v>
      </c>
      <c r="B232" s="36">
        <f t="shared" si="28"/>
        <v>10</v>
      </c>
      <c r="C232" s="184">
        <f t="shared" si="29"/>
        <v>41577</v>
      </c>
      <c r="D232" s="184" t="s">
        <v>379</v>
      </c>
      <c r="E232" s="191">
        <v>41577</v>
      </c>
      <c r="F232" s="189" t="s">
        <v>387</v>
      </c>
      <c r="G232" s="664" t="s">
        <v>549</v>
      </c>
      <c r="H232" s="7" t="s">
        <v>518</v>
      </c>
      <c r="I232" s="257"/>
      <c r="J232" s="258"/>
      <c r="K232" s="38">
        <v>1616900</v>
      </c>
      <c r="L232" s="603" t="s">
        <v>83</v>
      </c>
      <c r="M232" s="603" t="s">
        <v>47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>x</v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50"/>
      <c r="AB232" s="594"/>
      <c r="AC232" s="211"/>
      <c r="AD232" s="211"/>
    </row>
    <row r="233" spans="1:30" s="808" customFormat="1" ht="15.75" customHeight="1">
      <c r="A233" s="204" t="str">
        <f>IF(B233&lt;&gt;"",IF(AND(B233&gt;=_TM1,B233&lt;=_TM2,OR(TH!L233="1111",TH!M233="1111")),TH!D233,""),"")</f>
        <v>C02</v>
      </c>
      <c r="B233" s="36">
        <f t="shared" si="28"/>
        <v>10</v>
      </c>
      <c r="C233" s="184">
        <f t="shared" si="29"/>
        <v>41577</v>
      </c>
      <c r="D233" s="184" t="s">
        <v>379</v>
      </c>
      <c r="E233" s="191">
        <v>41577</v>
      </c>
      <c r="F233" s="189" t="s">
        <v>388</v>
      </c>
      <c r="G233" s="664" t="s">
        <v>549</v>
      </c>
      <c r="H233" s="7" t="s">
        <v>518</v>
      </c>
      <c r="I233" s="257"/>
      <c r="J233" s="258"/>
      <c r="K233" s="38">
        <v>161690</v>
      </c>
      <c r="L233" s="603" t="s">
        <v>9</v>
      </c>
      <c r="M233" s="603" t="s">
        <v>47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50"/>
      <c r="AB233" s="594">
        <v>12</v>
      </c>
      <c r="AC233" s="211"/>
      <c r="AD233" s="211"/>
    </row>
    <row r="234" spans="1:30" s="808" customFormat="1" ht="15.75" customHeight="1">
      <c r="A234" s="204" t="str">
        <f>IF(B234&lt;&gt;"",IF(AND(B234&gt;=_TM1,B234&lt;=_TM2,OR(TH!L234="1111",TH!M234="1111")),TH!D234,""),"")</f>
        <v>C03</v>
      </c>
      <c r="B234" s="36">
        <f t="shared" si="28"/>
        <v>10</v>
      </c>
      <c r="C234" s="191">
        <f t="shared" si="29"/>
        <v>41577</v>
      </c>
      <c r="D234" s="184" t="s">
        <v>380</v>
      </c>
      <c r="E234" s="191">
        <v>41577</v>
      </c>
      <c r="F234" s="189" t="s">
        <v>436</v>
      </c>
      <c r="G234" s="487" t="s">
        <v>550</v>
      </c>
      <c r="H234" s="7" t="s">
        <v>372</v>
      </c>
      <c r="I234" s="256"/>
      <c r="J234" s="256"/>
      <c r="K234" s="602">
        <v>11940000</v>
      </c>
      <c r="L234" s="603" t="s">
        <v>165</v>
      </c>
      <c r="M234" s="603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50"/>
      <c r="AB234" s="211"/>
      <c r="AC234" s="198"/>
      <c r="AD234" s="198"/>
    </row>
    <row r="235" spans="1:30" s="808" customFormat="1" ht="15.75" customHeight="1">
      <c r="A235" s="204" t="str">
        <f>IF(B235&lt;&gt;"",IF(AND(B235&gt;=_TM1,B235&lt;=_TM2,OR(TH!L235="1111",TH!M235="1111")),TH!D235,""),"")</f>
        <v>C03</v>
      </c>
      <c r="B235" s="36">
        <f t="shared" si="28"/>
        <v>10</v>
      </c>
      <c r="C235" s="191">
        <f t="shared" si="29"/>
        <v>41577</v>
      </c>
      <c r="D235" s="184" t="s">
        <v>380</v>
      </c>
      <c r="E235" s="191">
        <v>41577</v>
      </c>
      <c r="F235" s="189" t="s">
        <v>348</v>
      </c>
      <c r="G235" s="487" t="s">
        <v>550</v>
      </c>
      <c r="H235" s="7" t="s">
        <v>372</v>
      </c>
      <c r="I235" s="257"/>
      <c r="J235" s="257"/>
      <c r="K235" s="602">
        <v>1194000</v>
      </c>
      <c r="L235" s="603" t="s">
        <v>9</v>
      </c>
      <c r="M235" s="603" t="s">
        <v>47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50"/>
      <c r="AB235" s="594">
        <v>12</v>
      </c>
      <c r="AC235" s="198"/>
      <c r="AD235" s="198"/>
    </row>
    <row r="236" spans="1:30" s="808" customFormat="1" ht="15.75" customHeight="1">
      <c r="A236" s="204" t="str">
        <f>IF(B236&lt;&gt;"",IF(AND(B236&gt;=_TM1,B236&lt;=_TM2,OR(TH!L236="1111",TH!M236="1111")),TH!D236,""),"")</f>
        <v/>
      </c>
      <c r="B236" s="36">
        <f t="shared" si="28"/>
        <v>11</v>
      </c>
      <c r="C236" s="184">
        <f t="shared" si="29"/>
        <v>41579</v>
      </c>
      <c r="D236" s="184" t="s">
        <v>339</v>
      </c>
      <c r="E236" s="191">
        <v>41579</v>
      </c>
      <c r="F236" s="189" t="s">
        <v>341</v>
      </c>
      <c r="G236" s="604" t="s">
        <v>336</v>
      </c>
      <c r="H236" s="7" t="s">
        <v>538</v>
      </c>
      <c r="I236" s="257"/>
      <c r="J236" s="258"/>
      <c r="K236" s="38">
        <v>14856710</v>
      </c>
      <c r="L236" s="603" t="s">
        <v>24</v>
      </c>
      <c r="M236" s="603" t="s">
        <v>265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>x</v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50"/>
      <c r="AB236" s="594"/>
      <c r="AC236" s="198"/>
      <c r="AD236" s="198"/>
    </row>
    <row r="237" spans="1:30" s="808" customFormat="1" ht="15.75" customHeight="1">
      <c r="A237" s="204" t="str">
        <f>IF(B237&lt;&gt;"",IF(AND(B237&gt;=_TM1,B237&lt;=_TM2,OR(TH!L237="1111",TH!M237="1111")),TH!D237,""),"")</f>
        <v>T06</v>
      </c>
      <c r="B237" s="36">
        <f t="shared" si="28"/>
        <v>11</v>
      </c>
      <c r="C237" s="184">
        <f t="shared" si="29"/>
        <v>41580</v>
      </c>
      <c r="D237" s="184" t="s">
        <v>476</v>
      </c>
      <c r="E237" s="191">
        <v>41580</v>
      </c>
      <c r="F237" s="189" t="s">
        <v>500</v>
      </c>
      <c r="G237" s="604" t="s">
        <v>336</v>
      </c>
      <c r="H237" s="7" t="s">
        <v>368</v>
      </c>
      <c r="I237" s="256"/>
      <c r="J237" s="256"/>
      <c r="K237" s="602">
        <v>49000000</v>
      </c>
      <c r="L237" s="603" t="s">
        <v>47</v>
      </c>
      <c r="M237" s="603" t="s">
        <v>24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>x</v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50"/>
      <c r="AB237" s="594"/>
      <c r="AC237" s="198"/>
      <c r="AD237" s="198"/>
    </row>
    <row r="238" spans="1:30" s="808" customFormat="1" ht="15.75" customHeight="1">
      <c r="A238" s="204" t="str">
        <f>IF(B238&lt;&gt;"",IF(AND(B238&gt;=_TM1,B238&lt;=_TM2,OR(TH!L238="1111",TH!M238="1111")),TH!D238,""),"")</f>
        <v>C04</v>
      </c>
      <c r="B238" s="36">
        <f t="shared" ref="B238:B301" si="30">IF(C238&lt;&gt;"",MONTH(C238),"")</f>
        <v>11</v>
      </c>
      <c r="C238" s="184">
        <f t="shared" si="29"/>
        <v>41581</v>
      </c>
      <c r="D238" s="184" t="s">
        <v>381</v>
      </c>
      <c r="E238" s="191">
        <v>41581</v>
      </c>
      <c r="F238" s="189" t="s">
        <v>551</v>
      </c>
      <c r="G238" s="664" t="s">
        <v>552</v>
      </c>
      <c r="H238" s="7" t="s">
        <v>553</v>
      </c>
      <c r="I238" s="257"/>
      <c r="J238" s="258"/>
      <c r="K238" s="38">
        <v>15445455</v>
      </c>
      <c r="L238" s="603" t="s">
        <v>83</v>
      </c>
      <c r="M238" s="603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50"/>
      <c r="AB238" s="594"/>
      <c r="AC238" s="198"/>
      <c r="AD238" s="198"/>
    </row>
    <row r="239" spans="1:30" s="808" customFormat="1" ht="15.75" customHeight="1">
      <c r="A239" s="204" t="str">
        <f>IF(B239&lt;&gt;"",IF(AND(B239&gt;=_TM1,B239&lt;=_TM2,OR(TH!L239="1111",TH!M239="1111")),TH!D239,""),"")</f>
        <v>C04</v>
      </c>
      <c r="B239" s="36">
        <f t="shared" si="30"/>
        <v>11</v>
      </c>
      <c r="C239" s="184">
        <f t="shared" si="29"/>
        <v>41581</v>
      </c>
      <c r="D239" s="184" t="s">
        <v>381</v>
      </c>
      <c r="E239" s="191">
        <v>41581</v>
      </c>
      <c r="F239" s="189" t="s">
        <v>554</v>
      </c>
      <c r="G239" s="664" t="s">
        <v>552</v>
      </c>
      <c r="H239" s="7" t="s">
        <v>553</v>
      </c>
      <c r="I239" s="257"/>
      <c r="J239" s="258"/>
      <c r="K239" s="38">
        <v>1544545</v>
      </c>
      <c r="L239" s="603" t="s">
        <v>9</v>
      </c>
      <c r="M239" s="603" t="s">
        <v>47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50"/>
      <c r="AB239" s="594">
        <v>12</v>
      </c>
      <c r="AC239" s="198"/>
      <c r="AD239" s="198"/>
    </row>
    <row r="240" spans="1:30" s="808" customFormat="1" ht="15.75" customHeight="1">
      <c r="A240" s="204" t="str">
        <f>IF(B240&lt;&gt;"",IF(AND(B240&gt;=_TM1,B240&lt;=_TM2,OR(TH!L240="1111",TH!M240="1111")),TH!D240,""),"")</f>
        <v/>
      </c>
      <c r="B240" s="36">
        <f t="shared" si="30"/>
        <v>11</v>
      </c>
      <c r="C240" s="184">
        <f t="shared" si="29"/>
        <v>41582</v>
      </c>
      <c r="D240" s="184" t="s">
        <v>339</v>
      </c>
      <c r="E240" s="191">
        <v>41582</v>
      </c>
      <c r="F240" s="189" t="s">
        <v>341</v>
      </c>
      <c r="G240" s="604" t="s">
        <v>336</v>
      </c>
      <c r="H240" s="7" t="s">
        <v>534</v>
      </c>
      <c r="I240" s="257"/>
      <c r="J240" s="258"/>
      <c r="K240" s="38">
        <v>17671050</v>
      </c>
      <c r="L240" s="603" t="s">
        <v>24</v>
      </c>
      <c r="M240" s="603" t="s">
        <v>265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>x</v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50"/>
      <c r="AB240" s="594"/>
      <c r="AC240" s="198"/>
      <c r="AD240" s="198"/>
    </row>
    <row r="241" spans="1:30" s="808" customFormat="1" ht="15.75" customHeight="1">
      <c r="A241" s="204" t="str">
        <f>IF(B241&lt;&gt;"",IF(AND(B241&gt;=_TM1,B241&lt;=_TM2,OR(TH!L241="1111",TH!M241="1111")),TH!D241,""),"")</f>
        <v/>
      </c>
      <c r="B241" s="36">
        <f t="shared" si="30"/>
        <v>11</v>
      </c>
      <c r="C241" s="184">
        <f t="shared" si="29"/>
        <v>41583</v>
      </c>
      <c r="D241" s="184" t="s">
        <v>339</v>
      </c>
      <c r="E241" s="184">
        <v>41583</v>
      </c>
      <c r="F241" s="189" t="s">
        <v>341</v>
      </c>
      <c r="G241" s="604" t="s">
        <v>336</v>
      </c>
      <c r="H241" s="7" t="s">
        <v>501</v>
      </c>
      <c r="I241" s="256"/>
      <c r="J241" s="256"/>
      <c r="K241" s="38">
        <v>9604386</v>
      </c>
      <c r="L241" s="603" t="s">
        <v>24</v>
      </c>
      <c r="M241" s="603" t="s">
        <v>265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>x</v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50"/>
      <c r="AB241" s="594"/>
      <c r="AC241" s="198"/>
      <c r="AD241" s="198"/>
    </row>
    <row r="242" spans="1:30" s="808" customFormat="1" ht="15.75" customHeight="1">
      <c r="A242" s="204" t="str">
        <f>IF(B242&lt;&gt;"",IF(AND(B242&gt;=_TM1,B242&lt;=_TM2,OR(TH!L242="1111",TH!M242="1111")),TH!D242,""),"")</f>
        <v>T07</v>
      </c>
      <c r="B242" s="36">
        <f t="shared" si="30"/>
        <v>11</v>
      </c>
      <c r="C242" s="184">
        <f t="shared" si="29"/>
        <v>41583</v>
      </c>
      <c r="D242" s="184" t="s">
        <v>472</v>
      </c>
      <c r="E242" s="191">
        <v>41583</v>
      </c>
      <c r="F242" s="189" t="s">
        <v>500</v>
      </c>
      <c r="G242" s="604" t="s">
        <v>336</v>
      </c>
      <c r="H242" s="7" t="s">
        <v>368</v>
      </c>
      <c r="I242" s="256"/>
      <c r="J242" s="256"/>
      <c r="K242" s="38">
        <v>27500000</v>
      </c>
      <c r="L242" s="603" t="s">
        <v>47</v>
      </c>
      <c r="M242" s="603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>x</v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50"/>
      <c r="AB242" s="594"/>
      <c r="AC242" s="198"/>
      <c r="AD242" s="198"/>
    </row>
    <row r="243" spans="1:30" s="808" customFormat="1" ht="15.75" customHeight="1">
      <c r="A243" s="204" t="str">
        <f>IF(B243&lt;&gt;"",IF(AND(B243&gt;=_TM1,B243&lt;=_TM2,OR(TH!L243="1111",TH!M243="1111")),TH!D243,""),"")</f>
        <v/>
      </c>
      <c r="B243" s="36">
        <f t="shared" si="30"/>
        <v>11</v>
      </c>
      <c r="C243" s="184">
        <f t="shared" si="29"/>
        <v>41585</v>
      </c>
      <c r="D243" s="184" t="s">
        <v>339</v>
      </c>
      <c r="E243" s="184">
        <v>41585</v>
      </c>
      <c r="F243" s="189" t="s">
        <v>341</v>
      </c>
      <c r="G243" s="604" t="s">
        <v>336</v>
      </c>
      <c r="H243" s="7" t="s">
        <v>537</v>
      </c>
      <c r="I243" s="256"/>
      <c r="J243" s="256"/>
      <c r="K243" s="602">
        <v>15245736</v>
      </c>
      <c r="L243" s="603" t="s">
        <v>24</v>
      </c>
      <c r="M243" s="603" t="s">
        <v>265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>x</v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50"/>
      <c r="AB243" s="594"/>
      <c r="AC243" s="594"/>
      <c r="AD243" s="211"/>
    </row>
    <row r="244" spans="1:30" s="808" customFormat="1" ht="15.75" customHeight="1">
      <c r="A244" s="204" t="str">
        <f>IF(B244&lt;&gt;"",IF(AND(B244&gt;=_TM1,B244&lt;=_TM2,OR(TH!L244="1111",TH!M244="1111")),TH!D244,""),"")</f>
        <v/>
      </c>
      <c r="B244" s="36">
        <f t="shared" si="30"/>
        <v>11</v>
      </c>
      <c r="C244" s="184">
        <f t="shared" si="29"/>
        <v>41585</v>
      </c>
      <c r="D244" s="184" t="s">
        <v>339</v>
      </c>
      <c r="E244" s="184">
        <v>41585</v>
      </c>
      <c r="F244" s="189" t="s">
        <v>341</v>
      </c>
      <c r="G244" s="604" t="s">
        <v>336</v>
      </c>
      <c r="H244" s="7" t="s">
        <v>431</v>
      </c>
      <c r="I244" s="256"/>
      <c r="J244" s="256"/>
      <c r="K244" s="602">
        <v>18562500</v>
      </c>
      <c r="L244" s="603" t="s">
        <v>24</v>
      </c>
      <c r="M244" s="603" t="s">
        <v>265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>x</v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50"/>
      <c r="AB244" s="594"/>
      <c r="AC244" s="594"/>
      <c r="AD244" s="594"/>
    </row>
    <row r="245" spans="1:30" s="808" customFormat="1" ht="15.75" customHeight="1">
      <c r="A245" s="204" t="str">
        <f>IF(B245&lt;&gt;"",IF(AND(B245&gt;=_TM1,B245&lt;=_TM2,OR(TH!L245="1111",TH!M245="1111")),TH!D245,""),"")</f>
        <v/>
      </c>
      <c r="B245" s="36">
        <f t="shared" si="30"/>
        <v>11</v>
      </c>
      <c r="C245" s="184">
        <f t="shared" si="29"/>
        <v>41585</v>
      </c>
      <c r="D245" s="184" t="s">
        <v>339</v>
      </c>
      <c r="E245" s="184">
        <v>41585</v>
      </c>
      <c r="F245" s="189" t="s">
        <v>341</v>
      </c>
      <c r="G245" s="604" t="s">
        <v>336</v>
      </c>
      <c r="H245" s="7" t="s">
        <v>431</v>
      </c>
      <c r="I245" s="257"/>
      <c r="J245" s="258"/>
      <c r="K245" s="38">
        <v>15537500</v>
      </c>
      <c r="L245" s="603" t="s">
        <v>24</v>
      </c>
      <c r="M245" s="603" t="s">
        <v>265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>x</v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50"/>
      <c r="AB245" s="594"/>
      <c r="AC245" s="211"/>
      <c r="AD245" s="594"/>
    </row>
    <row r="246" spans="1:30" s="808" customFormat="1" ht="15.75" customHeight="1">
      <c r="A246" s="204" t="str">
        <f>IF(B246&lt;&gt;"",IF(AND(B246&gt;=_TM1,B246&lt;=_TM2,OR(TH!L246="1111",TH!M246="1111")),TH!D246,""),"")</f>
        <v/>
      </c>
      <c r="B246" s="36">
        <f t="shared" si="30"/>
        <v>11</v>
      </c>
      <c r="C246" s="184">
        <f t="shared" si="29"/>
        <v>41586</v>
      </c>
      <c r="D246" s="184" t="s">
        <v>339</v>
      </c>
      <c r="E246" s="184">
        <v>41586</v>
      </c>
      <c r="F246" s="189" t="s">
        <v>341</v>
      </c>
      <c r="G246" s="604" t="s">
        <v>336</v>
      </c>
      <c r="H246" s="7" t="s">
        <v>542</v>
      </c>
      <c r="I246" s="257"/>
      <c r="J246" s="258"/>
      <c r="K246" s="38">
        <v>9105558</v>
      </c>
      <c r="L246" s="603" t="s">
        <v>24</v>
      </c>
      <c r="M246" s="603" t="s">
        <v>265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>x</v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50"/>
      <c r="AB246" s="211"/>
      <c r="AC246" s="594"/>
      <c r="AD246" s="594"/>
    </row>
    <row r="247" spans="1:30" s="808" customFormat="1" ht="15.75" customHeight="1">
      <c r="A247" s="204" t="str">
        <f>IF(B247&lt;&gt;"",IF(AND(B247&gt;=_TM1,B247&lt;=_TM2,OR(TH!L247="1111",TH!M247="1111")),TH!D247,""),"")</f>
        <v>T08</v>
      </c>
      <c r="B247" s="36">
        <f t="shared" si="30"/>
        <v>11</v>
      </c>
      <c r="C247" s="184">
        <f t="shared" si="29"/>
        <v>41586</v>
      </c>
      <c r="D247" s="184" t="s">
        <v>473</v>
      </c>
      <c r="E247" s="191">
        <v>41586</v>
      </c>
      <c r="F247" s="189" t="s">
        <v>500</v>
      </c>
      <c r="G247" s="604" t="s">
        <v>336</v>
      </c>
      <c r="H247" s="7" t="s">
        <v>368</v>
      </c>
      <c r="I247" s="257"/>
      <c r="J247" s="258"/>
      <c r="K247" s="38">
        <v>58400000</v>
      </c>
      <c r="L247" s="603" t="s">
        <v>47</v>
      </c>
      <c r="M247" s="603" t="s">
        <v>24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>x</v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50"/>
      <c r="AB247" s="594"/>
      <c r="AC247" s="594"/>
      <c r="AD247" s="594"/>
    </row>
    <row r="248" spans="1:30" s="808" customFormat="1" ht="15.75" customHeight="1">
      <c r="A248" s="204" t="str">
        <f>IF(B248&lt;&gt;"",IF(AND(B248&gt;=_TM1,B248&lt;=_TM2,OR(TH!L248="1111",TH!M248="1111")),TH!D248,""),"")</f>
        <v>C05</v>
      </c>
      <c r="B248" s="36">
        <f t="shared" si="30"/>
        <v>11</v>
      </c>
      <c r="C248" s="184">
        <f t="shared" si="29"/>
        <v>41589</v>
      </c>
      <c r="D248" s="184" t="s">
        <v>382</v>
      </c>
      <c r="E248" s="191">
        <v>41589</v>
      </c>
      <c r="F248" s="189" t="s">
        <v>349</v>
      </c>
      <c r="G248" s="664" t="s">
        <v>555</v>
      </c>
      <c r="H248" s="7" t="s">
        <v>556</v>
      </c>
      <c r="I248" s="257"/>
      <c r="J248" s="258"/>
      <c r="K248" s="38">
        <v>293364</v>
      </c>
      <c r="L248" s="603" t="s">
        <v>83</v>
      </c>
      <c r="M248" s="603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>x</v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50"/>
      <c r="AB248" s="594"/>
      <c r="AC248" s="211"/>
      <c r="AD248" s="594"/>
    </row>
    <row r="249" spans="1:30" s="808" customFormat="1" ht="15.75" customHeight="1">
      <c r="A249" s="204" t="str">
        <f>IF(B249&lt;&gt;"",IF(AND(B249&gt;=_TM1,B249&lt;=_TM2,OR(TH!L249="1111",TH!M249="1111")),TH!D249,""),"")</f>
        <v>C05</v>
      </c>
      <c r="B249" s="36">
        <f t="shared" si="30"/>
        <v>11</v>
      </c>
      <c r="C249" s="184">
        <f t="shared" si="29"/>
        <v>41589</v>
      </c>
      <c r="D249" s="184" t="s">
        <v>382</v>
      </c>
      <c r="E249" s="191">
        <v>41589</v>
      </c>
      <c r="F249" s="189" t="s">
        <v>557</v>
      </c>
      <c r="G249" s="664" t="s">
        <v>555</v>
      </c>
      <c r="H249" s="7" t="s">
        <v>556</v>
      </c>
      <c r="I249" s="257"/>
      <c r="J249" s="258"/>
      <c r="K249" s="38">
        <v>29336</v>
      </c>
      <c r="L249" s="603" t="s">
        <v>9</v>
      </c>
      <c r="M249" s="603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50"/>
      <c r="AB249" s="594">
        <v>12</v>
      </c>
      <c r="AC249" s="594"/>
      <c r="AD249" s="594"/>
    </row>
    <row r="250" spans="1:30" s="808" customFormat="1" ht="15.75" customHeight="1">
      <c r="A250" s="204" t="str">
        <f>IF(B250&lt;&gt;"",IF(AND(B250&gt;=_TM1,B250&lt;=_TM2,OR(TH!L250="1111",TH!M250="1111")),TH!D250,""),"")</f>
        <v>C06</v>
      </c>
      <c r="B250" s="36">
        <f t="shared" si="30"/>
        <v>11</v>
      </c>
      <c r="C250" s="184">
        <f t="shared" si="29"/>
        <v>41591</v>
      </c>
      <c r="D250" s="184" t="s">
        <v>383</v>
      </c>
      <c r="E250" s="191">
        <v>41591</v>
      </c>
      <c r="F250" s="189" t="s">
        <v>521</v>
      </c>
      <c r="G250" s="664" t="s">
        <v>558</v>
      </c>
      <c r="H250" s="7" t="s">
        <v>523</v>
      </c>
      <c r="I250" s="257"/>
      <c r="J250" s="258"/>
      <c r="K250" s="38">
        <f>753970+328347+599063</f>
        <v>1681380</v>
      </c>
      <c r="L250" s="603" t="s">
        <v>83</v>
      </c>
      <c r="M250" s="603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>x</v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50"/>
      <c r="AB250" s="211"/>
      <c r="AC250" s="594"/>
      <c r="AD250" s="594"/>
    </row>
    <row r="251" spans="1:30" s="808" customFormat="1" ht="15.75" customHeight="1">
      <c r="A251" s="204" t="str">
        <f>IF(B251&lt;&gt;"",IF(AND(B251&gt;=_TM1,B251&lt;=_TM2,OR(TH!L251="1111",TH!M251="1111")),TH!D251,""),"")</f>
        <v>C06</v>
      </c>
      <c r="B251" s="36">
        <f t="shared" si="30"/>
        <v>11</v>
      </c>
      <c r="C251" s="184">
        <f t="shared" si="29"/>
        <v>41591</v>
      </c>
      <c r="D251" s="184" t="s">
        <v>383</v>
      </c>
      <c r="E251" s="191">
        <v>41591</v>
      </c>
      <c r="F251" s="189" t="s">
        <v>524</v>
      </c>
      <c r="G251" s="664" t="s">
        <v>558</v>
      </c>
      <c r="H251" s="7" t="s">
        <v>523</v>
      </c>
      <c r="I251" s="256"/>
      <c r="J251" s="258"/>
      <c r="K251" s="602">
        <f>75397+32833+59906</f>
        <v>168136</v>
      </c>
      <c r="L251" s="603" t="s">
        <v>9</v>
      </c>
      <c r="M251" s="603" t="s">
        <v>47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50"/>
      <c r="AB251" s="594">
        <v>12</v>
      </c>
      <c r="AC251" s="594"/>
      <c r="AD251" s="594"/>
    </row>
    <row r="252" spans="1:30" s="808" customFormat="1" ht="15.75" customHeight="1">
      <c r="A252" s="204" t="str">
        <f>IF(B252&lt;&gt;"",IF(AND(B252&gt;=_TM1,B252&lt;=_TM2,OR(TH!L252="1111",TH!M252="1111")),TH!D252,""),"")</f>
        <v>C07</v>
      </c>
      <c r="B252" s="36">
        <f t="shared" si="30"/>
        <v>11</v>
      </c>
      <c r="C252" s="191">
        <f t="shared" si="29"/>
        <v>41591</v>
      </c>
      <c r="D252" s="184" t="s">
        <v>384</v>
      </c>
      <c r="E252" s="191">
        <v>41591</v>
      </c>
      <c r="F252" s="189" t="s">
        <v>436</v>
      </c>
      <c r="G252" s="487" t="s">
        <v>559</v>
      </c>
      <c r="H252" s="7" t="s">
        <v>372</v>
      </c>
      <c r="I252" s="256"/>
      <c r="J252" s="256"/>
      <c r="K252" s="602">
        <v>1360000</v>
      </c>
      <c r="L252" s="603" t="s">
        <v>165</v>
      </c>
      <c r="M252" s="603" t="s">
        <v>47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50"/>
      <c r="AB252" s="211"/>
      <c r="AC252" s="594"/>
      <c r="AD252" s="594"/>
    </row>
    <row r="253" spans="1:30" s="808" customFormat="1" ht="15.75" customHeight="1">
      <c r="A253" s="204" t="str">
        <f>IF(B253&lt;&gt;"",IF(AND(B253&gt;=_TM1,B253&lt;=_TM2,OR(TH!L253="1111",TH!M253="1111")),TH!D253,""),"")</f>
        <v>C07</v>
      </c>
      <c r="B253" s="36">
        <f t="shared" si="30"/>
        <v>11</v>
      </c>
      <c r="C253" s="191">
        <f t="shared" si="29"/>
        <v>41591</v>
      </c>
      <c r="D253" s="184" t="s">
        <v>384</v>
      </c>
      <c r="E253" s="191">
        <v>41591</v>
      </c>
      <c r="F253" s="189" t="s">
        <v>348</v>
      </c>
      <c r="G253" s="487" t="s">
        <v>559</v>
      </c>
      <c r="H253" s="7" t="s">
        <v>372</v>
      </c>
      <c r="I253" s="257"/>
      <c r="J253" s="257"/>
      <c r="K253" s="602">
        <v>136000</v>
      </c>
      <c r="L253" s="603" t="s">
        <v>9</v>
      </c>
      <c r="M253" s="603" t="s">
        <v>47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50"/>
      <c r="AB253" s="594">
        <v>12</v>
      </c>
      <c r="AC253" s="211"/>
      <c r="AD253" s="594"/>
    </row>
    <row r="254" spans="1:30" s="808" customFormat="1" ht="15.75" customHeight="1">
      <c r="A254" s="204" t="str">
        <f>IF(B254&lt;&gt;"",IF(AND(B254&gt;=_TM1,B254&lt;=_TM2,OR(TH!L254="1111",TH!M254="1111")),TH!D254,""),"")</f>
        <v/>
      </c>
      <c r="B254" s="36">
        <f t="shared" si="30"/>
        <v>11</v>
      </c>
      <c r="C254" s="184">
        <f t="shared" si="29"/>
        <v>41592</v>
      </c>
      <c r="D254" s="184" t="s">
        <v>339</v>
      </c>
      <c r="E254" s="191">
        <v>41592</v>
      </c>
      <c r="F254" s="189" t="s">
        <v>341</v>
      </c>
      <c r="G254" s="604" t="s">
        <v>336</v>
      </c>
      <c r="H254" s="7" t="s">
        <v>537</v>
      </c>
      <c r="I254" s="257"/>
      <c r="J254" s="258"/>
      <c r="K254" s="38">
        <v>14204124</v>
      </c>
      <c r="L254" s="603" t="s">
        <v>24</v>
      </c>
      <c r="M254" s="603" t="s">
        <v>265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>x</v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50"/>
      <c r="AB254" s="211"/>
      <c r="AC254" s="594"/>
      <c r="AD254" s="594"/>
    </row>
    <row r="255" spans="1:30" s="808" customFormat="1" ht="15.75" customHeight="1">
      <c r="A255" s="204" t="str">
        <f>IF(B255&lt;&gt;"",IF(AND(B255&gt;=_TM1,B255&lt;=_TM2,OR(TH!L255="1111",TH!M255="1111")),TH!D255,""),"")</f>
        <v>T09</v>
      </c>
      <c r="B255" s="36">
        <f t="shared" si="30"/>
        <v>11</v>
      </c>
      <c r="C255" s="184">
        <f t="shared" si="29"/>
        <v>41598</v>
      </c>
      <c r="D255" s="184" t="s">
        <v>474</v>
      </c>
      <c r="E255" s="191">
        <v>41598</v>
      </c>
      <c r="F255" s="189" t="s">
        <v>500</v>
      </c>
      <c r="G255" s="604" t="s">
        <v>336</v>
      </c>
      <c r="H255" s="7" t="s">
        <v>368</v>
      </c>
      <c r="I255" s="257"/>
      <c r="J255" s="258"/>
      <c r="K255" s="38">
        <v>14200000</v>
      </c>
      <c r="L255" s="603" t="s">
        <v>47</v>
      </c>
      <c r="M255" s="603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>x</v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50"/>
      <c r="AB255" s="211"/>
      <c r="AC255" s="211"/>
      <c r="AD255" s="594"/>
    </row>
    <row r="256" spans="1:30" s="808" customFormat="1" ht="15.75" customHeight="1">
      <c r="A256" s="204" t="str">
        <f>IF(B256&lt;&gt;"",IF(AND(B256&gt;=_TM1,B256&lt;=_TM2,OR(TH!L256="1111",TH!M256="1111")),TH!D256,""),"")</f>
        <v>C08</v>
      </c>
      <c r="B256" s="36">
        <f t="shared" si="30"/>
        <v>11</v>
      </c>
      <c r="C256" s="184">
        <f t="shared" si="29"/>
        <v>41600</v>
      </c>
      <c r="D256" s="184" t="s">
        <v>385</v>
      </c>
      <c r="E256" s="191">
        <v>41600</v>
      </c>
      <c r="F256" s="189" t="s">
        <v>560</v>
      </c>
      <c r="G256" s="664" t="s">
        <v>561</v>
      </c>
      <c r="H256" s="7" t="s">
        <v>562</v>
      </c>
      <c r="I256" s="257"/>
      <c r="J256" s="258"/>
      <c r="K256" s="38">
        <v>1027273</v>
      </c>
      <c r="L256" s="603" t="s">
        <v>83</v>
      </c>
      <c r="M256" s="603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>x</v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50"/>
      <c r="AB256" s="594"/>
      <c r="AC256" s="594"/>
      <c r="AD256" s="594"/>
    </row>
    <row r="257" spans="1:30" s="808" customFormat="1" ht="15.75" customHeight="1">
      <c r="A257" s="204" t="str">
        <f>IF(B257&lt;&gt;"",IF(AND(B257&gt;=_TM1,B257&lt;=_TM2,OR(TH!L257="1111",TH!M257="1111")),TH!D257,""),"")</f>
        <v>C08</v>
      </c>
      <c r="B257" s="36">
        <f t="shared" si="30"/>
        <v>11</v>
      </c>
      <c r="C257" s="184">
        <f t="shared" si="29"/>
        <v>41600</v>
      </c>
      <c r="D257" s="184" t="s">
        <v>385</v>
      </c>
      <c r="E257" s="191">
        <v>41600</v>
      </c>
      <c r="F257" s="189" t="s">
        <v>563</v>
      </c>
      <c r="G257" s="664" t="s">
        <v>561</v>
      </c>
      <c r="H257" s="7" t="s">
        <v>562</v>
      </c>
      <c r="I257" s="257"/>
      <c r="J257" s="258"/>
      <c r="K257" s="38">
        <v>102727</v>
      </c>
      <c r="L257" s="603" t="s">
        <v>9</v>
      </c>
      <c r="M257" s="603" t="s">
        <v>47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50"/>
      <c r="AB257" s="594">
        <v>12</v>
      </c>
      <c r="AC257" s="198"/>
      <c r="AD257" s="198"/>
    </row>
    <row r="258" spans="1:30" s="808" customFormat="1" ht="15.75" customHeight="1">
      <c r="A258" s="204" t="str">
        <f>IF(B258&lt;&gt;"",IF(AND(B258&gt;=_TM1,B258&lt;=_TM2,OR(TH!L258="1111",TH!M258="1111")),TH!D258,""),"")</f>
        <v/>
      </c>
      <c r="B258" s="36">
        <f t="shared" si="30"/>
        <v>11</v>
      </c>
      <c r="C258" s="184">
        <f t="shared" ref="C258:C328" si="31">E258</f>
        <v>41603</v>
      </c>
      <c r="D258" s="184" t="s">
        <v>339</v>
      </c>
      <c r="E258" s="191">
        <v>41603</v>
      </c>
      <c r="F258" s="189" t="s">
        <v>369</v>
      </c>
      <c r="G258" s="604" t="s">
        <v>336</v>
      </c>
      <c r="H258" s="7"/>
      <c r="I258" s="257"/>
      <c r="J258" s="258"/>
      <c r="K258" s="38">
        <v>10898</v>
      </c>
      <c r="L258" s="603" t="s">
        <v>24</v>
      </c>
      <c r="M258" s="603" t="s">
        <v>40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>x</v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50"/>
      <c r="AB258" s="211"/>
      <c r="AC258" s="198"/>
      <c r="AD258" s="198"/>
    </row>
    <row r="259" spans="1:30" s="808" customFormat="1" ht="15.75" customHeight="1">
      <c r="A259" s="204" t="str">
        <f>IF(B259&lt;&gt;"",IF(AND(B259&gt;=_TM1,B259&lt;=_TM2,OR(TH!L259="1111",TH!M259="1111")),TH!D259,""),"")</f>
        <v/>
      </c>
      <c r="B259" s="36">
        <f t="shared" si="30"/>
        <v>11</v>
      </c>
      <c r="C259" s="184">
        <f t="shared" si="31"/>
        <v>41604</v>
      </c>
      <c r="D259" s="184" t="s">
        <v>339</v>
      </c>
      <c r="E259" s="184">
        <v>41604</v>
      </c>
      <c r="F259" s="189" t="s">
        <v>341</v>
      </c>
      <c r="G259" s="604" t="s">
        <v>336</v>
      </c>
      <c r="H259" s="7" t="s">
        <v>541</v>
      </c>
      <c r="I259" s="256"/>
      <c r="J259" s="256"/>
      <c r="K259" s="602">
        <v>11109780</v>
      </c>
      <c r="L259" s="603" t="s">
        <v>24</v>
      </c>
      <c r="M259" s="603" t="s">
        <v>265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>x</v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50"/>
      <c r="AB259" s="211"/>
      <c r="AC259" s="198"/>
      <c r="AD259" s="198"/>
    </row>
    <row r="260" spans="1:30" s="808" customFormat="1" ht="15.75" customHeight="1">
      <c r="A260" s="204" t="str">
        <f>IF(B260&lt;&gt;"",IF(AND(B260&gt;=_TM1,B260&lt;=_TM2,OR(TH!L260="1111",TH!M260="1111")),TH!D260,""),"")</f>
        <v>C09</v>
      </c>
      <c r="B260" s="36">
        <f t="shared" si="30"/>
        <v>11</v>
      </c>
      <c r="C260" s="184">
        <f t="shared" si="31"/>
        <v>41604</v>
      </c>
      <c r="D260" s="184" t="s">
        <v>386</v>
      </c>
      <c r="E260" s="184">
        <v>41604</v>
      </c>
      <c r="F260" s="189" t="s">
        <v>436</v>
      </c>
      <c r="G260" s="664" t="s">
        <v>564</v>
      </c>
      <c r="H260" s="7" t="s">
        <v>565</v>
      </c>
      <c r="I260" s="256"/>
      <c r="J260" s="256"/>
      <c r="K260" s="602">
        <v>4025000</v>
      </c>
      <c r="L260" s="603" t="s">
        <v>165</v>
      </c>
      <c r="M260" s="603" t="s">
        <v>47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50"/>
      <c r="AB260" s="211"/>
      <c r="AC260" s="198"/>
      <c r="AD260" s="198"/>
    </row>
    <row r="261" spans="1:30" s="808" customFormat="1" ht="15.75" customHeight="1">
      <c r="A261" s="204" t="str">
        <f>IF(B261&lt;&gt;"",IF(AND(B261&gt;=_TM1,B261&lt;=_TM2,OR(TH!L261="1111",TH!M261="1111")),TH!D261,""),"")</f>
        <v>C09</v>
      </c>
      <c r="B261" s="36">
        <f t="shared" si="30"/>
        <v>11</v>
      </c>
      <c r="C261" s="184">
        <f t="shared" si="31"/>
        <v>41604</v>
      </c>
      <c r="D261" s="184" t="s">
        <v>386</v>
      </c>
      <c r="E261" s="184">
        <v>41604</v>
      </c>
      <c r="F261" s="189" t="s">
        <v>348</v>
      </c>
      <c r="G261" s="664" t="s">
        <v>564</v>
      </c>
      <c r="H261" s="7" t="s">
        <v>565</v>
      </c>
      <c r="I261" s="256"/>
      <c r="J261" s="256"/>
      <c r="K261" s="602">
        <v>402500</v>
      </c>
      <c r="L261" s="603" t="s">
        <v>9</v>
      </c>
      <c r="M261" s="603" t="s">
        <v>47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50"/>
      <c r="AB261" s="594">
        <v>12</v>
      </c>
      <c r="AC261" s="198"/>
      <c r="AD261" s="198"/>
    </row>
    <row r="262" spans="1:30" s="808" customFormat="1" ht="15.75" customHeight="1">
      <c r="A262" s="204" t="str">
        <f>IF(B262&lt;&gt;"",IF(AND(B262&gt;=_TM1,B262&lt;=_TM2,OR(TH!L262="1111",TH!M262="1111")),TH!D262,""),"")</f>
        <v/>
      </c>
      <c r="B262" s="36">
        <f t="shared" si="30"/>
        <v>11</v>
      </c>
      <c r="C262" s="184">
        <f t="shared" si="31"/>
        <v>41606</v>
      </c>
      <c r="D262" s="184" t="s">
        <v>339</v>
      </c>
      <c r="E262" s="184">
        <v>41606</v>
      </c>
      <c r="F262" s="189" t="s">
        <v>341</v>
      </c>
      <c r="G262" s="604" t="s">
        <v>336</v>
      </c>
      <c r="H262" s="7" t="s">
        <v>537</v>
      </c>
      <c r="I262" s="256"/>
      <c r="J262" s="256"/>
      <c r="K262" s="602">
        <v>27871470</v>
      </c>
      <c r="L262" s="603" t="s">
        <v>24</v>
      </c>
      <c r="M262" s="603" t="s">
        <v>265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>x</v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50"/>
      <c r="AB262" s="211"/>
      <c r="AC262" s="198"/>
      <c r="AD262" s="198"/>
    </row>
    <row r="263" spans="1:30" s="808" customFormat="1" ht="15.75" customHeight="1">
      <c r="A263" s="204" t="str">
        <f>IF(B263&lt;&gt;"",IF(AND(B263&gt;=_TM1,B263&lt;=_TM2,OR(TH!L263="1111",TH!M263="1111")),TH!D263,""),"")</f>
        <v>T10</v>
      </c>
      <c r="B263" s="36">
        <f t="shared" si="30"/>
        <v>11</v>
      </c>
      <c r="C263" s="184">
        <f t="shared" si="31"/>
        <v>41607</v>
      </c>
      <c r="D263" s="184" t="s">
        <v>475</v>
      </c>
      <c r="E263" s="191">
        <v>41607</v>
      </c>
      <c r="F263" s="189" t="s">
        <v>500</v>
      </c>
      <c r="G263" s="604" t="s">
        <v>336</v>
      </c>
      <c r="H263" s="7" t="s">
        <v>368</v>
      </c>
      <c r="I263" s="257"/>
      <c r="J263" s="258"/>
      <c r="K263" s="38">
        <v>39000000</v>
      </c>
      <c r="L263" s="603" t="s">
        <v>47</v>
      </c>
      <c r="M263" s="603" t="s">
        <v>24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>x</v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50"/>
      <c r="AB263" s="594"/>
      <c r="AC263" s="198"/>
      <c r="AD263" s="198"/>
    </row>
    <row r="264" spans="1:30" s="808" customFormat="1" ht="15.75" customHeight="1">
      <c r="A264" s="204" t="str">
        <f>IF(B264&lt;&gt;"",IF(AND(B264&gt;=_TM1,B264&lt;=_TM2,OR(TH!L264="1111",TH!M264="1111")),TH!D264,""),"")</f>
        <v>C10</v>
      </c>
      <c r="B264" s="36">
        <f t="shared" si="30"/>
        <v>11</v>
      </c>
      <c r="C264" s="184">
        <f t="shared" si="31"/>
        <v>41607</v>
      </c>
      <c r="D264" s="184" t="s">
        <v>393</v>
      </c>
      <c r="E264" s="184">
        <v>41607</v>
      </c>
      <c r="F264" s="189" t="s">
        <v>387</v>
      </c>
      <c r="G264" s="664" t="s">
        <v>566</v>
      </c>
      <c r="H264" s="7" t="s">
        <v>518</v>
      </c>
      <c r="I264" s="256"/>
      <c r="J264" s="258"/>
      <c r="K264" s="602">
        <v>1131830</v>
      </c>
      <c r="L264" s="603" t="s">
        <v>83</v>
      </c>
      <c r="M264" s="603" t="s">
        <v>47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>x</v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50"/>
      <c r="AB264" s="211"/>
      <c r="AC264" s="198"/>
      <c r="AD264" s="198"/>
    </row>
    <row r="265" spans="1:30" s="808" customFormat="1" ht="15.75" customHeight="1">
      <c r="A265" s="204" t="str">
        <f>IF(B265&lt;&gt;"",IF(AND(B265&gt;=_TM1,B265&lt;=_TM2,OR(TH!L265="1111",TH!M265="1111")),TH!D265,""),"")</f>
        <v>C10</v>
      </c>
      <c r="B265" s="36">
        <f t="shared" si="30"/>
        <v>11</v>
      </c>
      <c r="C265" s="184">
        <f t="shared" si="31"/>
        <v>41607</v>
      </c>
      <c r="D265" s="184" t="s">
        <v>393</v>
      </c>
      <c r="E265" s="184">
        <v>41607</v>
      </c>
      <c r="F265" s="189" t="s">
        <v>388</v>
      </c>
      <c r="G265" s="664" t="s">
        <v>566</v>
      </c>
      <c r="H265" s="7" t="s">
        <v>518</v>
      </c>
      <c r="I265" s="257"/>
      <c r="J265" s="258"/>
      <c r="K265" s="38">
        <v>113183</v>
      </c>
      <c r="L265" s="603" t="s">
        <v>9</v>
      </c>
      <c r="M265" s="603" t="s">
        <v>47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50"/>
      <c r="AB265" s="594">
        <v>12</v>
      </c>
      <c r="AC265" s="198"/>
      <c r="AD265" s="198"/>
    </row>
    <row r="266" spans="1:30" s="808" customFormat="1" ht="15.75" customHeight="1">
      <c r="A266" s="204" t="str">
        <f>IF(B266&lt;&gt;"",IF(AND(B266&gt;=_TM1,B266&lt;=_TM2,OR(TH!L266="1111",TH!M266="1111")),TH!D266,""),"")</f>
        <v>C11</v>
      </c>
      <c r="B266" s="36">
        <f t="shared" si="30"/>
        <v>11</v>
      </c>
      <c r="C266" s="184">
        <f t="shared" si="31"/>
        <v>41607</v>
      </c>
      <c r="D266" s="184" t="s">
        <v>394</v>
      </c>
      <c r="E266" s="191">
        <v>41607</v>
      </c>
      <c r="F266" s="189" t="s">
        <v>567</v>
      </c>
      <c r="G266" s="664" t="s">
        <v>568</v>
      </c>
      <c r="H266" s="7" t="s">
        <v>569</v>
      </c>
      <c r="I266" s="257">
        <v>240</v>
      </c>
      <c r="J266" s="258">
        <v>6060</v>
      </c>
      <c r="K266" s="38">
        <f>ROUND(I266*J266,0)</f>
        <v>1454400</v>
      </c>
      <c r="L266" s="603" t="s">
        <v>83</v>
      </c>
      <c r="M266" s="603" t="s">
        <v>47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>x</v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50"/>
      <c r="AB266" s="594"/>
      <c r="AC266" s="594"/>
      <c r="AD266" s="594"/>
    </row>
    <row r="267" spans="1:30" s="808" customFormat="1" ht="15.75" customHeight="1">
      <c r="A267" s="204" t="str">
        <f>IF(B267&lt;&gt;"",IF(AND(B267&gt;=_TM1,B267&lt;=_TM2,OR(TH!L267="1111",TH!M267="1111")),TH!D267,""),"")</f>
        <v>C11</v>
      </c>
      <c r="B267" s="36">
        <f t="shared" si="30"/>
        <v>11</v>
      </c>
      <c r="C267" s="184">
        <f t="shared" si="31"/>
        <v>41607</v>
      </c>
      <c r="D267" s="184" t="s">
        <v>394</v>
      </c>
      <c r="E267" s="191">
        <v>41607</v>
      </c>
      <c r="F267" s="189" t="s">
        <v>570</v>
      </c>
      <c r="G267" s="664" t="s">
        <v>568</v>
      </c>
      <c r="H267" s="7" t="s">
        <v>569</v>
      </c>
      <c r="I267" s="257"/>
      <c r="J267" s="258"/>
      <c r="K267" s="38">
        <v>145440</v>
      </c>
      <c r="L267" s="603" t="s">
        <v>9</v>
      </c>
      <c r="M267" s="603" t="s">
        <v>47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50"/>
      <c r="AB267" s="211">
        <v>12</v>
      </c>
      <c r="AC267" s="211"/>
      <c r="AD267" s="211"/>
    </row>
    <row r="268" spans="1:30" s="808" customFormat="1" ht="15.75" customHeight="1">
      <c r="A268" s="204" t="str">
        <f>IF(B268&lt;&gt;"",IF(AND(B268&gt;=_TM1,B268&lt;=_TM2,OR(TH!L268="1111",TH!M268="1111")),TH!D268,""),"")</f>
        <v/>
      </c>
      <c r="B268" s="36">
        <f t="shared" si="30"/>
        <v>12</v>
      </c>
      <c r="C268" s="184">
        <f t="shared" si="31"/>
        <v>41613</v>
      </c>
      <c r="D268" s="184" t="s">
        <v>339</v>
      </c>
      <c r="E268" s="191">
        <v>41613</v>
      </c>
      <c r="F268" s="189" t="s">
        <v>341</v>
      </c>
      <c r="G268" s="604" t="s">
        <v>336</v>
      </c>
      <c r="H268" s="7" t="s">
        <v>542</v>
      </c>
      <c r="I268" s="257"/>
      <c r="J268" s="258"/>
      <c r="K268" s="38">
        <v>6157635</v>
      </c>
      <c r="L268" s="603" t="s">
        <v>24</v>
      </c>
      <c r="M268" s="603" t="s">
        <v>265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>x</v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50"/>
      <c r="AB268" s="211"/>
      <c r="AC268" s="594"/>
      <c r="AD268" s="594"/>
    </row>
    <row r="269" spans="1:30" s="808" customFormat="1" ht="15.75" customHeight="1">
      <c r="A269" s="204" t="str">
        <f>IF(B269&lt;&gt;"",IF(AND(B269&gt;=_TM1,B269&lt;=_TM2,OR(TH!L269="1111",TH!M269="1111")),TH!D269,""),"")</f>
        <v/>
      </c>
      <c r="B269" s="36">
        <f t="shared" si="30"/>
        <v>12</v>
      </c>
      <c r="C269" s="184">
        <f t="shared" si="31"/>
        <v>41613</v>
      </c>
      <c r="D269" s="184" t="s">
        <v>339</v>
      </c>
      <c r="E269" s="191">
        <v>41613</v>
      </c>
      <c r="F269" s="189" t="s">
        <v>341</v>
      </c>
      <c r="G269" s="604" t="s">
        <v>336</v>
      </c>
      <c r="H269" s="7" t="s">
        <v>431</v>
      </c>
      <c r="I269" s="257"/>
      <c r="J269" s="258"/>
      <c r="K269" s="38">
        <v>21014400</v>
      </c>
      <c r="L269" s="603" t="s">
        <v>24</v>
      </c>
      <c r="M269" s="603" t="s">
        <v>265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>x</v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50"/>
      <c r="AB269" s="594"/>
      <c r="AC269" s="594"/>
      <c r="AD269" s="594"/>
    </row>
    <row r="270" spans="1:30" s="808" customFormat="1" ht="15.75" customHeight="1">
      <c r="A270" s="204" t="str">
        <f>IF(B270&lt;&gt;"",IF(AND(B270&gt;=_TM1,B270&lt;=_TM2,OR(TH!L270="1111",TH!M270="1111")),TH!D270,""),"")</f>
        <v/>
      </c>
      <c r="B270" s="36">
        <f t="shared" si="30"/>
        <v>12</v>
      </c>
      <c r="C270" s="184">
        <f t="shared" si="31"/>
        <v>41613</v>
      </c>
      <c r="D270" s="184" t="s">
        <v>405</v>
      </c>
      <c r="E270" s="191">
        <v>41613</v>
      </c>
      <c r="F270" s="189" t="s">
        <v>346</v>
      </c>
      <c r="G270" s="664" t="s">
        <v>571</v>
      </c>
      <c r="H270" s="7" t="s">
        <v>375</v>
      </c>
      <c r="I270" s="256">
        <v>48</v>
      </c>
      <c r="J270" s="258">
        <v>44000</v>
      </c>
      <c r="K270" s="38">
        <f>ROUND(I270*J270,0)</f>
        <v>2112000</v>
      </c>
      <c r="L270" s="603" t="s">
        <v>161</v>
      </c>
      <c r="M270" s="603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50"/>
      <c r="AB270" s="594"/>
      <c r="AC270" s="594"/>
      <c r="AD270" s="594"/>
    </row>
    <row r="271" spans="1:30" s="808" customFormat="1" ht="15.75" customHeight="1">
      <c r="A271" s="204" t="str">
        <f>IF(B271&lt;&gt;"",IF(AND(B271&gt;=_TM1,B271&lt;=_TM2,OR(TH!L271="1111",TH!M271="1111")),TH!D271,""),"")</f>
        <v/>
      </c>
      <c r="B271" s="36">
        <f t="shared" si="30"/>
        <v>12</v>
      </c>
      <c r="C271" s="184">
        <f t="shared" si="31"/>
        <v>41613</v>
      </c>
      <c r="D271" s="184" t="s">
        <v>405</v>
      </c>
      <c r="E271" s="191">
        <v>41613</v>
      </c>
      <c r="F271" s="189" t="s">
        <v>347</v>
      </c>
      <c r="G271" s="664" t="s">
        <v>571</v>
      </c>
      <c r="H271" s="7" t="s">
        <v>375</v>
      </c>
      <c r="I271" s="257"/>
      <c r="J271" s="258"/>
      <c r="K271" s="602">
        <v>211200</v>
      </c>
      <c r="L271" s="603" t="s">
        <v>9</v>
      </c>
      <c r="M271" s="603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50"/>
      <c r="AB271" s="594">
        <v>12</v>
      </c>
      <c r="AC271" s="594"/>
      <c r="AD271" s="594"/>
    </row>
    <row r="272" spans="1:30" s="808" customFormat="1" ht="15.75" customHeight="1">
      <c r="A272" s="204" t="str">
        <f>IF(B272&lt;&gt;"",IF(AND(B272&gt;=_TM1,B272&lt;=_TM2,OR(TH!L272="1111",TH!M272="1111")),TH!D272,""),"")</f>
        <v>C12</v>
      </c>
      <c r="B272" s="36">
        <f t="shared" si="30"/>
        <v>12</v>
      </c>
      <c r="C272" s="184">
        <f t="shared" si="31"/>
        <v>41613</v>
      </c>
      <c r="D272" s="184" t="s">
        <v>395</v>
      </c>
      <c r="E272" s="191">
        <v>41613</v>
      </c>
      <c r="F272" s="189" t="s">
        <v>371</v>
      </c>
      <c r="G272" s="664" t="s">
        <v>571</v>
      </c>
      <c r="H272" s="7" t="s">
        <v>375</v>
      </c>
      <c r="I272" s="257"/>
      <c r="J272" s="258"/>
      <c r="K272" s="602">
        <v>2323200</v>
      </c>
      <c r="L272" s="603" t="s">
        <v>8</v>
      </c>
      <c r="M272" s="603" t="s">
        <v>47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50"/>
      <c r="AB272" s="594"/>
      <c r="AC272" s="211"/>
      <c r="AD272" s="594"/>
    </row>
    <row r="273" spans="1:30" s="808" customFormat="1" ht="15.75" customHeight="1">
      <c r="A273" s="204" t="str">
        <f>IF(B273&lt;&gt;"",IF(AND(B273&gt;=_TM1,B273&lt;=_TM2,OR(TH!L273="1111",TH!M273="1111")),TH!D273,""),"")</f>
        <v/>
      </c>
      <c r="B273" s="36">
        <f t="shared" si="30"/>
        <v>12</v>
      </c>
      <c r="C273" s="184">
        <f t="shared" si="31"/>
        <v>41614</v>
      </c>
      <c r="D273" s="184" t="s">
        <v>339</v>
      </c>
      <c r="E273" s="191">
        <v>41614</v>
      </c>
      <c r="F273" s="189" t="s">
        <v>341</v>
      </c>
      <c r="G273" s="604" t="s">
        <v>336</v>
      </c>
      <c r="H273" s="7" t="s">
        <v>548</v>
      </c>
      <c r="I273" s="257"/>
      <c r="J273" s="258"/>
      <c r="K273" s="38">
        <v>23651870</v>
      </c>
      <c r="L273" s="603" t="s">
        <v>24</v>
      </c>
      <c r="M273" s="603" t="s">
        <v>265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>x</v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50"/>
      <c r="AB273" s="594"/>
      <c r="AC273" s="594"/>
      <c r="AD273" s="594"/>
    </row>
    <row r="274" spans="1:30" s="808" customFormat="1" ht="15.75" customHeight="1">
      <c r="A274" s="204" t="str">
        <f>IF(B274&lt;&gt;"",IF(AND(B274&gt;=_TM1,B274&lt;=_TM2,OR(TH!L274="1111",TH!M274="1111")),TH!D274,""),"")</f>
        <v>C13</v>
      </c>
      <c r="B274" s="36">
        <f t="shared" si="30"/>
        <v>12</v>
      </c>
      <c r="C274" s="184">
        <f t="shared" si="31"/>
        <v>41615</v>
      </c>
      <c r="D274" s="184" t="s">
        <v>397</v>
      </c>
      <c r="E274" s="191">
        <v>41615</v>
      </c>
      <c r="F274" s="189" t="s">
        <v>436</v>
      </c>
      <c r="G274" s="487" t="s">
        <v>470</v>
      </c>
      <c r="H274" s="7" t="s">
        <v>565</v>
      </c>
      <c r="I274" s="256"/>
      <c r="J274" s="256"/>
      <c r="K274" s="602">
        <v>2120000</v>
      </c>
      <c r="L274" s="603" t="s">
        <v>165</v>
      </c>
      <c r="M274" s="603" t="s">
        <v>47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50"/>
      <c r="AB274" s="211"/>
      <c r="AC274" s="594"/>
      <c r="AD274" s="594"/>
    </row>
    <row r="275" spans="1:30" s="808" customFormat="1" ht="15.75" customHeight="1">
      <c r="A275" s="204" t="str">
        <f>IF(B275&lt;&gt;"",IF(AND(B275&gt;=_TM1,B275&lt;=_TM2,OR(TH!L275="1111",TH!M275="1111")),TH!D275,""),"")</f>
        <v>C13</v>
      </c>
      <c r="B275" s="36">
        <f t="shared" si="30"/>
        <v>12</v>
      </c>
      <c r="C275" s="184">
        <f t="shared" si="31"/>
        <v>41615</v>
      </c>
      <c r="D275" s="184" t="s">
        <v>397</v>
      </c>
      <c r="E275" s="191">
        <v>41615</v>
      </c>
      <c r="F275" s="189" t="s">
        <v>348</v>
      </c>
      <c r="G275" s="487" t="s">
        <v>470</v>
      </c>
      <c r="H275" s="7" t="s">
        <v>565</v>
      </c>
      <c r="I275" s="256"/>
      <c r="J275" s="256"/>
      <c r="K275" s="602">
        <v>212000</v>
      </c>
      <c r="L275" s="603" t="s">
        <v>9</v>
      </c>
      <c r="M275" s="603" t="s">
        <v>47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50"/>
      <c r="AB275" s="211">
        <v>12</v>
      </c>
      <c r="AC275" s="594"/>
      <c r="AD275" s="594"/>
    </row>
    <row r="276" spans="1:30" s="808" customFormat="1" ht="15.75" customHeight="1">
      <c r="A276" s="204" t="str">
        <f>IF(B276&lt;&gt;"",IF(AND(B276&gt;=_TM1,B276&lt;=_TM2,OR(TH!L276="1111",TH!M276="1111")),TH!D276,""),"")</f>
        <v>C14</v>
      </c>
      <c r="B276" s="36">
        <f t="shared" si="30"/>
        <v>12</v>
      </c>
      <c r="C276" s="184">
        <f t="shared" si="31"/>
        <v>41616</v>
      </c>
      <c r="D276" s="184" t="s">
        <v>398</v>
      </c>
      <c r="E276" s="878">
        <v>41616</v>
      </c>
      <c r="F276" s="189" t="s">
        <v>560</v>
      </c>
      <c r="G276" s="664" t="s">
        <v>572</v>
      </c>
      <c r="H276" s="7" t="s">
        <v>573</v>
      </c>
      <c r="I276" s="256"/>
      <c r="J276" s="258"/>
      <c r="K276" s="38">
        <v>1413637</v>
      </c>
      <c r="L276" s="603" t="s">
        <v>83</v>
      </c>
      <c r="M276" s="603" t="s">
        <v>47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50"/>
      <c r="AB276" s="211"/>
      <c r="AC276" s="594"/>
      <c r="AD276" s="594"/>
    </row>
    <row r="277" spans="1:30" s="808" customFormat="1" ht="15.75" customHeight="1">
      <c r="A277" s="204" t="str">
        <f>IF(B277&lt;&gt;"",IF(AND(B277&gt;=_TM1,B277&lt;=_TM2,OR(TH!L277="1111",TH!M277="1111")),TH!D277,""),"")</f>
        <v>C14</v>
      </c>
      <c r="B277" s="36">
        <f t="shared" si="30"/>
        <v>12</v>
      </c>
      <c r="C277" s="184">
        <f t="shared" si="31"/>
        <v>41616</v>
      </c>
      <c r="D277" s="184" t="s">
        <v>398</v>
      </c>
      <c r="E277" s="878">
        <v>41616</v>
      </c>
      <c r="F277" s="189" t="s">
        <v>563</v>
      </c>
      <c r="G277" s="664" t="s">
        <v>572</v>
      </c>
      <c r="H277" s="7" t="s">
        <v>573</v>
      </c>
      <c r="I277" s="257"/>
      <c r="J277" s="258"/>
      <c r="K277" s="38">
        <v>141363</v>
      </c>
      <c r="L277" s="603" t="s">
        <v>9</v>
      </c>
      <c r="M277" s="603" t="s">
        <v>47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50"/>
      <c r="AB277" s="594">
        <v>12</v>
      </c>
      <c r="AC277" s="198"/>
      <c r="AD277" s="198"/>
    </row>
    <row r="278" spans="1:30" s="808" customFormat="1" ht="15.75" customHeight="1">
      <c r="A278" s="204" t="str">
        <f>IF(B278&lt;&gt;"",IF(AND(B278&gt;=_TM1,B278&lt;=_TM2,OR(TH!L278="1111",TH!M278="1111")),TH!D278,""),"")</f>
        <v/>
      </c>
      <c r="B278" s="36">
        <f t="shared" si="30"/>
        <v>12</v>
      </c>
      <c r="C278" s="184">
        <f t="shared" si="31"/>
        <v>41617</v>
      </c>
      <c r="D278" s="184" t="s">
        <v>339</v>
      </c>
      <c r="E278" s="184">
        <v>41617</v>
      </c>
      <c r="F278" s="189" t="s">
        <v>341</v>
      </c>
      <c r="G278" s="604" t="s">
        <v>336</v>
      </c>
      <c r="H278" s="7" t="s">
        <v>537</v>
      </c>
      <c r="I278" s="256"/>
      <c r="J278" s="256"/>
      <c r="K278" s="602">
        <v>15030851</v>
      </c>
      <c r="L278" s="603" t="s">
        <v>24</v>
      </c>
      <c r="M278" s="603" t="s">
        <v>265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>x</v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50"/>
      <c r="AB278" s="594"/>
      <c r="AC278" s="198"/>
      <c r="AD278" s="198"/>
    </row>
    <row r="279" spans="1:30" s="808" customFormat="1" ht="15.75" customHeight="1">
      <c r="A279" s="204" t="str">
        <f>IF(B279&lt;&gt;"",IF(AND(B279&gt;=_TM1,B279&lt;=_TM2,OR(TH!L279="1111",TH!M279="1111")),TH!D279,""),"")</f>
        <v/>
      </c>
      <c r="B279" s="36">
        <f t="shared" si="30"/>
        <v>12</v>
      </c>
      <c r="C279" s="184">
        <f t="shared" si="31"/>
        <v>41618</v>
      </c>
      <c r="D279" s="184" t="s">
        <v>340</v>
      </c>
      <c r="E279" s="191">
        <v>41618</v>
      </c>
      <c r="F279" s="189" t="s">
        <v>513</v>
      </c>
      <c r="G279" s="604" t="s">
        <v>336</v>
      </c>
      <c r="H279" s="7" t="s">
        <v>368</v>
      </c>
      <c r="I279" s="257"/>
      <c r="J279" s="258"/>
      <c r="K279" s="38">
        <v>45000</v>
      </c>
      <c r="L279" s="603" t="s">
        <v>83</v>
      </c>
      <c r="M279" s="603" t="s">
        <v>24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>x</v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>x</v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50"/>
      <c r="AB279" s="211"/>
      <c r="AC279" s="198"/>
      <c r="AD279" s="198"/>
    </row>
    <row r="280" spans="1:30" s="808" customFormat="1" ht="15.75" customHeight="1">
      <c r="A280" s="204" t="str">
        <f>IF(B280&lt;&gt;"",IF(AND(B280&gt;=_TM1,B280&lt;=_TM2,OR(TH!L280="1111",TH!M280="1111")),TH!D280,""),"")</f>
        <v>T11</v>
      </c>
      <c r="B280" s="36">
        <f t="shared" si="30"/>
        <v>12</v>
      </c>
      <c r="C280" s="184">
        <f t="shared" si="31"/>
        <v>41618</v>
      </c>
      <c r="D280" s="184" t="s">
        <v>574</v>
      </c>
      <c r="E280" s="191">
        <v>41618</v>
      </c>
      <c r="F280" s="189" t="s">
        <v>500</v>
      </c>
      <c r="G280" s="604" t="s">
        <v>336</v>
      </c>
      <c r="H280" s="7" t="s">
        <v>368</v>
      </c>
      <c r="I280" s="256"/>
      <c r="J280" s="256"/>
      <c r="K280" s="602">
        <v>65800000</v>
      </c>
      <c r="L280" s="603" t="s">
        <v>47</v>
      </c>
      <c r="M280" s="603" t="s">
        <v>24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>x</v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50"/>
      <c r="AB280" s="594"/>
      <c r="AC280" s="198"/>
      <c r="AD280" s="198"/>
    </row>
    <row r="281" spans="1:30" s="808" customFormat="1" ht="15.75" customHeight="1">
      <c r="A281" s="204" t="str">
        <f>IF(B281&lt;&gt;"",IF(AND(B281&gt;=_TM1,B281&lt;=_TM2,OR(TH!L281="1111",TH!M281="1111")),TH!D281,""),"")</f>
        <v/>
      </c>
      <c r="B281" s="36">
        <f t="shared" si="30"/>
        <v>12</v>
      </c>
      <c r="C281" s="184">
        <f t="shared" si="31"/>
        <v>41620</v>
      </c>
      <c r="D281" s="184" t="s">
        <v>339</v>
      </c>
      <c r="E281" s="184">
        <v>41620</v>
      </c>
      <c r="F281" s="189" t="s">
        <v>341</v>
      </c>
      <c r="G281" s="604" t="s">
        <v>336</v>
      </c>
      <c r="H281" s="7" t="s">
        <v>537</v>
      </c>
      <c r="I281" s="256"/>
      <c r="J281" s="256"/>
      <c r="K281" s="602">
        <v>13659140</v>
      </c>
      <c r="L281" s="603" t="s">
        <v>24</v>
      </c>
      <c r="M281" s="603" t="s">
        <v>265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>x</v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50"/>
      <c r="AB281" s="211"/>
      <c r="AC281" s="198"/>
      <c r="AD281" s="198"/>
    </row>
    <row r="282" spans="1:30" s="808" customFormat="1" ht="15.75" customHeight="1">
      <c r="A282" s="204" t="str">
        <f>IF(B282&lt;&gt;"",IF(AND(B282&gt;=_TM1,B282&lt;=_TM2,OR(TH!L282="1111",TH!M282="1111")),TH!D282,""),"")</f>
        <v/>
      </c>
      <c r="B282" s="36">
        <f t="shared" si="30"/>
        <v>12</v>
      </c>
      <c r="C282" s="184">
        <f t="shared" si="31"/>
        <v>41624</v>
      </c>
      <c r="D282" s="184" t="s">
        <v>339</v>
      </c>
      <c r="E282" s="184">
        <v>41624</v>
      </c>
      <c r="F282" s="189" t="s">
        <v>341</v>
      </c>
      <c r="G282" s="604" t="s">
        <v>336</v>
      </c>
      <c r="H282" s="7" t="s">
        <v>538</v>
      </c>
      <c r="I282" s="256"/>
      <c r="J282" s="256"/>
      <c r="K282" s="602">
        <v>13413400</v>
      </c>
      <c r="L282" s="603" t="s">
        <v>24</v>
      </c>
      <c r="M282" s="603" t="s">
        <v>265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>x</v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50"/>
      <c r="AB282" s="211"/>
      <c r="AC282" s="198"/>
      <c r="AD282" s="198"/>
    </row>
    <row r="283" spans="1:30" s="808" customFormat="1" ht="15.75" customHeight="1">
      <c r="A283" s="204" t="str">
        <f>IF(B283&lt;&gt;"",IF(AND(B283&gt;=_TM1,B283&lt;=_TM2,OR(TH!L283="1111",TH!M283="1111")),TH!D283,""),"")</f>
        <v/>
      </c>
      <c r="B283" s="36">
        <f t="shared" si="30"/>
        <v>12</v>
      </c>
      <c r="C283" s="184">
        <f t="shared" si="31"/>
        <v>41625</v>
      </c>
      <c r="D283" s="184" t="s">
        <v>339</v>
      </c>
      <c r="E283" s="184">
        <v>41625</v>
      </c>
      <c r="F283" s="189" t="s">
        <v>341</v>
      </c>
      <c r="G283" s="604" t="s">
        <v>336</v>
      </c>
      <c r="H283" s="7" t="s">
        <v>542</v>
      </c>
      <c r="I283" s="256"/>
      <c r="J283" s="256"/>
      <c r="K283" s="602">
        <v>15019180</v>
      </c>
      <c r="L283" s="603" t="s">
        <v>24</v>
      </c>
      <c r="M283" s="603" t="s">
        <v>265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>x</v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50"/>
      <c r="AB283" s="211"/>
      <c r="AC283" s="198"/>
      <c r="AD283" s="198"/>
    </row>
    <row r="284" spans="1:30" s="808" customFormat="1" ht="15.75" customHeight="1">
      <c r="A284" s="204" t="str">
        <f>IF(B284&lt;&gt;"",IF(AND(B284&gt;=_TM1,B284&lt;=_TM2,OR(TH!L284="1111",TH!M284="1111")),TH!D284,""),"")</f>
        <v>T12</v>
      </c>
      <c r="B284" s="36">
        <f t="shared" si="30"/>
        <v>12</v>
      </c>
      <c r="C284" s="184">
        <f t="shared" si="31"/>
        <v>41625</v>
      </c>
      <c r="D284" s="184" t="s">
        <v>575</v>
      </c>
      <c r="E284" s="184">
        <v>41625</v>
      </c>
      <c r="F284" s="189" t="s">
        <v>500</v>
      </c>
      <c r="G284" s="604" t="s">
        <v>336</v>
      </c>
      <c r="H284" s="7" t="s">
        <v>368</v>
      </c>
      <c r="I284" s="254"/>
      <c r="J284" s="254"/>
      <c r="K284" s="701">
        <v>42000000</v>
      </c>
      <c r="L284" s="603" t="s">
        <v>47</v>
      </c>
      <c r="M284" s="603" t="s">
        <v>24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>x</v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50"/>
      <c r="AB284" s="594"/>
      <c r="AC284" s="198"/>
      <c r="AD284" s="198"/>
    </row>
    <row r="285" spans="1:30" s="808" customFormat="1" ht="15.75" customHeight="1">
      <c r="A285" s="204" t="str">
        <f>IF(B285&lt;&gt;"",IF(AND(B285&gt;=_TM1,B285&lt;=_TM2,OR(TH!L285="1111",TH!M285="1111")),TH!D285,""),"")</f>
        <v/>
      </c>
      <c r="B285" s="36">
        <f t="shared" si="30"/>
        <v>12</v>
      </c>
      <c r="C285" s="184">
        <f t="shared" si="31"/>
        <v>41625</v>
      </c>
      <c r="D285" s="184" t="s">
        <v>399</v>
      </c>
      <c r="E285" s="191">
        <v>41625</v>
      </c>
      <c r="F285" s="189" t="s">
        <v>576</v>
      </c>
      <c r="G285" s="664" t="s">
        <v>577</v>
      </c>
      <c r="H285" s="7" t="s">
        <v>578</v>
      </c>
      <c r="I285" s="257">
        <v>100</v>
      </c>
      <c r="J285" s="258">
        <v>17500</v>
      </c>
      <c r="K285" s="38">
        <f>ROUND(I285*J285,0)</f>
        <v>1750000</v>
      </c>
      <c r="L285" s="603" t="s">
        <v>161</v>
      </c>
      <c r="M285" s="603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50"/>
      <c r="AB285" s="594"/>
      <c r="AC285" s="198"/>
      <c r="AD285" s="198"/>
    </row>
    <row r="286" spans="1:30" s="808" customFormat="1" ht="15.75" customHeight="1">
      <c r="A286" s="204" t="str">
        <f>IF(B286&lt;&gt;"",IF(AND(B286&gt;=_TM1,B286&lt;=_TM2,OR(TH!L286="1111",TH!M286="1111")),TH!D286,""),"")</f>
        <v/>
      </c>
      <c r="B286" s="36">
        <f t="shared" si="30"/>
        <v>12</v>
      </c>
      <c r="C286" s="184">
        <f t="shared" si="31"/>
        <v>41625</v>
      </c>
      <c r="D286" s="184" t="s">
        <v>399</v>
      </c>
      <c r="E286" s="191">
        <v>41625</v>
      </c>
      <c r="F286" s="189" t="s">
        <v>579</v>
      </c>
      <c r="G286" s="664" t="s">
        <v>577</v>
      </c>
      <c r="H286" s="7" t="s">
        <v>578</v>
      </c>
      <c r="I286" s="257"/>
      <c r="J286" s="258"/>
      <c r="K286" s="38">
        <v>175000</v>
      </c>
      <c r="L286" s="603" t="s">
        <v>9</v>
      </c>
      <c r="M286" s="603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50"/>
      <c r="AB286" s="211">
        <v>12</v>
      </c>
      <c r="AC286" s="198"/>
      <c r="AD286" s="198"/>
    </row>
    <row r="287" spans="1:30" s="808" customFormat="1" ht="15.75" customHeight="1">
      <c r="A287" s="204" t="str">
        <f>IF(B287&lt;&gt;"",IF(AND(B287&gt;=_TM1,B287&lt;=_TM2,OR(TH!L287="1111",TH!M287="1111")),TH!D287,""),"")</f>
        <v>C15</v>
      </c>
      <c r="B287" s="36">
        <f t="shared" si="30"/>
        <v>12</v>
      </c>
      <c r="C287" s="184">
        <f t="shared" ref="C287" si="32">E287</f>
        <v>41625</v>
      </c>
      <c r="D287" s="184" t="s">
        <v>399</v>
      </c>
      <c r="E287" s="191">
        <v>41625</v>
      </c>
      <c r="F287" s="189" t="s">
        <v>371</v>
      </c>
      <c r="G287" s="664" t="s">
        <v>577</v>
      </c>
      <c r="H287" s="7" t="s">
        <v>578</v>
      </c>
      <c r="I287" s="257"/>
      <c r="J287" s="258"/>
      <c r="K287" s="38">
        <v>1925000</v>
      </c>
      <c r="L287" s="603" t="s">
        <v>8</v>
      </c>
      <c r="M287" s="603" t="s">
        <v>47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50"/>
      <c r="AB287" s="211"/>
      <c r="AC287" s="198"/>
      <c r="AD287" s="198"/>
    </row>
    <row r="288" spans="1:30" s="808" customFormat="1" ht="15.75" customHeight="1">
      <c r="A288" s="204" t="str">
        <f>IF(B288&lt;&gt;"",IF(AND(B288&gt;=_TM1,B288&lt;=_TM2,OR(TH!L288="1111",TH!M288="1111")),TH!D288,""),"")</f>
        <v>C16</v>
      </c>
      <c r="B288" s="36">
        <f t="shared" si="30"/>
        <v>12</v>
      </c>
      <c r="C288" s="184">
        <f t="shared" si="31"/>
        <v>41625</v>
      </c>
      <c r="D288" s="184" t="s">
        <v>400</v>
      </c>
      <c r="E288" s="191">
        <v>41625</v>
      </c>
      <c r="F288" s="189" t="s">
        <v>436</v>
      </c>
      <c r="G288" s="487" t="s">
        <v>471</v>
      </c>
      <c r="H288" s="7" t="s">
        <v>565</v>
      </c>
      <c r="I288" s="256"/>
      <c r="J288" s="256"/>
      <c r="K288" s="602">
        <v>2850000</v>
      </c>
      <c r="L288" s="603" t="s">
        <v>165</v>
      </c>
      <c r="M288" s="603" t="s">
        <v>47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50"/>
      <c r="AB288" s="594"/>
      <c r="AC288" s="198"/>
      <c r="AD288" s="198"/>
    </row>
    <row r="289" spans="1:30" s="808" customFormat="1" ht="15.75" customHeight="1">
      <c r="A289" s="204" t="str">
        <f>IF(B289&lt;&gt;"",IF(AND(B289&gt;=_TM1,B289&lt;=_TM2,OR(TH!L289="1111",TH!M289="1111")),TH!D289,""),"")</f>
        <v>C16</v>
      </c>
      <c r="B289" s="36">
        <f t="shared" si="30"/>
        <v>12</v>
      </c>
      <c r="C289" s="184">
        <f t="shared" si="31"/>
        <v>41625</v>
      </c>
      <c r="D289" s="184" t="s">
        <v>400</v>
      </c>
      <c r="E289" s="191">
        <v>41625</v>
      </c>
      <c r="F289" s="189" t="s">
        <v>348</v>
      </c>
      <c r="G289" s="487" t="s">
        <v>471</v>
      </c>
      <c r="H289" s="7" t="s">
        <v>565</v>
      </c>
      <c r="I289" s="256"/>
      <c r="J289" s="256"/>
      <c r="K289" s="602">
        <v>285000</v>
      </c>
      <c r="L289" s="603" t="s">
        <v>9</v>
      </c>
      <c r="M289" s="603" t="s">
        <v>47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50"/>
      <c r="AB289" s="211">
        <v>12</v>
      </c>
      <c r="AC289" s="198"/>
      <c r="AD289" s="198"/>
    </row>
    <row r="290" spans="1:30" s="808" customFormat="1" ht="15.75" customHeight="1">
      <c r="A290" s="204" t="str">
        <f>IF(B290&lt;&gt;"",IF(AND(B290&gt;=_TM1,B290&lt;=_TM2,OR(TH!L290="1111",TH!M290="1111")),TH!D290,""),"")</f>
        <v/>
      </c>
      <c r="B290" s="36">
        <f t="shared" si="30"/>
        <v>12</v>
      </c>
      <c r="C290" s="184">
        <f t="shared" si="31"/>
        <v>41632</v>
      </c>
      <c r="D290" s="184" t="s">
        <v>339</v>
      </c>
      <c r="E290" s="184">
        <v>41632</v>
      </c>
      <c r="F290" s="189" t="s">
        <v>341</v>
      </c>
      <c r="G290" s="604" t="s">
        <v>336</v>
      </c>
      <c r="H290" s="7" t="s">
        <v>580</v>
      </c>
      <c r="I290" s="256"/>
      <c r="J290" s="256"/>
      <c r="K290" s="602">
        <v>23385120</v>
      </c>
      <c r="L290" s="603" t="s">
        <v>24</v>
      </c>
      <c r="M290" s="603" t="s">
        <v>265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>x</v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50"/>
      <c r="AB290" s="211"/>
      <c r="AC290" s="198"/>
      <c r="AD290" s="198"/>
    </row>
    <row r="291" spans="1:30" s="808" customFormat="1" ht="15.75" customHeight="1">
      <c r="A291" s="204" t="str">
        <f>IF(B291&lt;&gt;"",IF(AND(B291&gt;=_TM1,B291&lt;=_TM2,OR(TH!L291="1111",TH!M291="1111")),TH!D291,""),"")</f>
        <v/>
      </c>
      <c r="B291" s="36">
        <f t="shared" si="30"/>
        <v>12</v>
      </c>
      <c r="C291" s="184">
        <f t="shared" si="31"/>
        <v>41633</v>
      </c>
      <c r="D291" s="184" t="s">
        <v>339</v>
      </c>
      <c r="E291" s="184">
        <v>41633</v>
      </c>
      <c r="F291" s="189" t="s">
        <v>369</v>
      </c>
      <c r="G291" s="604" t="s">
        <v>336</v>
      </c>
      <c r="H291" s="7"/>
      <c r="I291" s="256"/>
      <c r="J291" s="256"/>
      <c r="K291" s="602">
        <v>14562</v>
      </c>
      <c r="L291" s="603" t="s">
        <v>24</v>
      </c>
      <c r="M291" s="603" t="s">
        <v>40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>x</v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50"/>
      <c r="AB291" s="211"/>
      <c r="AC291" s="198"/>
      <c r="AD291" s="198"/>
    </row>
    <row r="292" spans="1:30" s="808" customFormat="1" ht="15.75" customHeight="1">
      <c r="A292" s="204" t="str">
        <f>IF(B292&lt;&gt;"",IF(AND(B292&gt;=_TM1,B292&lt;=_TM2,OR(TH!L292="1111",TH!M292="1111")),TH!D292,""),"")</f>
        <v/>
      </c>
      <c r="B292" s="36">
        <f t="shared" si="30"/>
        <v>12</v>
      </c>
      <c r="C292" s="184">
        <f t="shared" si="31"/>
        <v>41635</v>
      </c>
      <c r="D292" s="184" t="s">
        <v>340</v>
      </c>
      <c r="E292" s="184">
        <v>41635</v>
      </c>
      <c r="F292" s="189" t="s">
        <v>341</v>
      </c>
      <c r="G292" s="604" t="s">
        <v>336</v>
      </c>
      <c r="H292" s="7" t="s">
        <v>501</v>
      </c>
      <c r="I292" s="256"/>
      <c r="J292" s="256"/>
      <c r="K292" s="602">
        <v>9421720</v>
      </c>
      <c r="L292" s="603" t="s">
        <v>24</v>
      </c>
      <c r="M292" s="603" t="s">
        <v>265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>x</v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50"/>
      <c r="AB292" s="211"/>
      <c r="AC292" s="198"/>
      <c r="AD292" s="198"/>
    </row>
    <row r="293" spans="1:30" s="808" customFormat="1" ht="15.75" customHeight="1">
      <c r="A293" s="204" t="str">
        <f>IF(B293&lt;&gt;"",IF(AND(B293&gt;=_TM1,B293&lt;=_TM2,OR(TH!L293="1111",TH!M293="1111")),TH!D293,""),"")</f>
        <v>T13</v>
      </c>
      <c r="B293" s="36">
        <f t="shared" si="30"/>
        <v>12</v>
      </c>
      <c r="C293" s="184">
        <f t="shared" si="31"/>
        <v>41639</v>
      </c>
      <c r="D293" s="184" t="s">
        <v>581</v>
      </c>
      <c r="E293" s="191">
        <v>41639</v>
      </c>
      <c r="F293" s="189" t="s">
        <v>500</v>
      </c>
      <c r="G293" s="604" t="s">
        <v>336</v>
      </c>
      <c r="H293" s="7" t="s">
        <v>368</v>
      </c>
      <c r="I293" s="257"/>
      <c r="J293" s="258"/>
      <c r="K293" s="38">
        <v>32900000</v>
      </c>
      <c r="L293" s="603" t="s">
        <v>47</v>
      </c>
      <c r="M293" s="603" t="s">
        <v>24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>x</v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50"/>
      <c r="AB293" s="594"/>
      <c r="AC293" s="198"/>
      <c r="AD293" s="198"/>
    </row>
    <row r="294" spans="1:30" s="808" customFormat="1" ht="15.75" customHeight="1">
      <c r="A294" s="204" t="str">
        <f>IF(B294&lt;&gt;"",IF(AND(B294&gt;=_TM1,B294&lt;=_TM2,OR(TH!L294="1111",TH!M294="1111")),TH!D294,""),"")</f>
        <v>C17</v>
      </c>
      <c r="B294" s="36">
        <f t="shared" si="30"/>
        <v>12</v>
      </c>
      <c r="C294" s="184">
        <f t="shared" si="31"/>
        <v>41639</v>
      </c>
      <c r="D294" s="184" t="s">
        <v>402</v>
      </c>
      <c r="E294" s="191">
        <v>41639</v>
      </c>
      <c r="F294" s="189" t="s">
        <v>387</v>
      </c>
      <c r="G294" s="664" t="s">
        <v>582</v>
      </c>
      <c r="H294" s="7" t="s">
        <v>518</v>
      </c>
      <c r="I294" s="256"/>
      <c r="J294" s="258"/>
      <c r="K294" s="602">
        <v>1136048</v>
      </c>
      <c r="L294" s="603" t="s">
        <v>83</v>
      </c>
      <c r="M294" s="603" t="s">
        <v>47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>x</v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50"/>
      <c r="AB294" s="594"/>
      <c r="AC294" s="198"/>
      <c r="AD294" s="198"/>
    </row>
    <row r="295" spans="1:30" s="808" customFormat="1" ht="15.75" customHeight="1">
      <c r="A295" s="204" t="str">
        <f>IF(B295&lt;&gt;"",IF(AND(B295&gt;=_TM1,B295&lt;=_TM2,OR(TH!L295="1111",TH!M295="1111")),TH!D295,""),"")</f>
        <v>C17</v>
      </c>
      <c r="B295" s="36">
        <f t="shared" si="30"/>
        <v>12</v>
      </c>
      <c r="C295" s="184">
        <f t="shared" si="31"/>
        <v>41639</v>
      </c>
      <c r="D295" s="184" t="s">
        <v>402</v>
      </c>
      <c r="E295" s="191">
        <v>41639</v>
      </c>
      <c r="F295" s="189" t="s">
        <v>388</v>
      </c>
      <c r="G295" s="664" t="s">
        <v>582</v>
      </c>
      <c r="H295" s="7" t="s">
        <v>518</v>
      </c>
      <c r="I295" s="257"/>
      <c r="J295" s="258"/>
      <c r="K295" s="38">
        <v>113605</v>
      </c>
      <c r="L295" s="603" t="s">
        <v>9</v>
      </c>
      <c r="M295" s="603" t="s">
        <v>47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50"/>
      <c r="AB295" s="211">
        <v>12</v>
      </c>
      <c r="AC295" s="198"/>
      <c r="AD295" s="198"/>
    </row>
    <row r="296" spans="1:30" s="808" customFormat="1" ht="15.75" customHeight="1">
      <c r="A296" s="204" t="str">
        <f>IF(B296&lt;&gt;"",IF(AND(B296&gt;=_TM1,B296&lt;=_TM2,OR(TH!L296="1111",TH!M296="1111")),TH!D296,""),"")</f>
        <v/>
      </c>
      <c r="B296" s="36">
        <f t="shared" si="30"/>
        <v>1</v>
      </c>
      <c r="C296" s="191">
        <f t="shared" si="31"/>
        <v>41276</v>
      </c>
      <c r="D296" s="184" t="s">
        <v>407</v>
      </c>
      <c r="E296" s="191">
        <v>41276</v>
      </c>
      <c r="F296" s="192" t="s">
        <v>583</v>
      </c>
      <c r="G296" s="487" t="s">
        <v>584</v>
      </c>
      <c r="H296" s="193" t="s">
        <v>585</v>
      </c>
      <c r="I296" s="256">
        <v>203</v>
      </c>
      <c r="J296" s="256">
        <v>20765</v>
      </c>
      <c r="K296" s="38">
        <f>ROUND(I296*J296,0)</f>
        <v>4215295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50"/>
      <c r="AB296" s="211"/>
      <c r="AC296" s="198"/>
      <c r="AD296" s="198"/>
    </row>
    <row r="297" spans="1:30" s="808" customFormat="1" ht="15.75" customHeight="1">
      <c r="A297" s="204" t="str">
        <f>IF(B297&lt;&gt;"",IF(AND(B297&gt;=_TM1,B297&lt;=_TM2,OR(TH!L297="1111",TH!M297="1111")),TH!D297,""),"")</f>
        <v/>
      </c>
      <c r="B297" s="36">
        <f t="shared" si="30"/>
        <v>1</v>
      </c>
      <c r="C297" s="191">
        <f t="shared" si="31"/>
        <v>41276</v>
      </c>
      <c r="D297" s="184" t="s">
        <v>407</v>
      </c>
      <c r="E297" s="191">
        <v>41276</v>
      </c>
      <c r="F297" s="192" t="s">
        <v>586</v>
      </c>
      <c r="G297" s="487" t="s">
        <v>584</v>
      </c>
      <c r="H297" s="193" t="s">
        <v>585</v>
      </c>
      <c r="I297" s="256">
        <v>201</v>
      </c>
      <c r="J297" s="256">
        <v>17438</v>
      </c>
      <c r="K297" s="38">
        <f>ROUND(I297*J297,0)</f>
        <v>3505038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50"/>
      <c r="AB297" s="211"/>
      <c r="AC297" s="198"/>
      <c r="AD297" s="198"/>
    </row>
    <row r="298" spans="1:30" s="808" customFormat="1" ht="15.75" customHeight="1">
      <c r="A298" s="204" t="str">
        <f>IF(B298&lt;&gt;"",IF(AND(B298&gt;=_TM1,B298&lt;=_TM2,OR(TH!L298="1111",TH!M298="1111")),TH!D298,""),"")</f>
        <v/>
      </c>
      <c r="B298" s="36">
        <f t="shared" si="30"/>
        <v>1</v>
      </c>
      <c r="C298" s="191">
        <f t="shared" si="31"/>
        <v>41276</v>
      </c>
      <c r="D298" s="184" t="s">
        <v>407</v>
      </c>
      <c r="E298" s="191">
        <v>41276</v>
      </c>
      <c r="F298" s="192" t="s">
        <v>587</v>
      </c>
      <c r="G298" s="487" t="s">
        <v>584</v>
      </c>
      <c r="H298" s="193" t="s">
        <v>585</v>
      </c>
      <c r="I298" s="258">
        <v>260</v>
      </c>
      <c r="J298" s="258">
        <v>16626</v>
      </c>
      <c r="K298" s="38">
        <f>ROUND(I298*J298,0)</f>
        <v>4322760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50"/>
      <c r="AB298" s="211"/>
      <c r="AC298" s="198"/>
      <c r="AD298" s="198"/>
    </row>
    <row r="299" spans="1:30" s="808" customFormat="1" ht="15.75" customHeight="1">
      <c r="A299" s="204" t="str">
        <f>IF(B299&lt;&gt;"",IF(AND(B299&gt;=_TM1,B299&lt;=_TM2,OR(TH!L299="1111",TH!M299="1111")),TH!D299,""),"")</f>
        <v/>
      </c>
      <c r="B299" s="36">
        <f t="shared" si="30"/>
        <v>1</v>
      </c>
      <c r="C299" s="191">
        <f t="shared" si="31"/>
        <v>41276</v>
      </c>
      <c r="D299" s="184" t="s">
        <v>407</v>
      </c>
      <c r="E299" s="191">
        <v>41276</v>
      </c>
      <c r="F299" s="192" t="s">
        <v>588</v>
      </c>
      <c r="G299" s="487" t="s">
        <v>584</v>
      </c>
      <c r="H299" s="193" t="s">
        <v>585</v>
      </c>
      <c r="I299" s="256"/>
      <c r="J299" s="256"/>
      <c r="K299" s="38">
        <v>1204310</v>
      </c>
      <c r="L299" s="194" t="s">
        <v>9</v>
      </c>
      <c r="M299" s="194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50"/>
      <c r="AB299" s="211">
        <v>1</v>
      </c>
      <c r="AC299" s="198"/>
      <c r="AD299" s="198"/>
    </row>
    <row r="300" spans="1:30" s="808" customFormat="1" ht="15.75" customHeight="1">
      <c r="A300" s="204" t="str">
        <f>IF(B300&lt;&gt;"",IF(AND(B300&gt;=_TM1,B300&lt;=_TM2,OR(TH!L300="1111",TH!M300="1111")),TH!D300,""),"")</f>
        <v/>
      </c>
      <c r="B300" s="36">
        <f t="shared" si="30"/>
        <v>1</v>
      </c>
      <c r="C300" s="191">
        <f t="shared" ref="C300" si="33">E300</f>
        <v>41276</v>
      </c>
      <c r="D300" s="184" t="s">
        <v>407</v>
      </c>
      <c r="E300" s="191">
        <v>41276</v>
      </c>
      <c r="F300" s="192" t="s">
        <v>371</v>
      </c>
      <c r="G300" s="487" t="s">
        <v>584</v>
      </c>
      <c r="H300" s="193" t="s">
        <v>585</v>
      </c>
      <c r="I300" s="256"/>
      <c r="J300" s="256"/>
      <c r="K300" s="38">
        <v>13247403</v>
      </c>
      <c r="L300" s="194" t="s">
        <v>8</v>
      </c>
      <c r="M300" s="194" t="s">
        <v>47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>x</v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50"/>
      <c r="AB300" s="211"/>
      <c r="AC300" s="198"/>
      <c r="AD300" s="198"/>
    </row>
    <row r="301" spans="1:30" s="808" customFormat="1" ht="15.75" customHeight="1">
      <c r="A301" s="204" t="str">
        <f>IF(B301&lt;&gt;"",IF(AND(B301&gt;=_TM1,B301&lt;=_TM2,OR(TH!L301="1111",TH!M301="1111")),TH!D301,""),"")</f>
        <v/>
      </c>
      <c r="B301" s="36">
        <f t="shared" si="30"/>
        <v>1</v>
      </c>
      <c r="C301" s="191">
        <f t="shared" si="31"/>
        <v>41277</v>
      </c>
      <c r="D301" s="184" t="s">
        <v>408</v>
      </c>
      <c r="E301" s="191">
        <v>41277</v>
      </c>
      <c r="F301" s="192" t="s">
        <v>589</v>
      </c>
      <c r="G301" s="487" t="s">
        <v>590</v>
      </c>
      <c r="H301" s="193" t="s">
        <v>585</v>
      </c>
      <c r="I301" s="258">
        <v>258</v>
      </c>
      <c r="J301" s="258">
        <v>19896</v>
      </c>
      <c r="K301" s="38">
        <f>ROUND(I301*J301,0)</f>
        <v>5133168</v>
      </c>
      <c r="L301" s="194" t="s">
        <v>159</v>
      </c>
      <c r="M301" s="194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50"/>
      <c r="AB301" s="211"/>
      <c r="AC301" s="198"/>
      <c r="AD301" s="198"/>
    </row>
    <row r="302" spans="1:30" s="808" customFormat="1" ht="15.75" customHeight="1">
      <c r="A302" s="204" t="str">
        <f>IF(B302&lt;&gt;"",IF(AND(B302&gt;=_TM1,B302&lt;=_TM2,OR(TH!L302="1111",TH!M302="1111")),TH!D302,""),"")</f>
        <v/>
      </c>
      <c r="B302" s="36">
        <f t="shared" ref="B302:B365" si="34">IF(C302&lt;&gt;"",MONTH(C302),"")</f>
        <v>1</v>
      </c>
      <c r="C302" s="191">
        <f t="shared" si="31"/>
        <v>41277</v>
      </c>
      <c r="D302" s="184" t="s">
        <v>408</v>
      </c>
      <c r="E302" s="191">
        <v>41277</v>
      </c>
      <c r="F302" s="192" t="s">
        <v>591</v>
      </c>
      <c r="G302" s="487" t="s">
        <v>590</v>
      </c>
      <c r="H302" s="193" t="s">
        <v>585</v>
      </c>
      <c r="I302" s="256">
        <v>505</v>
      </c>
      <c r="J302" s="256">
        <v>29568</v>
      </c>
      <c r="K302" s="38">
        <f>ROUND(I302*J302,0)</f>
        <v>14931840</v>
      </c>
      <c r="L302" s="194" t="s">
        <v>159</v>
      </c>
      <c r="M302" s="194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50"/>
      <c r="AB302" s="211"/>
      <c r="AC302" s="198"/>
      <c r="AD302" s="198"/>
    </row>
    <row r="303" spans="1:30" s="808" customFormat="1" ht="15.75" customHeight="1">
      <c r="A303" s="204" t="str">
        <f>IF(B303&lt;&gt;"",IF(AND(B303&gt;=_TM1,B303&lt;=_TM2,OR(TH!L303="1111",TH!M303="1111")),TH!D303,""),"")</f>
        <v/>
      </c>
      <c r="B303" s="36">
        <f t="shared" si="34"/>
        <v>1</v>
      </c>
      <c r="C303" s="191">
        <f t="shared" si="31"/>
        <v>41277</v>
      </c>
      <c r="D303" s="184" t="s">
        <v>408</v>
      </c>
      <c r="E303" s="191">
        <v>41277</v>
      </c>
      <c r="F303" s="192" t="s">
        <v>588</v>
      </c>
      <c r="G303" s="487" t="s">
        <v>590</v>
      </c>
      <c r="H303" s="193" t="s">
        <v>585</v>
      </c>
      <c r="I303" s="256"/>
      <c r="J303" s="256"/>
      <c r="K303" s="38">
        <v>2006501</v>
      </c>
      <c r="L303" s="194" t="s">
        <v>9</v>
      </c>
      <c r="M303" s="194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50"/>
      <c r="AB303" s="211">
        <v>1</v>
      </c>
      <c r="AC303" s="198"/>
      <c r="AD303" s="198"/>
    </row>
    <row r="304" spans="1:30" s="808" customFormat="1" ht="15.75" customHeight="1">
      <c r="A304" s="204" t="str">
        <f>IF(B304&lt;&gt;"",IF(AND(B304&gt;=_TM1,B304&lt;=_TM2,OR(TH!L304="1111",TH!M304="1111")),TH!D304,""),"")</f>
        <v/>
      </c>
      <c r="B304" s="36">
        <f t="shared" si="34"/>
        <v>1</v>
      </c>
      <c r="C304" s="191">
        <f t="shared" si="31"/>
        <v>41278</v>
      </c>
      <c r="D304" s="184" t="s">
        <v>409</v>
      </c>
      <c r="E304" s="191">
        <v>41278</v>
      </c>
      <c r="F304" s="192" t="s">
        <v>592</v>
      </c>
      <c r="G304" s="487" t="s">
        <v>593</v>
      </c>
      <c r="H304" s="193" t="s">
        <v>585</v>
      </c>
      <c r="I304" s="256">
        <v>515</v>
      </c>
      <c r="J304" s="256">
        <v>8978</v>
      </c>
      <c r="K304" s="38">
        <f>ROUND(I304*J304,0)</f>
        <v>4623670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50"/>
      <c r="AB304" s="211"/>
      <c r="AC304" s="198"/>
      <c r="AD304" s="198"/>
    </row>
    <row r="305" spans="1:30" s="808" customFormat="1" ht="15.75" customHeight="1">
      <c r="A305" s="204" t="str">
        <f>IF(B305&lt;&gt;"",IF(AND(B305&gt;=_TM1,B305&lt;=_TM2,OR(TH!L305="1111",TH!M305="1111")),TH!D305,""),"")</f>
        <v/>
      </c>
      <c r="B305" s="36">
        <f t="shared" si="34"/>
        <v>1</v>
      </c>
      <c r="C305" s="191">
        <f t="shared" si="31"/>
        <v>41278</v>
      </c>
      <c r="D305" s="184" t="s">
        <v>409</v>
      </c>
      <c r="E305" s="191">
        <v>41278</v>
      </c>
      <c r="F305" s="192" t="s">
        <v>588</v>
      </c>
      <c r="G305" s="487" t="s">
        <v>593</v>
      </c>
      <c r="H305" s="193" t="s">
        <v>585</v>
      </c>
      <c r="I305" s="256"/>
      <c r="J305" s="256"/>
      <c r="K305" s="38">
        <v>462367</v>
      </c>
      <c r="L305" s="194" t="s">
        <v>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50"/>
      <c r="AB305" s="211">
        <v>1</v>
      </c>
      <c r="AC305" s="198"/>
      <c r="AD305" s="198"/>
    </row>
    <row r="306" spans="1:30" s="808" customFormat="1" ht="15.75" customHeight="1">
      <c r="A306" s="204" t="str">
        <f>IF(B306&lt;&gt;"",IF(AND(B306&gt;=_TM1,B306&lt;=_TM2,OR(TH!L306="1111",TH!M306="1111")),TH!D306,""),"")</f>
        <v/>
      </c>
      <c r="B306" s="36">
        <f t="shared" si="34"/>
        <v>1</v>
      </c>
      <c r="C306" s="191">
        <f t="shared" ref="C306" si="35">E306</f>
        <v>41278</v>
      </c>
      <c r="D306" s="184" t="s">
        <v>409</v>
      </c>
      <c r="E306" s="191">
        <v>41278</v>
      </c>
      <c r="F306" s="192" t="s">
        <v>371</v>
      </c>
      <c r="G306" s="487" t="s">
        <v>593</v>
      </c>
      <c r="H306" s="193" t="s">
        <v>585</v>
      </c>
      <c r="I306" s="256"/>
      <c r="J306" s="256"/>
      <c r="K306" s="38">
        <v>5086037</v>
      </c>
      <c r="L306" s="194" t="s">
        <v>8</v>
      </c>
      <c r="M306" s="194" t="s">
        <v>47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>x</v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50"/>
      <c r="AB306" s="211"/>
      <c r="AC306" s="198"/>
      <c r="AD306" s="198"/>
    </row>
    <row r="307" spans="1:30" s="808" customFormat="1" ht="15.75" customHeight="1">
      <c r="A307" s="204" t="str">
        <f>IF(B307&lt;&gt;"",IF(AND(B307&gt;=_TM1,B307&lt;=_TM2,OR(TH!L307="1111",TH!M307="1111")),TH!D307,""),"")</f>
        <v/>
      </c>
      <c r="B307" s="36">
        <f t="shared" si="34"/>
        <v>1</v>
      </c>
      <c r="C307" s="191">
        <f t="shared" si="31"/>
        <v>41282</v>
      </c>
      <c r="D307" s="184" t="s">
        <v>410</v>
      </c>
      <c r="E307" s="795">
        <v>41282</v>
      </c>
      <c r="F307" s="192" t="s">
        <v>594</v>
      </c>
      <c r="G307" s="487" t="s">
        <v>595</v>
      </c>
      <c r="H307" s="193" t="s">
        <v>585</v>
      </c>
      <c r="I307" s="259">
        <v>121</v>
      </c>
      <c r="J307" s="259">
        <v>13625</v>
      </c>
      <c r="K307" s="38">
        <f>ROUND(I307*J307,0)</f>
        <v>1648625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50"/>
      <c r="AB307" s="211"/>
      <c r="AC307" s="198"/>
      <c r="AD307" s="198"/>
    </row>
    <row r="308" spans="1:30" s="808" customFormat="1" ht="15.75" customHeight="1">
      <c r="A308" s="204" t="str">
        <f>IF(B308&lt;&gt;"",IF(AND(B308&gt;=_TM1,B308&lt;=_TM2,OR(TH!L308="1111",TH!M308="1111")),TH!D308,""),"")</f>
        <v/>
      </c>
      <c r="B308" s="36">
        <f t="shared" si="34"/>
        <v>1</v>
      </c>
      <c r="C308" s="191">
        <f t="shared" si="31"/>
        <v>41282</v>
      </c>
      <c r="D308" s="184" t="s">
        <v>410</v>
      </c>
      <c r="E308" s="795">
        <v>41282</v>
      </c>
      <c r="F308" s="192" t="s">
        <v>596</v>
      </c>
      <c r="G308" s="487" t="s">
        <v>595</v>
      </c>
      <c r="H308" s="193" t="s">
        <v>585</v>
      </c>
      <c r="I308" s="256">
        <v>100</v>
      </c>
      <c r="J308" s="256">
        <v>23890</v>
      </c>
      <c r="K308" s="38">
        <f>ROUND(I308*J308,0)</f>
        <v>2389000</v>
      </c>
      <c r="L308" s="194" t="s">
        <v>159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50"/>
      <c r="AB308" s="211"/>
      <c r="AC308" s="198"/>
      <c r="AD308" s="198"/>
    </row>
    <row r="309" spans="1:30" s="808" customFormat="1" ht="15.75" customHeight="1">
      <c r="A309" s="204" t="str">
        <f>IF(B309&lt;&gt;"",IF(AND(B309&gt;=_TM1,B309&lt;=_TM2,OR(TH!L309="1111",TH!M309="1111")),TH!D309,""),"")</f>
        <v/>
      </c>
      <c r="B309" s="36">
        <f t="shared" si="34"/>
        <v>1</v>
      </c>
      <c r="C309" s="191">
        <f t="shared" si="31"/>
        <v>41282</v>
      </c>
      <c r="D309" s="184" t="s">
        <v>410</v>
      </c>
      <c r="E309" s="795">
        <v>41282</v>
      </c>
      <c r="F309" s="192" t="s">
        <v>597</v>
      </c>
      <c r="G309" s="487" t="s">
        <v>595</v>
      </c>
      <c r="H309" s="193" t="s">
        <v>585</v>
      </c>
      <c r="I309" s="256">
        <v>100</v>
      </c>
      <c r="J309" s="256">
        <v>25603</v>
      </c>
      <c r="K309" s="38">
        <f>ROUND(I309*J309,0)</f>
        <v>2560300</v>
      </c>
      <c r="L309" s="194" t="s">
        <v>159</v>
      </c>
      <c r="M309" s="194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50"/>
      <c r="AB309" s="211"/>
      <c r="AC309" s="198"/>
      <c r="AD309" s="198"/>
    </row>
    <row r="310" spans="1:30" s="808" customFormat="1" ht="15.75" customHeight="1">
      <c r="A310" s="204" t="str">
        <f>IF(B310&lt;&gt;"",IF(AND(B310&gt;=_TM1,B310&lt;=_TM2,OR(TH!L310="1111",TH!M310="1111")),TH!D310,""),"")</f>
        <v/>
      </c>
      <c r="B310" s="36">
        <f t="shared" si="34"/>
        <v>1</v>
      </c>
      <c r="C310" s="191">
        <f t="shared" si="31"/>
        <v>41282</v>
      </c>
      <c r="D310" s="184" t="s">
        <v>410</v>
      </c>
      <c r="E310" s="795">
        <v>41282</v>
      </c>
      <c r="F310" s="192" t="s">
        <v>598</v>
      </c>
      <c r="G310" s="487" t="s">
        <v>595</v>
      </c>
      <c r="H310" s="193" t="s">
        <v>585</v>
      </c>
      <c r="I310" s="257">
        <v>244</v>
      </c>
      <c r="J310" s="256">
        <v>17722</v>
      </c>
      <c r="K310" s="38">
        <f>ROUND(I310*J310,0)</f>
        <v>4324168</v>
      </c>
      <c r="L310" s="194" t="s">
        <v>159</v>
      </c>
      <c r="M310" s="194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50"/>
      <c r="AB310" s="594"/>
      <c r="AC310" s="198"/>
      <c r="AD310" s="198"/>
    </row>
    <row r="311" spans="1:30" s="808" customFormat="1" ht="15.75" customHeight="1">
      <c r="A311" s="204" t="str">
        <f>IF(B311&lt;&gt;"",IF(AND(B311&gt;=_TM1,B311&lt;=_TM2,OR(TH!L311="1111",TH!M311="1111")),TH!D311,""),"")</f>
        <v/>
      </c>
      <c r="B311" s="36">
        <f t="shared" si="34"/>
        <v>1</v>
      </c>
      <c r="C311" s="191">
        <f t="shared" si="31"/>
        <v>41282</v>
      </c>
      <c r="D311" s="184" t="s">
        <v>410</v>
      </c>
      <c r="E311" s="795">
        <v>41282</v>
      </c>
      <c r="F311" s="192" t="s">
        <v>599</v>
      </c>
      <c r="G311" s="487" t="s">
        <v>595</v>
      </c>
      <c r="H311" s="193" t="s">
        <v>585</v>
      </c>
      <c r="I311" s="257">
        <v>206</v>
      </c>
      <c r="J311" s="256">
        <v>19958</v>
      </c>
      <c r="K311" s="38">
        <f>ROUND(I311*J311,0)</f>
        <v>4111348</v>
      </c>
      <c r="L311" s="194" t="s">
        <v>159</v>
      </c>
      <c r="M311" s="194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50"/>
      <c r="AB311" s="211"/>
      <c r="AC311" s="198"/>
      <c r="AD311" s="198"/>
    </row>
    <row r="312" spans="1:30" s="808" customFormat="1" ht="15.75" customHeight="1">
      <c r="A312" s="204" t="str">
        <f>IF(B312&lt;&gt;"",IF(AND(B312&gt;=_TM1,B312&lt;=_TM2,OR(TH!L312="1111",TH!M312="1111")),TH!D312,""),"")</f>
        <v/>
      </c>
      <c r="B312" s="36">
        <f t="shared" si="34"/>
        <v>1</v>
      </c>
      <c r="C312" s="191">
        <f t="shared" si="31"/>
        <v>41282</v>
      </c>
      <c r="D312" s="184" t="s">
        <v>410</v>
      </c>
      <c r="E312" s="795">
        <v>41282</v>
      </c>
      <c r="F312" s="192" t="s">
        <v>588</v>
      </c>
      <c r="G312" s="487" t="s">
        <v>595</v>
      </c>
      <c r="H312" s="193" t="s">
        <v>585</v>
      </c>
      <c r="I312" s="257"/>
      <c r="J312" s="256"/>
      <c r="K312" s="38">
        <v>1503344</v>
      </c>
      <c r="L312" s="194" t="s">
        <v>9</v>
      </c>
      <c r="M312" s="194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50"/>
      <c r="AB312" s="594">
        <v>1</v>
      </c>
      <c r="AC312" s="198"/>
      <c r="AD312" s="198"/>
    </row>
    <row r="313" spans="1:30" s="808" customFormat="1" ht="15.75" customHeight="1">
      <c r="A313" s="204" t="str">
        <f>IF(B313&lt;&gt;"",IF(AND(B313&gt;=_TM1,B313&lt;=_TM2,OR(TH!L313="1111",TH!M313="1111")),TH!D313,""),"")</f>
        <v/>
      </c>
      <c r="B313" s="36">
        <f t="shared" si="34"/>
        <v>1</v>
      </c>
      <c r="C313" s="191">
        <f t="shared" ref="C313" si="36">E313</f>
        <v>41282</v>
      </c>
      <c r="D313" s="184" t="s">
        <v>410</v>
      </c>
      <c r="E313" s="795">
        <v>41282</v>
      </c>
      <c r="F313" s="192" t="s">
        <v>371</v>
      </c>
      <c r="G313" s="487" t="s">
        <v>595</v>
      </c>
      <c r="H313" s="193" t="s">
        <v>585</v>
      </c>
      <c r="I313" s="257"/>
      <c r="J313" s="256"/>
      <c r="K313" s="38">
        <v>16536785</v>
      </c>
      <c r="L313" s="194" t="s">
        <v>8</v>
      </c>
      <c r="M313" s="194" t="s">
        <v>47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>x</v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50"/>
      <c r="AB313" s="211"/>
      <c r="AC313" s="198"/>
      <c r="AD313" s="198"/>
    </row>
    <row r="314" spans="1:30" s="808" customFormat="1" ht="15.75" customHeight="1">
      <c r="A314" s="204" t="str">
        <f>IF(B314&lt;&gt;"",IF(AND(B314&gt;=_TM1,B314&lt;=_TM2,OR(TH!L314="1111",TH!M314="1111")),TH!D314,""),"")</f>
        <v/>
      </c>
      <c r="B314" s="36">
        <f t="shared" si="34"/>
        <v>1</v>
      </c>
      <c r="C314" s="191">
        <f t="shared" si="31"/>
        <v>41282</v>
      </c>
      <c r="D314" s="184" t="s">
        <v>411</v>
      </c>
      <c r="E314" s="795">
        <v>41282</v>
      </c>
      <c r="F314" s="192" t="s">
        <v>600</v>
      </c>
      <c r="G314" s="485" t="s">
        <v>601</v>
      </c>
      <c r="H314" s="193" t="s">
        <v>585</v>
      </c>
      <c r="I314" s="257">
        <v>300</v>
      </c>
      <c r="J314" s="256">
        <v>21888</v>
      </c>
      <c r="K314" s="38">
        <f>ROUND(I314*J314,0)</f>
        <v>6566400</v>
      </c>
      <c r="L314" s="194" t="s">
        <v>159</v>
      </c>
      <c r="M314" s="194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50"/>
      <c r="AB314" s="594"/>
      <c r="AC314" s="198"/>
      <c r="AD314" s="198"/>
    </row>
    <row r="315" spans="1:30" s="808" customFormat="1" ht="15.75" customHeight="1">
      <c r="A315" s="204" t="str">
        <f>IF(B315&lt;&gt;"",IF(AND(B315&gt;=_TM1,B315&lt;=_TM2,OR(TH!L315="1111",TH!M315="1111")),TH!D315,""),"")</f>
        <v/>
      </c>
      <c r="B315" s="36">
        <f t="shared" si="34"/>
        <v>1</v>
      </c>
      <c r="C315" s="191">
        <f t="shared" si="31"/>
        <v>41282</v>
      </c>
      <c r="D315" s="184" t="s">
        <v>411</v>
      </c>
      <c r="E315" s="795">
        <v>41282</v>
      </c>
      <c r="F315" s="192" t="s">
        <v>602</v>
      </c>
      <c r="G315" s="485" t="s">
        <v>601</v>
      </c>
      <c r="H315" s="193" t="s">
        <v>585</v>
      </c>
      <c r="I315" s="256">
        <v>90</v>
      </c>
      <c r="J315" s="256">
        <v>13306</v>
      </c>
      <c r="K315" s="38">
        <f>ROUND(I315*J315,0)</f>
        <v>1197540</v>
      </c>
      <c r="L315" s="194" t="s">
        <v>159</v>
      </c>
      <c r="M315" s="194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50"/>
      <c r="AB315" s="594"/>
      <c r="AC315" s="198"/>
      <c r="AD315" s="198"/>
    </row>
    <row r="316" spans="1:30" s="808" customFormat="1" ht="15.75" customHeight="1">
      <c r="A316" s="204" t="str">
        <f>IF(B316&lt;&gt;"",IF(AND(B316&gt;=_TM1,B316&lt;=_TM2,OR(TH!L316="1111",TH!M316="1111")),TH!D316,""),"")</f>
        <v/>
      </c>
      <c r="B316" s="36">
        <f t="shared" si="34"/>
        <v>1</v>
      </c>
      <c r="C316" s="191">
        <f t="shared" si="31"/>
        <v>41282</v>
      </c>
      <c r="D316" s="184" t="s">
        <v>411</v>
      </c>
      <c r="E316" s="795">
        <v>41282</v>
      </c>
      <c r="F316" s="192" t="s">
        <v>603</v>
      </c>
      <c r="G316" s="485" t="s">
        <v>601</v>
      </c>
      <c r="H316" s="193" t="s">
        <v>585</v>
      </c>
      <c r="I316" s="256">
        <v>336</v>
      </c>
      <c r="J316" s="256">
        <v>20553</v>
      </c>
      <c r="K316" s="38">
        <f>ROUND(I316*J316,0)</f>
        <v>6905808</v>
      </c>
      <c r="L316" s="194" t="s">
        <v>159</v>
      </c>
      <c r="M316" s="194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50"/>
      <c r="AB316" s="594"/>
      <c r="AC316" s="198"/>
      <c r="AD316" s="198"/>
    </row>
    <row r="317" spans="1:30" s="808" customFormat="1" ht="15.75" customHeight="1">
      <c r="A317" s="204" t="str">
        <f>IF(B317&lt;&gt;"",IF(AND(B317&gt;=_TM1,B317&lt;=_TM2,OR(TH!L317="1111",TH!M317="1111")),TH!D317,""),"")</f>
        <v/>
      </c>
      <c r="B317" s="36">
        <f t="shared" si="34"/>
        <v>1</v>
      </c>
      <c r="C317" s="191">
        <f t="shared" si="31"/>
        <v>41282</v>
      </c>
      <c r="D317" s="184" t="s">
        <v>411</v>
      </c>
      <c r="E317" s="795">
        <v>41282</v>
      </c>
      <c r="F317" s="192" t="s">
        <v>588</v>
      </c>
      <c r="G317" s="485" t="s">
        <v>601</v>
      </c>
      <c r="H317" s="193" t="s">
        <v>585</v>
      </c>
      <c r="I317" s="256"/>
      <c r="J317" s="256"/>
      <c r="K317" s="38">
        <v>1466975</v>
      </c>
      <c r="L317" s="194" t="s">
        <v>9</v>
      </c>
      <c r="M317" s="194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50"/>
      <c r="AB317" s="594">
        <v>1</v>
      </c>
      <c r="AC317" s="198"/>
      <c r="AD317" s="198"/>
    </row>
    <row r="318" spans="1:30" s="808" customFormat="1" ht="15.75" customHeight="1">
      <c r="A318" s="204" t="str">
        <f>IF(B318&lt;&gt;"",IF(AND(B318&gt;=_TM1,B318&lt;=_TM2,OR(TH!L318="1111",TH!M318="1111")),TH!D318,""),"")</f>
        <v/>
      </c>
      <c r="B318" s="36">
        <f t="shared" si="34"/>
        <v>1</v>
      </c>
      <c r="C318" s="191">
        <f t="shared" ref="C318" si="37">E318</f>
        <v>41282</v>
      </c>
      <c r="D318" s="184" t="s">
        <v>411</v>
      </c>
      <c r="E318" s="795">
        <v>41282</v>
      </c>
      <c r="F318" s="192" t="s">
        <v>371</v>
      </c>
      <c r="G318" s="485" t="s">
        <v>601</v>
      </c>
      <c r="H318" s="193" t="s">
        <v>585</v>
      </c>
      <c r="I318" s="256"/>
      <c r="J318" s="256"/>
      <c r="K318" s="38">
        <v>16136723</v>
      </c>
      <c r="L318" s="194" t="s">
        <v>8</v>
      </c>
      <c r="M318" s="194" t="s">
        <v>47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>x</v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50"/>
      <c r="AB318" s="211"/>
      <c r="AC318" s="198"/>
      <c r="AD318" s="198"/>
    </row>
    <row r="319" spans="1:30" s="810" customFormat="1" ht="15.75" customHeight="1">
      <c r="A319" s="204" t="str">
        <f>IF(B319&lt;&gt;"",IF(AND(B319&gt;=_TM1,B319&lt;=_TM2,OR(TH!L319="1111",TH!M319="1111")),TH!D319,""),"")</f>
        <v/>
      </c>
      <c r="B319" s="36">
        <f t="shared" si="34"/>
        <v>1</v>
      </c>
      <c r="C319" s="191">
        <f t="shared" si="31"/>
        <v>41283</v>
      </c>
      <c r="D319" s="184" t="s">
        <v>412</v>
      </c>
      <c r="E319" s="795">
        <v>41283</v>
      </c>
      <c r="F319" s="192" t="s">
        <v>602</v>
      </c>
      <c r="G319" s="664" t="s">
        <v>604</v>
      </c>
      <c r="H319" s="193" t="s">
        <v>585</v>
      </c>
      <c r="I319" s="256">
        <v>152</v>
      </c>
      <c r="J319" s="256">
        <v>13306</v>
      </c>
      <c r="K319" s="38">
        <f>ROUND(I319*J319,0)</f>
        <v>2022512</v>
      </c>
      <c r="L319" s="194" t="s">
        <v>159</v>
      </c>
      <c r="M319" s="194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50"/>
      <c r="AB319" s="594"/>
      <c r="AC319" s="198"/>
      <c r="AD319" s="198"/>
    </row>
    <row r="320" spans="1:30" ht="15.75" customHeight="1">
      <c r="A320" s="204" t="str">
        <f>IF(B320&lt;&gt;"",IF(AND(B320&gt;=_TM1,B320&lt;=_TM2,OR(TH!L320="1111",TH!M320="1111")),TH!D320,""),"")</f>
        <v/>
      </c>
      <c r="B320" s="36">
        <f t="shared" si="34"/>
        <v>1</v>
      </c>
      <c r="C320" s="191">
        <f t="shared" si="31"/>
        <v>41283</v>
      </c>
      <c r="D320" s="184" t="s">
        <v>412</v>
      </c>
      <c r="E320" s="795">
        <v>41283</v>
      </c>
      <c r="F320" s="192" t="s">
        <v>600</v>
      </c>
      <c r="G320" s="664" t="s">
        <v>604</v>
      </c>
      <c r="H320" s="193" t="s">
        <v>585</v>
      </c>
      <c r="I320" s="256">
        <v>212</v>
      </c>
      <c r="J320" s="256">
        <v>21888</v>
      </c>
      <c r="K320" s="38">
        <f>ROUND(I320*J320,0)</f>
        <v>4640256</v>
      </c>
      <c r="L320" s="194" t="s">
        <v>159</v>
      </c>
      <c r="M320" s="194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50"/>
      <c r="AB320" s="594"/>
    </row>
    <row r="321" spans="1:28" ht="15.75" customHeight="1">
      <c r="A321" s="204" t="str">
        <f>IF(B321&lt;&gt;"",IF(AND(B321&gt;=_TM1,B321&lt;=_TM2,OR(TH!L321="1111",TH!M321="1111")),TH!D321,""),"")</f>
        <v/>
      </c>
      <c r="B321" s="36">
        <f t="shared" si="34"/>
        <v>1</v>
      </c>
      <c r="C321" s="191">
        <f t="shared" si="31"/>
        <v>41283</v>
      </c>
      <c r="D321" s="184" t="s">
        <v>412</v>
      </c>
      <c r="E321" s="795">
        <v>41283</v>
      </c>
      <c r="F321" s="192" t="s">
        <v>605</v>
      </c>
      <c r="G321" s="664" t="s">
        <v>604</v>
      </c>
      <c r="H321" s="193" t="s">
        <v>585</v>
      </c>
      <c r="I321" s="256">
        <v>137</v>
      </c>
      <c r="J321" s="256">
        <v>18605</v>
      </c>
      <c r="K321" s="38">
        <f>ROUND(I321*J321,0)</f>
        <v>2548885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50"/>
      <c r="AB321" s="594"/>
    </row>
    <row r="322" spans="1:28" ht="15.75" customHeight="1">
      <c r="A322" s="204" t="str">
        <f>IF(B322&lt;&gt;"",IF(AND(B322&gt;=_TM1,B322&lt;=_TM2,OR(TH!L322="1111",TH!M322="1111")),TH!D322,""),"")</f>
        <v/>
      </c>
      <c r="B322" s="36">
        <f t="shared" si="34"/>
        <v>1</v>
      </c>
      <c r="C322" s="191">
        <f t="shared" si="31"/>
        <v>41283</v>
      </c>
      <c r="D322" s="184" t="s">
        <v>412</v>
      </c>
      <c r="E322" s="795">
        <v>41283</v>
      </c>
      <c r="F322" s="192" t="s">
        <v>588</v>
      </c>
      <c r="G322" s="664" t="s">
        <v>604</v>
      </c>
      <c r="H322" s="193" t="s">
        <v>585</v>
      </c>
      <c r="I322" s="256"/>
      <c r="J322" s="256"/>
      <c r="K322" s="38">
        <v>921166</v>
      </c>
      <c r="L322" s="194" t="s">
        <v>9</v>
      </c>
      <c r="M322" s="194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50"/>
      <c r="AB322" s="594">
        <v>1</v>
      </c>
    </row>
    <row r="323" spans="1:28" ht="15.75" customHeight="1">
      <c r="A323" s="204" t="str">
        <f>IF(B323&lt;&gt;"",IF(AND(B323&gt;=_TM1,B323&lt;=_TM2,OR(TH!L323="1111",TH!M323="1111")),TH!D323,""),"")</f>
        <v/>
      </c>
      <c r="B323" s="36">
        <f t="shared" si="34"/>
        <v>1</v>
      </c>
      <c r="C323" s="191">
        <f t="shared" ref="C323" si="38">E323</f>
        <v>41283</v>
      </c>
      <c r="D323" s="184" t="s">
        <v>412</v>
      </c>
      <c r="E323" s="795">
        <v>41283</v>
      </c>
      <c r="F323" s="192" t="s">
        <v>371</v>
      </c>
      <c r="G323" s="664" t="s">
        <v>604</v>
      </c>
      <c r="H323" s="193" t="s">
        <v>585</v>
      </c>
      <c r="I323" s="256"/>
      <c r="J323" s="256"/>
      <c r="K323" s="38">
        <v>10132819</v>
      </c>
      <c r="L323" s="194" t="s">
        <v>8</v>
      </c>
      <c r="M323" s="194" t="s">
        <v>47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>x</v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50"/>
      <c r="AB323" s="211"/>
    </row>
    <row r="324" spans="1:28" ht="15.75" customHeight="1">
      <c r="A324" s="204" t="str">
        <f>IF(B324&lt;&gt;"",IF(AND(B324&gt;=_TM1,B324&lt;=_TM2,OR(TH!L324="1111",TH!M324="1111")),TH!D324,""),"")</f>
        <v/>
      </c>
      <c r="B324" s="36">
        <f t="shared" si="34"/>
        <v>1</v>
      </c>
      <c r="C324" s="191">
        <f t="shared" si="31"/>
        <v>41285</v>
      </c>
      <c r="D324" s="184" t="s">
        <v>413</v>
      </c>
      <c r="E324" s="191">
        <v>41285</v>
      </c>
      <c r="F324" s="192" t="s">
        <v>606</v>
      </c>
      <c r="G324" s="487" t="s">
        <v>607</v>
      </c>
      <c r="H324" s="193" t="s">
        <v>585</v>
      </c>
      <c r="I324" s="258">
        <v>140</v>
      </c>
      <c r="J324" s="258">
        <v>38966</v>
      </c>
      <c r="K324" s="38">
        <f>ROUND(I324*J324,0)</f>
        <v>5455240</v>
      </c>
      <c r="L324" s="194" t="s">
        <v>159</v>
      </c>
      <c r="M324" s="194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50"/>
      <c r="AB324" s="211"/>
    </row>
    <row r="325" spans="1:28" ht="15.75" customHeight="1">
      <c r="A325" s="204" t="str">
        <f>IF(B325&lt;&gt;"",IF(AND(B325&gt;=_TM1,B325&lt;=_TM2,OR(TH!L325="1111",TH!M325="1111")),TH!D325,""),"")</f>
        <v/>
      </c>
      <c r="B325" s="36">
        <f t="shared" si="34"/>
        <v>1</v>
      </c>
      <c r="C325" s="191">
        <f t="shared" si="31"/>
        <v>41285</v>
      </c>
      <c r="D325" s="184" t="s">
        <v>413</v>
      </c>
      <c r="E325" s="191">
        <v>41285</v>
      </c>
      <c r="F325" s="192" t="s">
        <v>591</v>
      </c>
      <c r="G325" s="487" t="s">
        <v>607</v>
      </c>
      <c r="H325" s="193" t="s">
        <v>585</v>
      </c>
      <c r="I325" s="258">
        <v>167</v>
      </c>
      <c r="J325" s="258">
        <v>29568</v>
      </c>
      <c r="K325" s="38">
        <f>ROUND(I325*J325,0)</f>
        <v>4937856</v>
      </c>
      <c r="L325" s="194" t="s">
        <v>159</v>
      </c>
      <c r="M325" s="194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50"/>
      <c r="AB325" s="594"/>
    </row>
    <row r="326" spans="1:28" ht="15.75" customHeight="1">
      <c r="A326" s="204" t="str">
        <f>IF(B326&lt;&gt;"",IF(AND(B326&gt;=_TM1,B326&lt;=_TM2,OR(TH!L326="1111",TH!M326="1111")),TH!D326,""),"")</f>
        <v/>
      </c>
      <c r="B326" s="36">
        <f t="shared" si="34"/>
        <v>1</v>
      </c>
      <c r="C326" s="191">
        <f t="shared" si="31"/>
        <v>41285</v>
      </c>
      <c r="D326" s="184" t="s">
        <v>413</v>
      </c>
      <c r="E326" s="191">
        <v>41285</v>
      </c>
      <c r="F326" s="192" t="s">
        <v>588</v>
      </c>
      <c r="G326" s="487" t="s">
        <v>607</v>
      </c>
      <c r="H326" s="193" t="s">
        <v>585</v>
      </c>
      <c r="I326" s="256"/>
      <c r="J326" s="256"/>
      <c r="K326" s="38">
        <v>1039310</v>
      </c>
      <c r="L326" s="194" t="s">
        <v>9</v>
      </c>
      <c r="M326" s="194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50"/>
      <c r="AB326" s="594">
        <v>1</v>
      </c>
    </row>
    <row r="327" spans="1:28" ht="15.75" customHeight="1">
      <c r="A327" s="204" t="str">
        <f>IF(B327&lt;&gt;"",IF(AND(B327&gt;=_TM1,B327&lt;=_TM2,OR(TH!L327="1111",TH!M327="1111")),TH!D327,""),"")</f>
        <v/>
      </c>
      <c r="B327" s="36">
        <f t="shared" si="34"/>
        <v>1</v>
      </c>
      <c r="C327" s="191">
        <f t="shared" ref="C327" si="39">E327</f>
        <v>41285</v>
      </c>
      <c r="D327" s="184" t="s">
        <v>413</v>
      </c>
      <c r="E327" s="191">
        <v>41285</v>
      </c>
      <c r="F327" s="192" t="s">
        <v>371</v>
      </c>
      <c r="G327" s="487" t="s">
        <v>607</v>
      </c>
      <c r="H327" s="193" t="s">
        <v>585</v>
      </c>
      <c r="I327" s="256"/>
      <c r="J327" s="256"/>
      <c r="K327" s="38">
        <v>11432406</v>
      </c>
      <c r="L327" s="194" t="s">
        <v>8</v>
      </c>
      <c r="M327" s="194" t="s">
        <v>47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>x</v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50"/>
      <c r="AB327" s="211"/>
    </row>
    <row r="328" spans="1:28" ht="15.75" customHeight="1">
      <c r="A328" s="204" t="str">
        <f>IF(B328&lt;&gt;"",IF(AND(B328&gt;=_TM1,B328&lt;=_TM2,OR(TH!L328="1111",TH!M328="1111")),TH!D328,""),"")</f>
        <v/>
      </c>
      <c r="B328" s="36">
        <f t="shared" si="34"/>
        <v>1</v>
      </c>
      <c r="C328" s="191">
        <f t="shared" si="31"/>
        <v>41286</v>
      </c>
      <c r="D328" s="184" t="s">
        <v>414</v>
      </c>
      <c r="E328" s="191">
        <v>41286</v>
      </c>
      <c r="F328" s="192" t="s">
        <v>608</v>
      </c>
      <c r="G328" s="664" t="s">
        <v>609</v>
      </c>
      <c r="H328" s="193" t="s">
        <v>585</v>
      </c>
      <c r="I328" s="256">
        <v>275</v>
      </c>
      <c r="J328" s="256">
        <v>19270</v>
      </c>
      <c r="K328" s="38">
        <f>ROUND(I328*J328,0)</f>
        <v>5299250</v>
      </c>
      <c r="L328" s="194" t="s">
        <v>159</v>
      </c>
      <c r="M328" s="194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50"/>
      <c r="AB328" s="594"/>
    </row>
    <row r="329" spans="1:28" ht="15.75" customHeight="1">
      <c r="A329" s="204" t="str">
        <f>IF(B329&lt;&gt;"",IF(AND(B329&gt;=_TM1,B329&lt;=_TM2,OR(TH!L329="1111",TH!M329="1111")),TH!D329,""),"")</f>
        <v/>
      </c>
      <c r="B329" s="36">
        <f t="shared" si="34"/>
        <v>1</v>
      </c>
      <c r="C329" s="191">
        <f t="shared" ref="C329:C408" si="40">E329</f>
        <v>41286</v>
      </c>
      <c r="D329" s="184" t="s">
        <v>414</v>
      </c>
      <c r="E329" s="191">
        <v>41286</v>
      </c>
      <c r="F329" s="192" t="s">
        <v>610</v>
      </c>
      <c r="G329" s="664" t="s">
        <v>609</v>
      </c>
      <c r="H329" s="193" t="s">
        <v>585</v>
      </c>
      <c r="I329" s="256">
        <v>259</v>
      </c>
      <c r="J329" s="256">
        <v>17473</v>
      </c>
      <c r="K329" s="38">
        <f>ROUND(I329*J329,0)</f>
        <v>4525507</v>
      </c>
      <c r="L329" s="194" t="s">
        <v>159</v>
      </c>
      <c r="M329" s="194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50"/>
      <c r="AB329" s="594"/>
    </row>
    <row r="330" spans="1:28" ht="15.75" customHeight="1">
      <c r="A330" s="204" t="str">
        <f>IF(B330&lt;&gt;"",IF(AND(B330&gt;=_TM1,B330&lt;=_TM2,OR(TH!L330="1111",TH!M330="1111")),TH!D330,""),"")</f>
        <v/>
      </c>
      <c r="B330" s="36">
        <f t="shared" si="34"/>
        <v>1</v>
      </c>
      <c r="C330" s="191">
        <f t="shared" si="40"/>
        <v>41286</v>
      </c>
      <c r="D330" s="184" t="s">
        <v>414</v>
      </c>
      <c r="E330" s="191">
        <v>41286</v>
      </c>
      <c r="F330" s="192" t="s">
        <v>611</v>
      </c>
      <c r="G330" s="664" t="s">
        <v>609</v>
      </c>
      <c r="H330" s="193" t="s">
        <v>585</v>
      </c>
      <c r="I330" s="256">
        <v>302</v>
      </c>
      <c r="J330" s="256">
        <v>8461</v>
      </c>
      <c r="K330" s="38">
        <f>ROUND(I330*J330,0)</f>
        <v>2555222</v>
      </c>
      <c r="L330" s="194" t="s">
        <v>159</v>
      </c>
      <c r="M330" s="194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50"/>
      <c r="AB330" s="211"/>
    </row>
    <row r="331" spans="1:28" ht="15.75" customHeight="1">
      <c r="A331" s="204" t="str">
        <f>IF(B331&lt;&gt;"",IF(AND(B331&gt;=_TM1,B331&lt;=_TM2,OR(TH!L331="1111",TH!M331="1111")),TH!D331,""),"")</f>
        <v/>
      </c>
      <c r="B331" s="36">
        <f t="shared" si="34"/>
        <v>1</v>
      </c>
      <c r="C331" s="191">
        <f t="shared" si="40"/>
        <v>41286</v>
      </c>
      <c r="D331" s="184" t="s">
        <v>414</v>
      </c>
      <c r="E331" s="191">
        <v>41286</v>
      </c>
      <c r="F331" s="192" t="s">
        <v>588</v>
      </c>
      <c r="G331" s="664" t="s">
        <v>609</v>
      </c>
      <c r="H331" s="193" t="s">
        <v>585</v>
      </c>
      <c r="I331" s="256"/>
      <c r="J331" s="256"/>
      <c r="K331" s="38">
        <v>1237998</v>
      </c>
      <c r="L331" s="194" t="s">
        <v>9</v>
      </c>
      <c r="M331" s="194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50"/>
      <c r="AB331" s="594">
        <v>1</v>
      </c>
    </row>
    <row r="332" spans="1:28" ht="15.75" customHeight="1">
      <c r="A332" s="204" t="str">
        <f>IF(B332&lt;&gt;"",IF(AND(B332&gt;=_TM1,B332&lt;=_TM2,OR(TH!L332="1111",TH!M332="1111")),TH!D332,""),"")</f>
        <v/>
      </c>
      <c r="B332" s="36">
        <f t="shared" si="34"/>
        <v>1</v>
      </c>
      <c r="C332" s="191">
        <f t="shared" ref="C332" si="41">E332</f>
        <v>41286</v>
      </c>
      <c r="D332" s="184" t="s">
        <v>414</v>
      </c>
      <c r="E332" s="191">
        <v>41286</v>
      </c>
      <c r="F332" s="192" t="s">
        <v>371</v>
      </c>
      <c r="G332" s="664" t="s">
        <v>609</v>
      </c>
      <c r="H332" s="193" t="s">
        <v>585</v>
      </c>
      <c r="I332" s="256"/>
      <c r="J332" s="256"/>
      <c r="K332" s="38">
        <v>13617977</v>
      </c>
      <c r="L332" s="194" t="s">
        <v>8</v>
      </c>
      <c r="M332" s="194" t="s">
        <v>47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>x</v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50"/>
      <c r="AB332" s="211"/>
    </row>
    <row r="333" spans="1:28" ht="15.75" customHeight="1">
      <c r="A333" s="204" t="str">
        <f>IF(B333&lt;&gt;"",IF(AND(B333&gt;=_TM1,B333&lt;=_TM2,OR(TH!L333="1111",TH!M333="1111")),TH!D333,""),"")</f>
        <v/>
      </c>
      <c r="B333" s="36">
        <f t="shared" si="34"/>
        <v>1</v>
      </c>
      <c r="C333" s="191">
        <f t="shared" si="40"/>
        <v>41290</v>
      </c>
      <c r="D333" s="184" t="s">
        <v>415</v>
      </c>
      <c r="E333" s="795">
        <v>41290</v>
      </c>
      <c r="F333" s="192" t="s">
        <v>612</v>
      </c>
      <c r="G333" s="487" t="s">
        <v>613</v>
      </c>
      <c r="H333" s="193" t="s">
        <v>585</v>
      </c>
      <c r="I333" s="256">
        <v>130</v>
      </c>
      <c r="J333" s="256">
        <v>7274</v>
      </c>
      <c r="K333" s="38">
        <f t="shared" ref="K333:K339" si="42">ROUND(I333*J333,0)</f>
        <v>945620</v>
      </c>
      <c r="L333" s="194" t="s">
        <v>159</v>
      </c>
      <c r="M333" s="194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50"/>
      <c r="AB333" s="211"/>
    </row>
    <row r="334" spans="1:28" ht="15.75" customHeight="1">
      <c r="A334" s="204" t="str">
        <f>IF(B334&lt;&gt;"",IF(AND(B334&gt;=_TM1,B334&lt;=_TM2,OR(TH!L334="1111",TH!M334="1111")),TH!D334,""),"")</f>
        <v/>
      </c>
      <c r="B334" s="36">
        <f t="shared" si="34"/>
        <v>1</v>
      </c>
      <c r="C334" s="191">
        <f t="shared" si="40"/>
        <v>41290</v>
      </c>
      <c r="D334" s="184" t="s">
        <v>415</v>
      </c>
      <c r="E334" s="795">
        <v>41290</v>
      </c>
      <c r="F334" s="192" t="s">
        <v>614</v>
      </c>
      <c r="G334" s="487" t="s">
        <v>613</v>
      </c>
      <c r="H334" s="193" t="s">
        <v>585</v>
      </c>
      <c r="I334" s="256">
        <v>106</v>
      </c>
      <c r="J334" s="256">
        <v>10886</v>
      </c>
      <c r="K334" s="38">
        <f t="shared" si="42"/>
        <v>1153916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50"/>
      <c r="AB334" s="211"/>
    </row>
    <row r="335" spans="1:28" ht="15.75" customHeight="1">
      <c r="A335" s="204" t="str">
        <f>IF(B335&lt;&gt;"",IF(AND(B335&gt;=_TM1,B335&lt;=_TM2,OR(TH!L335="1111",TH!M335="1111")),TH!D335,""),"")</f>
        <v/>
      </c>
      <c r="B335" s="36">
        <f t="shared" si="34"/>
        <v>1</v>
      </c>
      <c r="C335" s="191">
        <f t="shared" si="40"/>
        <v>41290</v>
      </c>
      <c r="D335" s="184" t="s">
        <v>415</v>
      </c>
      <c r="E335" s="795">
        <v>41290</v>
      </c>
      <c r="F335" s="192" t="s">
        <v>615</v>
      </c>
      <c r="G335" s="487" t="s">
        <v>613</v>
      </c>
      <c r="H335" s="193" t="s">
        <v>585</v>
      </c>
      <c r="I335" s="257">
        <v>101</v>
      </c>
      <c r="J335" s="257">
        <v>9324</v>
      </c>
      <c r="K335" s="38">
        <f t="shared" si="42"/>
        <v>941724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50"/>
      <c r="AB335" s="211"/>
    </row>
    <row r="336" spans="1:28" ht="15.75" customHeight="1">
      <c r="A336" s="204" t="str">
        <f>IF(B336&lt;&gt;"",IF(AND(B336&gt;=_TM1,B336&lt;=_TM2,OR(TH!L336="1111",TH!M336="1111")),TH!D336,""),"")</f>
        <v/>
      </c>
      <c r="B336" s="36">
        <f t="shared" si="34"/>
        <v>1</v>
      </c>
      <c r="C336" s="191">
        <f t="shared" si="40"/>
        <v>41290</v>
      </c>
      <c r="D336" s="184" t="s">
        <v>415</v>
      </c>
      <c r="E336" s="795">
        <v>41290</v>
      </c>
      <c r="F336" s="192" t="s">
        <v>616</v>
      </c>
      <c r="G336" s="487" t="s">
        <v>613</v>
      </c>
      <c r="H336" s="193" t="s">
        <v>585</v>
      </c>
      <c r="I336" s="256">
        <v>106</v>
      </c>
      <c r="J336" s="256">
        <v>12528</v>
      </c>
      <c r="K336" s="38">
        <f t="shared" si="42"/>
        <v>1327968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50"/>
      <c r="AB336" s="594"/>
    </row>
    <row r="337" spans="1:30" ht="15.75" customHeight="1">
      <c r="A337" s="204" t="str">
        <f>IF(B337&lt;&gt;"",IF(AND(B337&gt;=_TM1,B337&lt;=_TM2,OR(TH!L337="1111",TH!M337="1111")),TH!D337,""),"")</f>
        <v/>
      </c>
      <c r="B337" s="36">
        <f t="shared" si="34"/>
        <v>1</v>
      </c>
      <c r="C337" s="191">
        <f t="shared" si="40"/>
        <v>41290</v>
      </c>
      <c r="D337" s="184" t="s">
        <v>415</v>
      </c>
      <c r="E337" s="795">
        <v>41290</v>
      </c>
      <c r="F337" s="192" t="s">
        <v>617</v>
      </c>
      <c r="G337" s="487" t="s">
        <v>613</v>
      </c>
      <c r="H337" s="193" t="s">
        <v>585</v>
      </c>
      <c r="I337" s="256">
        <v>149</v>
      </c>
      <c r="J337" s="256">
        <v>12010</v>
      </c>
      <c r="K337" s="38">
        <f t="shared" si="42"/>
        <v>1789490</v>
      </c>
      <c r="L337" s="194" t="s">
        <v>159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50"/>
      <c r="AB337" s="211"/>
    </row>
    <row r="338" spans="1:30" ht="15.75" customHeight="1">
      <c r="A338" s="204" t="str">
        <f>IF(B338&lt;&gt;"",IF(AND(B338&gt;=_TM1,B338&lt;=_TM2,OR(TH!L338="1111",TH!M338="1111")),TH!D338,""),"")</f>
        <v/>
      </c>
      <c r="B338" s="36">
        <f t="shared" si="34"/>
        <v>1</v>
      </c>
      <c r="C338" s="191">
        <f t="shared" si="40"/>
        <v>41290</v>
      </c>
      <c r="D338" s="184" t="s">
        <v>415</v>
      </c>
      <c r="E338" s="795">
        <v>41290</v>
      </c>
      <c r="F338" s="192" t="s">
        <v>618</v>
      </c>
      <c r="G338" s="487" t="s">
        <v>613</v>
      </c>
      <c r="H338" s="193" t="s">
        <v>585</v>
      </c>
      <c r="I338" s="256">
        <v>101</v>
      </c>
      <c r="J338" s="256">
        <v>22982</v>
      </c>
      <c r="K338" s="38">
        <f t="shared" si="42"/>
        <v>2321182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50"/>
      <c r="AB338" s="594"/>
    </row>
    <row r="339" spans="1:30" ht="15.75" customHeight="1">
      <c r="A339" s="204" t="str">
        <f>IF(B339&lt;&gt;"",IF(AND(B339&gt;=_TM1,B339&lt;=_TM2,OR(TH!L339="1111",TH!M339="1111")),TH!D339,""),"")</f>
        <v/>
      </c>
      <c r="B339" s="36">
        <f t="shared" si="34"/>
        <v>1</v>
      </c>
      <c r="C339" s="191">
        <f t="shared" si="40"/>
        <v>41290</v>
      </c>
      <c r="D339" s="184" t="s">
        <v>415</v>
      </c>
      <c r="E339" s="795">
        <v>41290</v>
      </c>
      <c r="F339" s="192" t="s">
        <v>619</v>
      </c>
      <c r="G339" s="487" t="s">
        <v>613</v>
      </c>
      <c r="H339" s="193" t="s">
        <v>585</v>
      </c>
      <c r="I339" s="256">
        <v>203</v>
      </c>
      <c r="J339" s="256">
        <v>22277</v>
      </c>
      <c r="K339" s="38">
        <f t="shared" si="42"/>
        <v>4522231</v>
      </c>
      <c r="L339" s="194" t="s">
        <v>159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50"/>
      <c r="AB339" s="211"/>
    </row>
    <row r="340" spans="1:30" ht="15.75" customHeight="1">
      <c r="A340" s="204" t="str">
        <f>IF(B340&lt;&gt;"",IF(AND(B340&gt;=_TM1,B340&lt;=_TM2,OR(TH!L340="1111",TH!M340="1111")),TH!D340,""),"")</f>
        <v/>
      </c>
      <c r="B340" s="36">
        <f t="shared" si="34"/>
        <v>1</v>
      </c>
      <c r="C340" s="191">
        <f t="shared" si="40"/>
        <v>41290</v>
      </c>
      <c r="D340" s="184" t="s">
        <v>415</v>
      </c>
      <c r="E340" s="795">
        <v>41290</v>
      </c>
      <c r="F340" s="192" t="s">
        <v>588</v>
      </c>
      <c r="G340" s="487" t="s">
        <v>613</v>
      </c>
      <c r="H340" s="193" t="s">
        <v>585</v>
      </c>
      <c r="I340" s="256"/>
      <c r="J340" s="256"/>
      <c r="K340" s="38">
        <v>1300213</v>
      </c>
      <c r="L340" s="194" t="s">
        <v>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50"/>
      <c r="AB340" s="211">
        <v>1</v>
      </c>
    </row>
    <row r="341" spans="1:30" ht="15.75" customHeight="1">
      <c r="A341" s="204" t="str">
        <f>IF(B341&lt;&gt;"",IF(AND(B341&gt;=_TM1,B341&lt;=_TM2,OR(TH!L341="1111",TH!M341="1111")),TH!D341,""),"")</f>
        <v/>
      </c>
      <c r="B341" s="36">
        <f t="shared" si="34"/>
        <v>1</v>
      </c>
      <c r="C341" s="191">
        <f t="shared" ref="C341" si="43">E341</f>
        <v>41290</v>
      </c>
      <c r="D341" s="184" t="s">
        <v>415</v>
      </c>
      <c r="E341" s="795">
        <v>41290</v>
      </c>
      <c r="F341" s="192" t="s">
        <v>371</v>
      </c>
      <c r="G341" s="487" t="s">
        <v>613</v>
      </c>
      <c r="H341" s="193" t="s">
        <v>585</v>
      </c>
      <c r="I341" s="256"/>
      <c r="J341" s="256"/>
      <c r="K341" s="38">
        <v>14302344</v>
      </c>
      <c r="L341" s="194" t="s">
        <v>8</v>
      </c>
      <c r="M341" s="194" t="s">
        <v>47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>x</v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50"/>
      <c r="AB341" s="211"/>
    </row>
    <row r="342" spans="1:30" s="211" customFormat="1" ht="15.75" customHeight="1">
      <c r="A342" s="204" t="str">
        <f>IF(B342&lt;&gt;"",IF(AND(B342&gt;=_TM1,B342&lt;=_TM2,OR(TH!L342="1111",TH!M342="1111")),TH!D342,""),"")</f>
        <v/>
      </c>
      <c r="B342" s="36">
        <f t="shared" si="34"/>
        <v>1</v>
      </c>
      <c r="C342" s="191">
        <f t="shared" si="40"/>
        <v>41291</v>
      </c>
      <c r="D342" s="184" t="s">
        <v>416</v>
      </c>
      <c r="E342" s="795">
        <v>41291</v>
      </c>
      <c r="F342" s="192" t="s">
        <v>620</v>
      </c>
      <c r="G342" s="487" t="s">
        <v>621</v>
      </c>
      <c r="H342" s="193" t="s">
        <v>585</v>
      </c>
      <c r="I342" s="256">
        <v>114</v>
      </c>
      <c r="J342" s="256">
        <v>21888</v>
      </c>
      <c r="K342" s="38">
        <f>ROUND(I342*J342,0)</f>
        <v>2495232</v>
      </c>
      <c r="L342" s="194" t="s">
        <v>159</v>
      </c>
      <c r="M342" s="194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50"/>
      <c r="AC342" s="198"/>
      <c r="AD342" s="198"/>
    </row>
    <row r="343" spans="1:30" s="211" customFormat="1" ht="15.75" customHeight="1">
      <c r="A343" s="204" t="str">
        <f>IF(B343&lt;&gt;"",IF(AND(B343&gt;=_TM1,B343&lt;=_TM2,OR(TH!L343="1111",TH!M343="1111")),TH!D343,""),"")</f>
        <v/>
      </c>
      <c r="B343" s="36">
        <f t="shared" si="34"/>
        <v>1</v>
      </c>
      <c r="C343" s="191">
        <f t="shared" si="40"/>
        <v>41291</v>
      </c>
      <c r="D343" s="184" t="s">
        <v>416</v>
      </c>
      <c r="E343" s="795">
        <v>41291</v>
      </c>
      <c r="F343" s="192" t="s">
        <v>622</v>
      </c>
      <c r="G343" s="487" t="s">
        <v>621</v>
      </c>
      <c r="H343" s="193" t="s">
        <v>585</v>
      </c>
      <c r="I343" s="256">
        <v>142</v>
      </c>
      <c r="J343" s="256">
        <v>18617</v>
      </c>
      <c r="K343" s="38">
        <f>ROUND(I343*J343,0)</f>
        <v>2643614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50"/>
      <c r="AC343" s="198"/>
      <c r="AD343" s="198"/>
    </row>
    <row r="344" spans="1:30" s="211" customFormat="1" ht="15.75" customHeight="1">
      <c r="A344" s="204" t="str">
        <f>IF(B344&lt;&gt;"",IF(AND(B344&gt;=_TM1,B344&lt;=_TM2,OR(TH!L344="1111",TH!M344="1111")),TH!D344,""),"")</f>
        <v/>
      </c>
      <c r="B344" s="36">
        <f t="shared" si="34"/>
        <v>1</v>
      </c>
      <c r="C344" s="191">
        <f t="shared" si="40"/>
        <v>41291</v>
      </c>
      <c r="D344" s="184" t="s">
        <v>416</v>
      </c>
      <c r="E344" s="795">
        <v>41291</v>
      </c>
      <c r="F344" s="192" t="s">
        <v>623</v>
      </c>
      <c r="G344" s="487" t="s">
        <v>621</v>
      </c>
      <c r="H344" s="193" t="s">
        <v>585</v>
      </c>
      <c r="I344" s="256">
        <v>497</v>
      </c>
      <c r="J344" s="256">
        <v>11416</v>
      </c>
      <c r="K344" s="38">
        <f>ROUND(I344*J344,0)</f>
        <v>5673752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50"/>
      <c r="AB344" s="594"/>
      <c r="AC344" s="198"/>
      <c r="AD344" s="198"/>
    </row>
    <row r="345" spans="1:30" s="21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4"/>
        <v>1</v>
      </c>
      <c r="C345" s="191">
        <f t="shared" si="40"/>
        <v>41291</v>
      </c>
      <c r="D345" s="184" t="s">
        <v>416</v>
      </c>
      <c r="E345" s="795">
        <v>41291</v>
      </c>
      <c r="F345" s="192" t="s">
        <v>624</v>
      </c>
      <c r="G345" s="487" t="s">
        <v>621</v>
      </c>
      <c r="H345" s="193" t="s">
        <v>585</v>
      </c>
      <c r="I345" s="256">
        <v>50</v>
      </c>
      <c r="J345" s="256">
        <v>15713</v>
      </c>
      <c r="K345" s="38">
        <f>ROUND(I345*J345,0)</f>
        <v>785650</v>
      </c>
      <c r="L345" s="194" t="s">
        <v>159</v>
      </c>
      <c r="M345" s="194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50"/>
      <c r="AC345" s="198"/>
      <c r="AD345" s="198"/>
    </row>
    <row r="346" spans="1:30" ht="15.75" customHeight="1">
      <c r="A346" s="204" t="str">
        <f>IF(B346&lt;&gt;"",IF(AND(B346&gt;=_TM1,B346&lt;=_TM2,OR(TH!L346="1111",TH!M346="1111")),TH!D346,""),"")</f>
        <v/>
      </c>
      <c r="B346" s="36">
        <f t="shared" si="34"/>
        <v>1</v>
      </c>
      <c r="C346" s="191">
        <f t="shared" si="40"/>
        <v>41291</v>
      </c>
      <c r="D346" s="184" t="s">
        <v>416</v>
      </c>
      <c r="E346" s="795">
        <v>41291</v>
      </c>
      <c r="F346" s="192" t="s">
        <v>588</v>
      </c>
      <c r="G346" s="487" t="s">
        <v>621</v>
      </c>
      <c r="H346" s="193" t="s">
        <v>585</v>
      </c>
      <c r="I346" s="256"/>
      <c r="J346" s="256"/>
      <c r="K346" s="38">
        <v>1159824</v>
      </c>
      <c r="L346" s="194" t="s">
        <v>9</v>
      </c>
      <c r="M346" s="194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50"/>
      <c r="AB346" s="211">
        <v>1</v>
      </c>
    </row>
    <row r="347" spans="1:30" ht="15.75" customHeight="1">
      <c r="A347" s="204" t="str">
        <f>IF(B347&lt;&gt;"",IF(AND(B347&gt;=_TM1,B347&lt;=_TM2,OR(TH!L347="1111",TH!M347="1111")),TH!D347,""),"")</f>
        <v/>
      </c>
      <c r="B347" s="36">
        <f t="shared" si="34"/>
        <v>1</v>
      </c>
      <c r="C347" s="191">
        <f t="shared" ref="C347" si="44">E347</f>
        <v>41291</v>
      </c>
      <c r="D347" s="184" t="s">
        <v>416</v>
      </c>
      <c r="E347" s="795">
        <v>41291</v>
      </c>
      <c r="F347" s="192" t="s">
        <v>371</v>
      </c>
      <c r="G347" s="487" t="s">
        <v>621</v>
      </c>
      <c r="H347" s="193" t="s">
        <v>585</v>
      </c>
      <c r="I347" s="256"/>
      <c r="J347" s="256"/>
      <c r="K347" s="38">
        <v>12758072</v>
      </c>
      <c r="L347" s="194" t="s">
        <v>8</v>
      </c>
      <c r="M347" s="194" t="s">
        <v>47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50"/>
      <c r="AB347" s="211"/>
    </row>
    <row r="348" spans="1:30" ht="15.75" customHeight="1">
      <c r="A348" s="204" t="str">
        <f>IF(B348&lt;&gt;"",IF(AND(B348&gt;=_TM1,B348&lt;=_TM2,OR(TH!L348="1111",TH!M348="1111")),TH!D348,""),"")</f>
        <v/>
      </c>
      <c r="B348" s="36">
        <f t="shared" si="34"/>
        <v>1</v>
      </c>
      <c r="C348" s="191">
        <f t="shared" si="40"/>
        <v>41292</v>
      </c>
      <c r="D348" s="184" t="s">
        <v>417</v>
      </c>
      <c r="E348" s="795">
        <v>41292</v>
      </c>
      <c r="F348" s="192" t="s">
        <v>625</v>
      </c>
      <c r="G348" s="487" t="s">
        <v>626</v>
      </c>
      <c r="H348" s="193" t="s">
        <v>585</v>
      </c>
      <c r="I348" s="256">
        <v>251</v>
      </c>
      <c r="J348" s="256">
        <v>19514</v>
      </c>
      <c r="K348" s="38">
        <f>ROUND(I348*J348,0)</f>
        <v>4898014</v>
      </c>
      <c r="L348" s="194" t="s">
        <v>159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50"/>
      <c r="AB348" s="594"/>
    </row>
    <row r="349" spans="1:30" ht="15.75" customHeight="1">
      <c r="A349" s="204" t="str">
        <f>IF(B349&lt;&gt;"",IF(AND(B349&gt;=_TM1,B349&lt;=_TM2,OR(TH!L349="1111",TH!M349="1111")),TH!D349,""),"")</f>
        <v/>
      </c>
      <c r="B349" s="36">
        <f t="shared" si="34"/>
        <v>1</v>
      </c>
      <c r="C349" s="191">
        <f t="shared" si="40"/>
        <v>41292</v>
      </c>
      <c r="D349" s="184" t="s">
        <v>417</v>
      </c>
      <c r="E349" s="795">
        <v>41292</v>
      </c>
      <c r="F349" s="192" t="s">
        <v>627</v>
      </c>
      <c r="G349" s="487" t="s">
        <v>626</v>
      </c>
      <c r="H349" s="193" t="s">
        <v>585</v>
      </c>
      <c r="I349" s="256">
        <v>250</v>
      </c>
      <c r="J349" s="256">
        <v>31288</v>
      </c>
      <c r="K349" s="38">
        <f>ROUND(I349*J349,0)</f>
        <v>7822000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50"/>
      <c r="AB349" s="594"/>
    </row>
    <row r="350" spans="1:30" ht="15.75" customHeight="1">
      <c r="A350" s="204" t="str">
        <f>IF(B350&lt;&gt;"",IF(AND(B350&gt;=_TM1,B350&lt;=_TM2,OR(TH!L350="1111",TH!M350="1111")),TH!D350,""),"")</f>
        <v/>
      </c>
      <c r="B350" s="36">
        <f t="shared" si="34"/>
        <v>1</v>
      </c>
      <c r="C350" s="191">
        <f t="shared" si="40"/>
        <v>41292</v>
      </c>
      <c r="D350" s="184" t="s">
        <v>417</v>
      </c>
      <c r="E350" s="795">
        <v>41292</v>
      </c>
      <c r="F350" s="192" t="s">
        <v>588</v>
      </c>
      <c r="G350" s="487" t="s">
        <v>626</v>
      </c>
      <c r="H350" s="193" t="s">
        <v>585</v>
      </c>
      <c r="I350" s="256"/>
      <c r="J350" s="256"/>
      <c r="K350" s="38">
        <v>1272001</v>
      </c>
      <c r="L350" s="194" t="s">
        <v>9</v>
      </c>
      <c r="M350" s="194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50"/>
      <c r="AB350" s="594">
        <v>1</v>
      </c>
    </row>
    <row r="351" spans="1:30" ht="15.75" customHeight="1">
      <c r="A351" s="204" t="str">
        <f>IF(B351&lt;&gt;"",IF(AND(B351&gt;=_TM1,B351&lt;=_TM2,OR(TH!L351="1111",TH!M351="1111")),TH!D351,""),"")</f>
        <v/>
      </c>
      <c r="B351" s="36">
        <f t="shared" si="34"/>
        <v>1</v>
      </c>
      <c r="C351" s="191">
        <f t="shared" ref="C351" si="45">E351</f>
        <v>41292</v>
      </c>
      <c r="D351" s="184" t="s">
        <v>417</v>
      </c>
      <c r="E351" s="795">
        <v>41292</v>
      </c>
      <c r="F351" s="192" t="s">
        <v>371</v>
      </c>
      <c r="G351" s="487" t="s">
        <v>626</v>
      </c>
      <c r="H351" s="193" t="s">
        <v>585</v>
      </c>
      <c r="I351" s="256"/>
      <c r="J351" s="256"/>
      <c r="K351" s="38">
        <v>13992015</v>
      </c>
      <c r="L351" s="194" t="s">
        <v>8</v>
      </c>
      <c r="M351" s="194" t="s">
        <v>47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50"/>
      <c r="AB351" s="211"/>
    </row>
    <row r="352" spans="1:30" ht="15.75" customHeight="1">
      <c r="A352" s="204" t="str">
        <f>IF(B352&lt;&gt;"",IF(AND(B352&gt;=_TM1,B352&lt;=_TM2,OR(TH!L352="1111",TH!M352="1111")),TH!D352,""),"")</f>
        <v/>
      </c>
      <c r="B352" s="36">
        <f t="shared" si="34"/>
        <v>1</v>
      </c>
      <c r="C352" s="191">
        <f t="shared" si="40"/>
        <v>41295</v>
      </c>
      <c r="D352" s="184" t="s">
        <v>418</v>
      </c>
      <c r="E352" s="184">
        <v>41295</v>
      </c>
      <c r="F352" s="192" t="s">
        <v>628</v>
      </c>
      <c r="G352" s="487" t="s">
        <v>629</v>
      </c>
      <c r="H352" s="193" t="s">
        <v>585</v>
      </c>
      <c r="I352" s="256">
        <v>685</v>
      </c>
      <c r="J352" s="256">
        <v>8385</v>
      </c>
      <c r="K352" s="38">
        <f>ROUND(I352*J352,0)</f>
        <v>5743725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50"/>
      <c r="AB352" s="594"/>
    </row>
    <row r="353" spans="1:30" ht="15.75" customHeight="1">
      <c r="A353" s="204" t="str">
        <f>IF(B353&lt;&gt;"",IF(AND(B353&gt;=_TM1,B353&lt;=_TM2,OR(TH!L353="1111",TH!M353="1111")),TH!D353,""),"")</f>
        <v/>
      </c>
      <c r="B353" s="36">
        <f t="shared" si="34"/>
        <v>1</v>
      </c>
      <c r="C353" s="191">
        <f t="shared" si="40"/>
        <v>41295</v>
      </c>
      <c r="D353" s="184" t="s">
        <v>418</v>
      </c>
      <c r="E353" s="184">
        <v>41295</v>
      </c>
      <c r="F353" s="192" t="s">
        <v>630</v>
      </c>
      <c r="G353" s="487" t="s">
        <v>629</v>
      </c>
      <c r="H353" s="193" t="s">
        <v>585</v>
      </c>
      <c r="I353" s="256">
        <v>241</v>
      </c>
      <c r="J353" s="256">
        <v>14784</v>
      </c>
      <c r="K353" s="38">
        <f>ROUND(I353*J353,0)</f>
        <v>3562944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50"/>
      <c r="AB353" s="594"/>
    </row>
    <row r="354" spans="1:30" ht="15.75" customHeight="1">
      <c r="A354" s="204" t="str">
        <f>IF(B354&lt;&gt;"",IF(AND(B354&gt;=_TM1,B354&lt;=_TM2,OR(TH!L354="1111",TH!M354="1111")),TH!D354,""),"")</f>
        <v/>
      </c>
      <c r="B354" s="36">
        <f t="shared" si="34"/>
        <v>1</v>
      </c>
      <c r="C354" s="191">
        <f t="shared" si="40"/>
        <v>41295</v>
      </c>
      <c r="D354" s="184" t="s">
        <v>418</v>
      </c>
      <c r="E354" s="184">
        <v>41295</v>
      </c>
      <c r="F354" s="192" t="s">
        <v>588</v>
      </c>
      <c r="G354" s="487" t="s">
        <v>629</v>
      </c>
      <c r="H354" s="193" t="s">
        <v>585</v>
      </c>
      <c r="I354" s="256"/>
      <c r="J354" s="256"/>
      <c r="K354" s="38">
        <v>930667</v>
      </c>
      <c r="L354" s="194" t="s">
        <v>9</v>
      </c>
      <c r="M354" s="19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50"/>
      <c r="AB354" s="211">
        <v>1</v>
      </c>
    </row>
    <row r="355" spans="1:30" ht="15.75" customHeight="1">
      <c r="A355" s="204" t="str">
        <f>IF(B355&lt;&gt;"",IF(AND(B355&gt;=_TM1,B355&lt;=_TM2,OR(TH!L355="1111",TH!M355="1111")),TH!D355,""),"")</f>
        <v/>
      </c>
      <c r="B355" s="36">
        <f t="shared" si="34"/>
        <v>1</v>
      </c>
      <c r="C355" s="191">
        <f t="shared" ref="C355" si="46">E355</f>
        <v>41295</v>
      </c>
      <c r="D355" s="184" t="s">
        <v>418</v>
      </c>
      <c r="E355" s="184">
        <v>41295</v>
      </c>
      <c r="F355" s="192" t="s">
        <v>371</v>
      </c>
      <c r="G355" s="487" t="s">
        <v>629</v>
      </c>
      <c r="H355" s="193" t="s">
        <v>585</v>
      </c>
      <c r="I355" s="256"/>
      <c r="J355" s="256"/>
      <c r="K355" s="38">
        <v>10237336</v>
      </c>
      <c r="L355" s="194" t="s">
        <v>8</v>
      </c>
      <c r="M355" s="194" t="s">
        <v>47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>x</v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850"/>
      <c r="AB355" s="211"/>
    </row>
    <row r="356" spans="1:30" ht="15.75" customHeight="1">
      <c r="A356" s="204" t="str">
        <f>IF(B356&lt;&gt;"",IF(AND(B356&gt;=_TM1,B356&lt;=_TM2,OR(TH!L356="1111",TH!M356="1111")),TH!D356,""),"")</f>
        <v/>
      </c>
      <c r="B356" s="36">
        <f t="shared" si="34"/>
        <v>1</v>
      </c>
      <c r="C356" s="191">
        <f t="shared" si="40"/>
        <v>41298</v>
      </c>
      <c r="D356" s="184" t="s">
        <v>419</v>
      </c>
      <c r="E356" s="191">
        <v>41298</v>
      </c>
      <c r="F356" s="192" t="s">
        <v>608</v>
      </c>
      <c r="G356" s="487" t="s">
        <v>631</v>
      </c>
      <c r="H356" s="193" t="s">
        <v>585</v>
      </c>
      <c r="I356" s="256">
        <v>199</v>
      </c>
      <c r="J356" s="256">
        <v>19270</v>
      </c>
      <c r="K356" s="38">
        <f>ROUND(I356*J356,0)</f>
        <v>3834730</v>
      </c>
      <c r="L356" s="194" t="s">
        <v>159</v>
      </c>
      <c r="M356" s="194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850"/>
      <c r="AB356" s="211"/>
    </row>
    <row r="357" spans="1:30" ht="15.75" customHeight="1">
      <c r="A357" s="204" t="str">
        <f>IF(B357&lt;&gt;"",IF(AND(B357&gt;=_TM1,B357&lt;=_TM2,OR(TH!L357="1111",TH!M357="1111")),TH!D357,""),"")</f>
        <v/>
      </c>
      <c r="B357" s="36">
        <f t="shared" si="34"/>
        <v>1</v>
      </c>
      <c r="C357" s="191">
        <f t="shared" si="40"/>
        <v>41298</v>
      </c>
      <c r="D357" s="184" t="s">
        <v>419</v>
      </c>
      <c r="E357" s="191">
        <v>41298</v>
      </c>
      <c r="F357" s="192" t="s">
        <v>592</v>
      </c>
      <c r="G357" s="487" t="s">
        <v>631</v>
      </c>
      <c r="H357" s="193" t="s">
        <v>585</v>
      </c>
      <c r="I357" s="256">
        <v>500</v>
      </c>
      <c r="J357" s="256">
        <v>8505</v>
      </c>
      <c r="K357" s="38">
        <f>ROUND(I357*J357,0)</f>
        <v>4252500</v>
      </c>
      <c r="L357" s="194" t="s">
        <v>159</v>
      </c>
      <c r="M357" s="194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850"/>
      <c r="AB357" s="594"/>
    </row>
    <row r="358" spans="1:30" ht="15.75" customHeight="1">
      <c r="A358" s="204" t="str">
        <f>IF(B358&lt;&gt;"",IF(AND(B358&gt;=_TM1,B358&lt;=_TM2,OR(TH!L358="1111",TH!M358="1111")),TH!D358,""),"")</f>
        <v/>
      </c>
      <c r="B358" s="36">
        <f t="shared" si="34"/>
        <v>1</v>
      </c>
      <c r="C358" s="191">
        <f t="shared" si="40"/>
        <v>41298</v>
      </c>
      <c r="D358" s="184" t="s">
        <v>419</v>
      </c>
      <c r="E358" s="191">
        <v>41298</v>
      </c>
      <c r="F358" s="192" t="s">
        <v>588</v>
      </c>
      <c r="G358" s="487" t="s">
        <v>631</v>
      </c>
      <c r="H358" s="193" t="s">
        <v>585</v>
      </c>
      <c r="I358" s="256"/>
      <c r="J358" s="256"/>
      <c r="K358" s="38">
        <v>808723</v>
      </c>
      <c r="L358" s="194" t="s">
        <v>9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850"/>
      <c r="AB358" s="594">
        <v>1</v>
      </c>
    </row>
    <row r="359" spans="1:30" ht="15.75" customHeight="1">
      <c r="A359" s="204" t="str">
        <f>IF(B359&lt;&gt;"",IF(AND(B359&gt;=_TM1,B359&lt;=_TM2,OR(TH!L359="1111",TH!M359="1111")),TH!D359,""),"")</f>
        <v/>
      </c>
      <c r="B359" s="36">
        <f t="shared" si="34"/>
        <v>1</v>
      </c>
      <c r="C359" s="191">
        <f t="shared" ref="C359" si="47">E359</f>
        <v>41298</v>
      </c>
      <c r="D359" s="184" t="s">
        <v>419</v>
      </c>
      <c r="E359" s="191">
        <v>41298</v>
      </c>
      <c r="F359" s="192" t="s">
        <v>371</v>
      </c>
      <c r="G359" s="487" t="s">
        <v>631</v>
      </c>
      <c r="H359" s="193" t="s">
        <v>585</v>
      </c>
      <c r="I359" s="256"/>
      <c r="J359" s="256"/>
      <c r="K359" s="38">
        <v>8895953</v>
      </c>
      <c r="L359" s="194" t="s">
        <v>8</v>
      </c>
      <c r="M359" s="194" t="s">
        <v>47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>x</v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850"/>
      <c r="AB359" s="211"/>
    </row>
    <row r="360" spans="1:30" s="594" customFormat="1" ht="15.75" customHeight="1">
      <c r="A360" s="204" t="str">
        <f>IF(B360&lt;&gt;"",IF(AND(B360&gt;=_TM1,B360&lt;=_TM2,OR(TH!L360="1111",TH!M360="1111")),TH!D360,""),"")</f>
        <v/>
      </c>
      <c r="B360" s="36">
        <f t="shared" si="34"/>
        <v>1</v>
      </c>
      <c r="C360" s="191">
        <f t="shared" si="40"/>
        <v>41302</v>
      </c>
      <c r="D360" s="184" t="s">
        <v>420</v>
      </c>
      <c r="E360" s="184">
        <v>41302</v>
      </c>
      <c r="F360" s="192" t="s">
        <v>632</v>
      </c>
      <c r="G360" s="664" t="s">
        <v>633</v>
      </c>
      <c r="H360" s="193" t="s">
        <v>585</v>
      </c>
      <c r="I360" s="256">
        <v>201</v>
      </c>
      <c r="J360" s="256">
        <v>13517</v>
      </c>
      <c r="K360" s="38">
        <f>ROUND(I360*J360,0)</f>
        <v>2716917</v>
      </c>
      <c r="L360" s="194" t="s">
        <v>159</v>
      </c>
      <c r="M360" s="194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850"/>
      <c r="AC360" s="198"/>
      <c r="AD360" s="198"/>
    </row>
    <row r="361" spans="1:30" s="594" customFormat="1" ht="15.75" customHeight="1">
      <c r="A361" s="204" t="str">
        <f>IF(B361&lt;&gt;"",IF(AND(B361&gt;=_TM1,B361&lt;=_TM2,OR(TH!L361="1111",TH!M361="1111")),TH!D361,""),"")</f>
        <v/>
      </c>
      <c r="B361" s="36">
        <f t="shared" si="34"/>
        <v>1</v>
      </c>
      <c r="C361" s="191">
        <f t="shared" si="40"/>
        <v>41302</v>
      </c>
      <c r="D361" s="184" t="s">
        <v>420</v>
      </c>
      <c r="E361" s="184">
        <v>41302</v>
      </c>
      <c r="F361" s="192" t="s">
        <v>634</v>
      </c>
      <c r="G361" s="664" t="s">
        <v>633</v>
      </c>
      <c r="H361" s="193" t="s">
        <v>585</v>
      </c>
      <c r="I361" s="256">
        <v>192</v>
      </c>
      <c r="J361" s="256">
        <v>11126</v>
      </c>
      <c r="K361" s="38">
        <f>ROUND(I361*J361,0)</f>
        <v>2136192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850"/>
      <c r="AB361" s="211"/>
      <c r="AC361" s="198"/>
      <c r="AD361" s="198"/>
    </row>
    <row r="362" spans="1:30" s="594" customFormat="1" ht="15.75" customHeight="1">
      <c r="A362" s="204" t="str">
        <f>IF(B362&lt;&gt;"",IF(AND(B362&gt;=_TM1,B362&lt;=_TM2,OR(TH!L362="1111",TH!M362="1111")),TH!D362,""),"")</f>
        <v/>
      </c>
      <c r="B362" s="36">
        <f t="shared" si="34"/>
        <v>1</v>
      </c>
      <c r="C362" s="191">
        <f t="shared" si="40"/>
        <v>41302</v>
      </c>
      <c r="D362" s="184" t="s">
        <v>420</v>
      </c>
      <c r="E362" s="184">
        <v>41302</v>
      </c>
      <c r="F362" s="192" t="s">
        <v>630</v>
      </c>
      <c r="G362" s="664" t="s">
        <v>633</v>
      </c>
      <c r="H362" s="193" t="s">
        <v>585</v>
      </c>
      <c r="I362" s="256">
        <v>378</v>
      </c>
      <c r="J362" s="256">
        <v>14784</v>
      </c>
      <c r="K362" s="38">
        <f>ROUND(I362*J362,0)</f>
        <v>5588352</v>
      </c>
      <c r="L362" s="194" t="s">
        <v>159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850"/>
      <c r="AB362" s="211"/>
      <c r="AC362" s="198"/>
      <c r="AD362" s="198"/>
    </row>
    <row r="363" spans="1:30" s="594" customFormat="1" ht="15.75" customHeight="1">
      <c r="A363" s="204" t="str">
        <f>IF(B363&lt;&gt;"",IF(AND(B363&gt;=_TM1,B363&lt;=_TM2,OR(TH!L363="1111",TH!M363="1111")),TH!D363,""),"")</f>
        <v/>
      </c>
      <c r="B363" s="36">
        <f t="shared" si="34"/>
        <v>1</v>
      </c>
      <c r="C363" s="191">
        <f t="shared" si="40"/>
        <v>41302</v>
      </c>
      <c r="D363" s="184" t="s">
        <v>420</v>
      </c>
      <c r="E363" s="184">
        <v>41302</v>
      </c>
      <c r="F363" s="192" t="s">
        <v>635</v>
      </c>
      <c r="G363" s="664" t="s">
        <v>633</v>
      </c>
      <c r="H363" s="193" t="s">
        <v>585</v>
      </c>
      <c r="I363" s="256">
        <v>505</v>
      </c>
      <c r="J363" s="256">
        <v>13465</v>
      </c>
      <c r="K363" s="38">
        <f>ROUND(I363*J363,0)</f>
        <v>6799825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850"/>
      <c r="AC363" s="198"/>
      <c r="AD363" s="198"/>
    </row>
    <row r="364" spans="1:30" s="594" customFormat="1" ht="15.75" customHeight="1">
      <c r="A364" s="204" t="str">
        <f>IF(B364&lt;&gt;"",IF(AND(B364&gt;=_TM1,B364&lt;=_TM2,OR(TH!L364="1111",TH!M364="1111")),TH!D364,""),"")</f>
        <v/>
      </c>
      <c r="B364" s="36">
        <f t="shared" si="34"/>
        <v>1</v>
      </c>
      <c r="C364" s="191">
        <f t="shared" si="40"/>
        <v>41302</v>
      </c>
      <c r="D364" s="184" t="s">
        <v>420</v>
      </c>
      <c r="E364" s="184">
        <v>41302</v>
      </c>
      <c r="F364" s="192" t="s">
        <v>588</v>
      </c>
      <c r="G364" s="664" t="s">
        <v>633</v>
      </c>
      <c r="H364" s="193" t="s">
        <v>585</v>
      </c>
      <c r="I364" s="256"/>
      <c r="J364" s="256"/>
      <c r="K364" s="38">
        <v>1724129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850"/>
      <c r="AB364" s="594">
        <v>1</v>
      </c>
      <c r="AC364" s="198"/>
      <c r="AD364" s="198"/>
    </row>
    <row r="365" spans="1:30" s="594" customFormat="1" ht="15.75" customHeight="1">
      <c r="A365" s="204" t="str">
        <f>IF(B365&lt;&gt;"",IF(AND(B365&gt;=_TM1,B365&lt;=_TM2,OR(TH!L365="1111",TH!M365="1111")),TH!D365,""),"")</f>
        <v/>
      </c>
      <c r="B365" s="36">
        <f t="shared" si="34"/>
        <v>1</v>
      </c>
      <c r="C365" s="191">
        <f t="shared" ref="C365" si="48">E365</f>
        <v>41302</v>
      </c>
      <c r="D365" s="184" t="s">
        <v>420</v>
      </c>
      <c r="E365" s="184">
        <v>41302</v>
      </c>
      <c r="F365" s="192" t="s">
        <v>371</v>
      </c>
      <c r="G365" s="664" t="s">
        <v>633</v>
      </c>
      <c r="H365" s="193" t="s">
        <v>585</v>
      </c>
      <c r="I365" s="256"/>
      <c r="J365" s="256"/>
      <c r="K365" s="38">
        <v>18965415</v>
      </c>
      <c r="L365" s="194" t="s">
        <v>8</v>
      </c>
      <c r="M365" s="194" t="s">
        <v>47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>x</v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50"/>
      <c r="AB365" s="211"/>
      <c r="AC365" s="198"/>
      <c r="AD365" s="198"/>
    </row>
    <row r="366" spans="1:30" s="594" customFormat="1" ht="15.75" customHeight="1">
      <c r="A366" s="204" t="str">
        <f>IF(B366&lt;&gt;"",IF(AND(B366&gt;=_TM1,B366&lt;=_TM2,OR(TH!L366="1111",TH!M366="1111")),TH!D366,""),"")</f>
        <v/>
      </c>
      <c r="B366" s="36">
        <f t="shared" ref="B366:B429" si="49">IF(C366&lt;&gt;"",MONTH(C366),"")</f>
        <v>1</v>
      </c>
      <c r="C366" s="191">
        <f t="shared" si="40"/>
        <v>41303</v>
      </c>
      <c r="D366" s="184" t="s">
        <v>421</v>
      </c>
      <c r="E366" s="184">
        <v>41303</v>
      </c>
      <c r="F366" s="192" t="s">
        <v>636</v>
      </c>
      <c r="G366" s="664" t="s">
        <v>637</v>
      </c>
      <c r="H366" s="193" t="s">
        <v>585</v>
      </c>
      <c r="I366" s="256">
        <v>235</v>
      </c>
      <c r="J366" s="256">
        <v>36234</v>
      </c>
      <c r="K366" s="38">
        <f>ROUND(I366*J366,0)</f>
        <v>8514990</v>
      </c>
      <c r="L366" s="194" t="s">
        <v>159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50"/>
      <c r="AC366" s="198"/>
      <c r="AD366" s="198"/>
    </row>
    <row r="367" spans="1:30" s="594" customFormat="1" ht="15.75" customHeight="1">
      <c r="A367" s="204" t="str">
        <f>IF(B367&lt;&gt;"",IF(AND(B367&gt;=_TM1,B367&lt;=_TM2,OR(TH!L367="1111",TH!M367="1111")),TH!D367,""),"")</f>
        <v/>
      </c>
      <c r="B367" s="36">
        <f t="shared" si="49"/>
        <v>1</v>
      </c>
      <c r="C367" s="191">
        <f t="shared" si="40"/>
        <v>41303</v>
      </c>
      <c r="D367" s="184" t="s">
        <v>421</v>
      </c>
      <c r="E367" s="184">
        <v>41303</v>
      </c>
      <c r="F367" s="192" t="s">
        <v>588</v>
      </c>
      <c r="G367" s="664" t="s">
        <v>637</v>
      </c>
      <c r="H367" s="193" t="s">
        <v>585</v>
      </c>
      <c r="I367" s="256"/>
      <c r="J367" s="256"/>
      <c r="K367" s="38">
        <v>851499</v>
      </c>
      <c r="L367" s="194" t="s">
        <v>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50"/>
      <c r="AB367" s="594">
        <v>1</v>
      </c>
      <c r="AC367" s="198"/>
      <c r="AD367" s="198"/>
    </row>
    <row r="368" spans="1:30" s="594" customFormat="1" ht="15.75" customHeight="1">
      <c r="A368" s="204" t="str">
        <f>IF(B368&lt;&gt;"",IF(AND(B368&gt;=_TM1,B368&lt;=_TM2,OR(TH!L368="1111",TH!M368="1111")),TH!D368,""),"")</f>
        <v/>
      </c>
      <c r="B368" s="36">
        <f t="shared" si="49"/>
        <v>1</v>
      </c>
      <c r="C368" s="191">
        <f t="shared" ref="C368" si="50">E368</f>
        <v>41303</v>
      </c>
      <c r="D368" s="184" t="s">
        <v>421</v>
      </c>
      <c r="E368" s="184">
        <v>41303</v>
      </c>
      <c r="F368" s="192" t="s">
        <v>371</v>
      </c>
      <c r="G368" s="664" t="s">
        <v>637</v>
      </c>
      <c r="H368" s="193" t="s">
        <v>585</v>
      </c>
      <c r="I368" s="256"/>
      <c r="J368" s="256"/>
      <c r="K368" s="38">
        <v>9366489</v>
      </c>
      <c r="L368" s="194" t="s">
        <v>8</v>
      </c>
      <c r="M368" s="194" t="s">
        <v>47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>x</v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50"/>
      <c r="AB368" s="211"/>
      <c r="AC368" s="198"/>
      <c r="AD368" s="198"/>
    </row>
    <row r="369" spans="1:30" s="594" customFormat="1" ht="15.75" customHeight="1">
      <c r="A369" s="204" t="str">
        <f>IF(B369&lt;&gt;"",IF(AND(B369&gt;=_TM1,B369&lt;=_TM2,OR(TH!L369="1111",TH!M369="1111")),TH!D369,""),"")</f>
        <v/>
      </c>
      <c r="B369" s="36">
        <f t="shared" si="49"/>
        <v>1</v>
      </c>
      <c r="C369" s="191">
        <f t="shared" si="40"/>
        <v>41303</v>
      </c>
      <c r="D369" s="184" t="s">
        <v>422</v>
      </c>
      <c r="E369" s="184">
        <v>41303</v>
      </c>
      <c r="F369" s="192" t="s">
        <v>611</v>
      </c>
      <c r="G369" s="664" t="s">
        <v>638</v>
      </c>
      <c r="H369" s="193" t="s">
        <v>585</v>
      </c>
      <c r="I369" s="256">
        <v>410</v>
      </c>
      <c r="J369" s="256">
        <v>8461</v>
      </c>
      <c r="K369" s="38">
        <f>ROUND(I369*J369,0)</f>
        <v>3469010</v>
      </c>
      <c r="L369" s="194" t="s">
        <v>159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50"/>
      <c r="AC369" s="198"/>
      <c r="AD369" s="198"/>
    </row>
    <row r="370" spans="1:30" s="594" customFormat="1" ht="15.75" customHeight="1">
      <c r="A370" s="204" t="str">
        <f>IF(B370&lt;&gt;"",IF(AND(B370&gt;=_TM1,B370&lt;=_TM2,OR(TH!L370="1111",TH!M370="1111")),TH!D370,""),"")</f>
        <v/>
      </c>
      <c r="B370" s="36">
        <f t="shared" si="49"/>
        <v>1</v>
      </c>
      <c r="C370" s="191">
        <f t="shared" si="40"/>
        <v>41303</v>
      </c>
      <c r="D370" s="184" t="s">
        <v>422</v>
      </c>
      <c r="E370" s="184">
        <v>41303</v>
      </c>
      <c r="F370" s="192" t="s">
        <v>639</v>
      </c>
      <c r="G370" s="664" t="s">
        <v>638</v>
      </c>
      <c r="H370" s="193" t="s">
        <v>585</v>
      </c>
      <c r="I370" s="256">
        <v>308</v>
      </c>
      <c r="J370" s="256">
        <v>20420</v>
      </c>
      <c r="K370" s="38">
        <f>ROUND(I370*J370,0)</f>
        <v>6289360</v>
      </c>
      <c r="L370" s="194" t="s">
        <v>159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50"/>
      <c r="AB370" s="211"/>
      <c r="AC370" s="198"/>
      <c r="AD370" s="198"/>
    </row>
    <row r="371" spans="1:30" s="594" customFormat="1" ht="15.75" customHeight="1">
      <c r="A371" s="204" t="str">
        <f>IF(B371&lt;&gt;"",IF(AND(B371&gt;=_TM1,B371&lt;=_TM2,OR(TH!L371="1111",TH!M371="1111")),TH!D371,""),"")</f>
        <v/>
      </c>
      <c r="B371" s="36">
        <f t="shared" si="49"/>
        <v>1</v>
      </c>
      <c r="C371" s="191">
        <f t="shared" si="40"/>
        <v>41303</v>
      </c>
      <c r="D371" s="184" t="s">
        <v>422</v>
      </c>
      <c r="E371" s="184">
        <v>41303</v>
      </c>
      <c r="F371" s="192" t="s">
        <v>588</v>
      </c>
      <c r="G371" s="664" t="s">
        <v>638</v>
      </c>
      <c r="H371" s="193" t="s">
        <v>585</v>
      </c>
      <c r="I371" s="256"/>
      <c r="J371" s="256"/>
      <c r="K371" s="38">
        <v>975837</v>
      </c>
      <c r="L371" s="194" t="s">
        <v>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50"/>
      <c r="AB371" s="211">
        <v>1</v>
      </c>
      <c r="AC371" s="198"/>
      <c r="AD371" s="198"/>
    </row>
    <row r="372" spans="1:30" s="594" customFormat="1" ht="15.75" customHeight="1">
      <c r="A372" s="204" t="str">
        <f>IF(B372&lt;&gt;"",IF(AND(B372&gt;=_TM1,B372&lt;=_TM2,OR(TH!L372="1111",TH!M372="1111")),TH!D372,""),"")</f>
        <v/>
      </c>
      <c r="B372" s="36">
        <f t="shared" si="49"/>
        <v>1</v>
      </c>
      <c r="C372" s="191">
        <f t="shared" ref="C372" si="51">E372</f>
        <v>41303</v>
      </c>
      <c r="D372" s="184" t="s">
        <v>422</v>
      </c>
      <c r="E372" s="184">
        <v>41303</v>
      </c>
      <c r="F372" s="192" t="s">
        <v>371</v>
      </c>
      <c r="G372" s="664" t="s">
        <v>638</v>
      </c>
      <c r="H372" s="193" t="s">
        <v>585</v>
      </c>
      <c r="I372" s="256"/>
      <c r="J372" s="256"/>
      <c r="K372" s="38">
        <v>10734207</v>
      </c>
      <c r="L372" s="194" t="s">
        <v>8</v>
      </c>
      <c r="M372" s="194" t="s">
        <v>47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50"/>
      <c r="AB372" s="211"/>
      <c r="AC372" s="198"/>
      <c r="AD372" s="198"/>
    </row>
    <row r="373" spans="1:30" s="594" customFormat="1" ht="15.75" customHeight="1">
      <c r="A373" s="204" t="str">
        <f>IF(B373&lt;&gt;"",IF(AND(B373&gt;=_TM1,B373&lt;=_TM2,OR(TH!L373="1111",TH!M373="1111")),TH!D373,""),"")</f>
        <v/>
      </c>
      <c r="B373" s="36">
        <f t="shared" si="49"/>
        <v>1</v>
      </c>
      <c r="C373" s="191">
        <f t="shared" si="40"/>
        <v>41304</v>
      </c>
      <c r="D373" s="184" t="s">
        <v>423</v>
      </c>
      <c r="E373" s="184">
        <v>41304</v>
      </c>
      <c r="F373" s="192" t="s">
        <v>639</v>
      </c>
      <c r="G373" s="487" t="s">
        <v>640</v>
      </c>
      <c r="H373" s="193" t="s">
        <v>585</v>
      </c>
      <c r="I373" s="256">
        <v>270</v>
      </c>
      <c r="J373" s="256">
        <v>20420</v>
      </c>
      <c r="K373" s="38">
        <f>ROUND(I373*J373,0)</f>
        <v>5513400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50"/>
      <c r="AB373" s="211"/>
      <c r="AC373" s="198"/>
      <c r="AD373" s="198"/>
    </row>
    <row r="374" spans="1:30" s="594" customFormat="1" ht="15.75" customHeight="1">
      <c r="A374" s="204" t="str">
        <f>IF(B374&lt;&gt;"",IF(AND(B374&gt;=_TM1,B374&lt;=_TM2,OR(TH!L374="1111",TH!M374="1111")),TH!D374,""),"")</f>
        <v/>
      </c>
      <c r="B374" s="36">
        <f t="shared" si="49"/>
        <v>1</v>
      </c>
      <c r="C374" s="191">
        <f t="shared" si="40"/>
        <v>41304</v>
      </c>
      <c r="D374" s="184" t="s">
        <v>423</v>
      </c>
      <c r="E374" s="184">
        <v>41304</v>
      </c>
      <c r="F374" s="192" t="s">
        <v>588</v>
      </c>
      <c r="G374" s="487" t="s">
        <v>640</v>
      </c>
      <c r="H374" s="193" t="s">
        <v>585</v>
      </c>
      <c r="I374" s="256"/>
      <c r="J374" s="256"/>
      <c r="K374" s="38">
        <v>551340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50"/>
      <c r="AB374" s="211">
        <v>1</v>
      </c>
      <c r="AC374" s="198"/>
      <c r="AD374" s="198"/>
    </row>
    <row r="375" spans="1:30" s="594" customFormat="1" ht="15.75" customHeight="1">
      <c r="A375" s="204" t="str">
        <f>IF(B375&lt;&gt;"",IF(AND(B375&gt;=_TM1,B375&lt;=_TM2,OR(TH!L375="1111",TH!M375="1111")),TH!D375,""),"")</f>
        <v/>
      </c>
      <c r="B375" s="36">
        <f t="shared" si="49"/>
        <v>1</v>
      </c>
      <c r="C375" s="191">
        <f t="shared" ref="C375" si="52">E375</f>
        <v>41304</v>
      </c>
      <c r="D375" s="184" t="s">
        <v>423</v>
      </c>
      <c r="E375" s="184">
        <v>41304</v>
      </c>
      <c r="F375" s="192" t="s">
        <v>371</v>
      </c>
      <c r="G375" s="487" t="s">
        <v>640</v>
      </c>
      <c r="H375" s="193" t="s">
        <v>585</v>
      </c>
      <c r="I375" s="256"/>
      <c r="J375" s="256"/>
      <c r="K375" s="38">
        <v>6064740</v>
      </c>
      <c r="L375" s="194" t="s">
        <v>8</v>
      </c>
      <c r="M375" s="194" t="s">
        <v>47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>x</v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50"/>
      <c r="AB375" s="211"/>
      <c r="AC375" s="198"/>
      <c r="AD375" s="198"/>
    </row>
    <row r="376" spans="1:30" s="594" customFormat="1" ht="15.75" customHeight="1">
      <c r="A376" s="204" t="str">
        <f>IF(B376&lt;&gt;"",IF(AND(B376&gt;=_TM1,B376&lt;=_TM2,OR(TH!L376="1111",TH!M376="1111")),TH!D376,""),"")</f>
        <v/>
      </c>
      <c r="B376" s="36">
        <f t="shared" si="49"/>
        <v>8</v>
      </c>
      <c r="C376" s="191">
        <f t="shared" ref="C376" si="53">E376</f>
        <v>41517</v>
      </c>
      <c r="D376" s="184" t="s">
        <v>423</v>
      </c>
      <c r="E376" s="184">
        <v>41517</v>
      </c>
      <c r="F376" s="192" t="s">
        <v>371</v>
      </c>
      <c r="G376" s="487"/>
      <c r="H376" s="193" t="s">
        <v>585</v>
      </c>
      <c r="I376" s="256"/>
      <c r="J376" s="256"/>
      <c r="K376" s="38">
        <v>18066091</v>
      </c>
      <c r="L376" s="194" t="s">
        <v>8</v>
      </c>
      <c r="M376" s="194" t="s">
        <v>47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>x</v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50"/>
      <c r="AB376" s="211"/>
      <c r="AC376" s="198"/>
      <c r="AD376" s="198"/>
    </row>
    <row r="377" spans="1:30" s="594" customFormat="1" ht="15.75" customHeight="1">
      <c r="A377" s="204" t="str">
        <f>IF(B377&lt;&gt;"",IF(AND(B377&gt;=_TM1,B377&lt;=_TM2,OR(TH!L377="1111",TH!M377="1111")),TH!D377,""),"")</f>
        <v/>
      </c>
      <c r="B377" s="36">
        <f t="shared" si="49"/>
        <v>4</v>
      </c>
      <c r="C377" s="191">
        <f t="shared" si="40"/>
        <v>41376</v>
      </c>
      <c r="D377" s="184" t="s">
        <v>407</v>
      </c>
      <c r="E377" s="191">
        <v>41376</v>
      </c>
      <c r="F377" s="192" t="s">
        <v>641</v>
      </c>
      <c r="G377" s="485" t="s">
        <v>642</v>
      </c>
      <c r="H377" s="193" t="s">
        <v>643</v>
      </c>
      <c r="I377" s="256">
        <v>350</v>
      </c>
      <c r="J377" s="256">
        <v>7823</v>
      </c>
      <c r="K377" s="38">
        <f>ROUND(I377*J377,0)</f>
        <v>2738050</v>
      </c>
      <c r="L377" s="194" t="s">
        <v>159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50"/>
      <c r="AB377" s="211"/>
      <c r="AC377" s="198"/>
      <c r="AD377" s="198"/>
    </row>
    <row r="378" spans="1:30" s="594" customFormat="1" ht="15.75" customHeight="1">
      <c r="A378" s="204" t="str">
        <f>IF(B378&lt;&gt;"",IF(AND(B378&gt;=_TM1,B378&lt;=_TM2,OR(TH!L378="1111",TH!M378="1111")),TH!D378,""),"")</f>
        <v/>
      </c>
      <c r="B378" s="36">
        <f t="shared" si="49"/>
        <v>4</v>
      </c>
      <c r="C378" s="191">
        <f t="shared" si="40"/>
        <v>41376</v>
      </c>
      <c r="D378" s="184" t="s">
        <v>407</v>
      </c>
      <c r="E378" s="191">
        <v>41376</v>
      </c>
      <c r="F378" s="192" t="s">
        <v>644</v>
      </c>
      <c r="G378" s="485" t="s">
        <v>642</v>
      </c>
      <c r="H378" s="193" t="s">
        <v>643</v>
      </c>
      <c r="I378" s="256">
        <v>500</v>
      </c>
      <c r="J378" s="256">
        <v>19312</v>
      </c>
      <c r="K378" s="38">
        <f>ROUND(I378*J378,0)</f>
        <v>9656000</v>
      </c>
      <c r="L378" s="194" t="s">
        <v>159</v>
      </c>
      <c r="M378" s="19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50"/>
      <c r="AB378" s="211"/>
      <c r="AC378" s="198"/>
      <c r="AD378" s="198"/>
    </row>
    <row r="379" spans="1:30" s="211" customFormat="1" ht="15.75" customHeight="1">
      <c r="A379" s="204" t="str">
        <f>IF(B379&lt;&gt;"",IF(AND(B379&gt;=_TM1,B379&lt;=_TM2,OR(TH!L379="1111",TH!M379="1111")),TH!D379,""),"")</f>
        <v/>
      </c>
      <c r="B379" s="36">
        <f t="shared" si="49"/>
        <v>4</v>
      </c>
      <c r="C379" s="191">
        <f t="shared" si="40"/>
        <v>41376</v>
      </c>
      <c r="D379" s="184" t="s">
        <v>407</v>
      </c>
      <c r="E379" s="191">
        <v>41376</v>
      </c>
      <c r="F379" s="192" t="s">
        <v>645</v>
      </c>
      <c r="G379" s="485" t="s">
        <v>642</v>
      </c>
      <c r="H379" s="193" t="s">
        <v>643</v>
      </c>
      <c r="I379" s="256">
        <v>250</v>
      </c>
      <c r="J379" s="256">
        <v>17792</v>
      </c>
      <c r="K379" s="38">
        <f>ROUND(I379*J379,0)</f>
        <v>4448000</v>
      </c>
      <c r="L379" s="194" t="s">
        <v>159</v>
      </c>
      <c r="M379" s="19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50"/>
      <c r="AC379" s="198"/>
      <c r="AD379" s="198"/>
    </row>
    <row r="380" spans="1:30" s="211" customFormat="1" ht="15.75" customHeight="1">
      <c r="A380" s="204" t="str">
        <f>IF(B380&lt;&gt;"",IF(AND(B380&gt;=_TM1,B380&lt;=_TM2,OR(TH!L380="1111",TH!M380="1111")),TH!D380,""),"")</f>
        <v/>
      </c>
      <c r="B380" s="36">
        <f t="shared" si="49"/>
        <v>4</v>
      </c>
      <c r="C380" s="191">
        <f t="shared" si="40"/>
        <v>41376</v>
      </c>
      <c r="D380" s="184" t="s">
        <v>407</v>
      </c>
      <c r="E380" s="191">
        <v>41376</v>
      </c>
      <c r="F380" s="192" t="s">
        <v>588</v>
      </c>
      <c r="G380" s="485" t="s">
        <v>642</v>
      </c>
      <c r="H380" s="193" t="s">
        <v>643</v>
      </c>
      <c r="I380" s="256"/>
      <c r="J380" s="256"/>
      <c r="K380" s="38">
        <v>1684205</v>
      </c>
      <c r="L380" s="194" t="s">
        <v>9</v>
      </c>
      <c r="M380" s="194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50"/>
      <c r="AB380" s="211">
        <v>4</v>
      </c>
      <c r="AC380" s="198"/>
      <c r="AD380" s="198"/>
    </row>
    <row r="381" spans="1:30" s="211" customFormat="1" ht="15.75" customHeight="1">
      <c r="A381" s="204" t="str">
        <f>IF(B381&lt;&gt;"",IF(AND(B381&gt;=_TM1,B381&lt;=_TM2,OR(TH!L381="1111",TH!M381="1111")),TH!D381,""),"")</f>
        <v/>
      </c>
      <c r="B381" s="36">
        <f t="shared" si="49"/>
        <v>4</v>
      </c>
      <c r="C381" s="191">
        <f t="shared" ref="C381" si="54">E381</f>
        <v>41376</v>
      </c>
      <c r="D381" s="184" t="s">
        <v>407</v>
      </c>
      <c r="E381" s="191">
        <v>41376</v>
      </c>
      <c r="F381" s="192" t="s">
        <v>371</v>
      </c>
      <c r="G381" s="485" t="s">
        <v>642</v>
      </c>
      <c r="H381" s="193" t="s">
        <v>643</v>
      </c>
      <c r="I381" s="256"/>
      <c r="J381" s="256"/>
      <c r="K381" s="38">
        <v>18526255</v>
      </c>
      <c r="L381" s="194" t="s">
        <v>8</v>
      </c>
      <c r="M381" s="194" t="s">
        <v>47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>x</v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50"/>
      <c r="AC381" s="198"/>
      <c r="AD381" s="198"/>
    </row>
    <row r="382" spans="1:30" s="594" customFormat="1" ht="15.75" customHeight="1">
      <c r="A382" s="204" t="str">
        <f>IF(B382&lt;&gt;"",IF(AND(B382&gt;=_TM1,B382&lt;=_TM2,OR(TH!L382="1111",TH!M382="1111")),TH!D382,""),"")</f>
        <v/>
      </c>
      <c r="B382" s="36">
        <f t="shared" si="49"/>
        <v>4</v>
      </c>
      <c r="C382" s="191">
        <f t="shared" si="40"/>
        <v>41387</v>
      </c>
      <c r="D382" s="184" t="s">
        <v>408</v>
      </c>
      <c r="E382" s="191">
        <v>41387</v>
      </c>
      <c r="F382" s="192" t="s">
        <v>646</v>
      </c>
      <c r="G382" s="487" t="s">
        <v>647</v>
      </c>
      <c r="H382" s="193" t="s">
        <v>643</v>
      </c>
      <c r="I382" s="256">
        <v>530</v>
      </c>
      <c r="J382" s="256">
        <v>7400</v>
      </c>
      <c r="K382" s="38">
        <f>ROUND(I382*J382,0)</f>
        <v>3922000</v>
      </c>
      <c r="L382" s="194" t="s">
        <v>159</v>
      </c>
      <c r="M382" s="19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50"/>
      <c r="AB382" s="211"/>
      <c r="AC382" s="198"/>
      <c r="AD382" s="198"/>
    </row>
    <row r="383" spans="1:30" s="594" customFormat="1" ht="15.75" customHeight="1">
      <c r="A383" s="204" t="str">
        <f>IF(B383&lt;&gt;"",IF(AND(B383&gt;=_TM1,B383&lt;=_TM2,OR(TH!L383="1111",TH!M383="1111")),TH!D383,""),"")</f>
        <v/>
      </c>
      <c r="B383" s="36">
        <f t="shared" si="49"/>
        <v>4</v>
      </c>
      <c r="C383" s="191">
        <f t="shared" si="40"/>
        <v>41387</v>
      </c>
      <c r="D383" s="184" t="s">
        <v>408</v>
      </c>
      <c r="E383" s="191">
        <v>41387</v>
      </c>
      <c r="F383" s="192" t="s">
        <v>648</v>
      </c>
      <c r="G383" s="487" t="s">
        <v>647</v>
      </c>
      <c r="H383" s="193" t="s">
        <v>643</v>
      </c>
      <c r="I383" s="256">
        <v>105</v>
      </c>
      <c r="J383" s="256">
        <v>6600</v>
      </c>
      <c r="K383" s="38">
        <f>ROUND(I383*J383,0)</f>
        <v>693000</v>
      </c>
      <c r="L383" s="194" t="s">
        <v>159</v>
      </c>
      <c r="M383" s="194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50"/>
      <c r="AB383" s="211"/>
      <c r="AC383" s="198"/>
      <c r="AD383" s="198"/>
    </row>
    <row r="384" spans="1:30" s="594" customFormat="1" ht="15.75" customHeight="1">
      <c r="A384" s="204" t="str">
        <f>IF(B384&lt;&gt;"",IF(AND(B384&gt;=_TM1,B384&lt;=_TM2,OR(TH!L384="1111",TH!M384="1111")),TH!D384,""),"")</f>
        <v/>
      </c>
      <c r="B384" s="36">
        <f t="shared" si="49"/>
        <v>4</v>
      </c>
      <c r="C384" s="191">
        <f t="shared" si="40"/>
        <v>41387</v>
      </c>
      <c r="D384" s="184" t="s">
        <v>408</v>
      </c>
      <c r="E384" s="191">
        <v>41387</v>
      </c>
      <c r="F384" s="192" t="s">
        <v>649</v>
      </c>
      <c r="G384" s="487" t="s">
        <v>647</v>
      </c>
      <c r="H384" s="193" t="s">
        <v>643</v>
      </c>
      <c r="I384" s="256">
        <v>215</v>
      </c>
      <c r="J384" s="256">
        <v>9200</v>
      </c>
      <c r="K384" s="38">
        <f>ROUND(I384*J384,0)</f>
        <v>1978000</v>
      </c>
      <c r="L384" s="194" t="s">
        <v>159</v>
      </c>
      <c r="M384" s="19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50"/>
      <c r="AC384" s="198"/>
      <c r="AD384" s="198"/>
    </row>
    <row r="385" spans="1:30" s="594" customFormat="1" ht="15.75" customHeight="1">
      <c r="A385" s="204" t="str">
        <f>IF(B385&lt;&gt;"",IF(AND(B385&gt;=_TM1,B385&lt;=_TM2,OR(TH!L385="1111",TH!M385="1111")),TH!D385,""),"")</f>
        <v/>
      </c>
      <c r="B385" s="36">
        <f t="shared" si="49"/>
        <v>4</v>
      </c>
      <c r="C385" s="191">
        <f t="shared" si="40"/>
        <v>41387</v>
      </c>
      <c r="D385" s="184" t="s">
        <v>408</v>
      </c>
      <c r="E385" s="191">
        <v>41387</v>
      </c>
      <c r="F385" s="192" t="s">
        <v>650</v>
      </c>
      <c r="G385" s="487" t="s">
        <v>647</v>
      </c>
      <c r="H385" s="193" t="s">
        <v>643</v>
      </c>
      <c r="I385" s="256">
        <v>2000</v>
      </c>
      <c r="J385" s="256">
        <v>5700</v>
      </c>
      <c r="K385" s="38">
        <f>ROUND(I385*J385,0)</f>
        <v>11400000</v>
      </c>
      <c r="L385" s="194" t="s">
        <v>159</v>
      </c>
      <c r="M385" s="19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50"/>
      <c r="AC385" s="198"/>
      <c r="AD385" s="198"/>
    </row>
    <row r="386" spans="1:30" s="594" customFormat="1" ht="15.75" customHeight="1">
      <c r="A386" s="204" t="str">
        <f>IF(B386&lt;&gt;"",IF(AND(B386&gt;=_TM1,B386&lt;=_TM2,OR(TH!L386="1111",TH!M386="1111")),TH!D386,""),"")</f>
        <v/>
      </c>
      <c r="B386" s="36">
        <f t="shared" si="49"/>
        <v>4</v>
      </c>
      <c r="C386" s="191">
        <f t="shared" si="40"/>
        <v>41387</v>
      </c>
      <c r="D386" s="184" t="s">
        <v>408</v>
      </c>
      <c r="E386" s="191">
        <v>41387</v>
      </c>
      <c r="F386" s="192" t="s">
        <v>588</v>
      </c>
      <c r="G386" s="487" t="s">
        <v>647</v>
      </c>
      <c r="H386" s="193" t="s">
        <v>643</v>
      </c>
      <c r="I386" s="256"/>
      <c r="J386" s="256"/>
      <c r="K386" s="38">
        <v>1799300</v>
      </c>
      <c r="L386" s="194" t="s">
        <v>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50"/>
      <c r="AB386" s="594">
        <v>4</v>
      </c>
      <c r="AC386" s="198"/>
      <c r="AD386" s="198"/>
    </row>
    <row r="387" spans="1:30" s="594" customFormat="1" ht="15.75" customHeight="1">
      <c r="A387" s="204" t="str">
        <f>IF(B387&lt;&gt;"",IF(AND(B387&gt;=_TM1,B387&lt;=_TM2,OR(TH!L387="1111",TH!M387="1111")),TH!D387,""),"")</f>
        <v/>
      </c>
      <c r="B387" s="36">
        <f t="shared" si="49"/>
        <v>4</v>
      </c>
      <c r="C387" s="191">
        <f t="shared" ref="C387" si="55">E387</f>
        <v>41387</v>
      </c>
      <c r="D387" s="184" t="s">
        <v>408</v>
      </c>
      <c r="E387" s="191">
        <v>41387</v>
      </c>
      <c r="F387" s="192" t="s">
        <v>371</v>
      </c>
      <c r="G387" s="487" t="s">
        <v>647</v>
      </c>
      <c r="H387" s="193" t="s">
        <v>643</v>
      </c>
      <c r="I387" s="256"/>
      <c r="J387" s="256"/>
      <c r="K387" s="38">
        <v>19792300</v>
      </c>
      <c r="L387" s="194" t="s">
        <v>8</v>
      </c>
      <c r="M387" s="194" t="s">
        <v>47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>x</v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50"/>
      <c r="AB387" s="211"/>
      <c r="AC387" s="198"/>
      <c r="AD387" s="198"/>
    </row>
    <row r="388" spans="1:30" s="211" customFormat="1" ht="15.75" customHeight="1">
      <c r="A388" s="204" t="str">
        <f>IF(B388&lt;&gt;"",IF(AND(B388&gt;=_TM1,B388&lt;=_TM2,OR(TH!L388="1111",TH!M388="1111")),TH!D388,""),"")</f>
        <v/>
      </c>
      <c r="B388" s="36">
        <f t="shared" si="49"/>
        <v>4</v>
      </c>
      <c r="C388" s="191">
        <f t="shared" si="40"/>
        <v>41393</v>
      </c>
      <c r="D388" s="184" t="s">
        <v>409</v>
      </c>
      <c r="E388" s="184">
        <v>41393</v>
      </c>
      <c r="F388" s="192" t="s">
        <v>651</v>
      </c>
      <c r="G388" s="664" t="s">
        <v>652</v>
      </c>
      <c r="H388" s="193" t="s">
        <v>643</v>
      </c>
      <c r="I388" s="256">
        <v>50</v>
      </c>
      <c r="J388" s="256">
        <v>24098</v>
      </c>
      <c r="K388" s="38">
        <f t="shared" ref="K388:K394" si="56">ROUND(I388*J388,0)</f>
        <v>1204900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50"/>
      <c r="AB388" s="594"/>
      <c r="AC388" s="198"/>
      <c r="AD388" s="198"/>
    </row>
    <row r="389" spans="1:30" s="211" customFormat="1" ht="15.75" customHeight="1">
      <c r="A389" s="204" t="str">
        <f>IF(B389&lt;&gt;"",IF(AND(B389&gt;=_TM1,B389&lt;=_TM2,OR(TH!L389="1111",TH!M389="1111")),TH!D389,""),"")</f>
        <v/>
      </c>
      <c r="B389" s="36">
        <f t="shared" si="49"/>
        <v>4</v>
      </c>
      <c r="C389" s="191">
        <f t="shared" si="40"/>
        <v>41393</v>
      </c>
      <c r="D389" s="184" t="s">
        <v>409</v>
      </c>
      <c r="E389" s="184">
        <v>41393</v>
      </c>
      <c r="F389" s="192" t="s">
        <v>653</v>
      </c>
      <c r="G389" s="664" t="s">
        <v>652</v>
      </c>
      <c r="H389" s="193" t="s">
        <v>643</v>
      </c>
      <c r="I389" s="256">
        <v>50</v>
      </c>
      <c r="J389" s="256">
        <v>22812</v>
      </c>
      <c r="K389" s="38">
        <f t="shared" si="56"/>
        <v>1140600</v>
      </c>
      <c r="L389" s="194" t="s">
        <v>159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50"/>
      <c r="AC389" s="198"/>
      <c r="AD389" s="198"/>
    </row>
    <row r="390" spans="1:30" s="211" customFormat="1" ht="15.75" customHeight="1">
      <c r="A390" s="204" t="str">
        <f>IF(B390&lt;&gt;"",IF(AND(B390&gt;=_TM1,B390&lt;=_TM2,OR(TH!L390="1111",TH!M390="1111")),TH!D390,""),"")</f>
        <v/>
      </c>
      <c r="B390" s="36">
        <f t="shared" si="49"/>
        <v>4</v>
      </c>
      <c r="C390" s="191">
        <f t="shared" si="40"/>
        <v>41393</v>
      </c>
      <c r="D390" s="184" t="s">
        <v>409</v>
      </c>
      <c r="E390" s="184">
        <v>41393</v>
      </c>
      <c r="F390" s="192" t="s">
        <v>654</v>
      </c>
      <c r="G390" s="664" t="s">
        <v>652</v>
      </c>
      <c r="H390" s="193" t="s">
        <v>643</v>
      </c>
      <c r="I390" s="256">
        <v>50</v>
      </c>
      <c r="J390" s="256">
        <v>20420</v>
      </c>
      <c r="K390" s="38">
        <f t="shared" si="56"/>
        <v>1021000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50"/>
      <c r="AC390" s="198"/>
      <c r="AD390" s="198"/>
    </row>
    <row r="391" spans="1:30" s="211" customFormat="1" ht="15.75" customHeight="1">
      <c r="A391" s="204" t="str">
        <f>IF(B391&lt;&gt;"",IF(AND(B391&gt;=_TM1,B391&lt;=_TM2,OR(TH!L391="1111",TH!M391="1111")),TH!D391,""),"")</f>
        <v/>
      </c>
      <c r="B391" s="36">
        <f t="shared" si="49"/>
        <v>4</v>
      </c>
      <c r="C391" s="191">
        <f t="shared" si="40"/>
        <v>41393</v>
      </c>
      <c r="D391" s="184" t="s">
        <v>409</v>
      </c>
      <c r="E391" s="184">
        <v>41393</v>
      </c>
      <c r="F391" s="192" t="s">
        <v>655</v>
      </c>
      <c r="G391" s="664" t="s">
        <v>652</v>
      </c>
      <c r="H391" s="193" t="s">
        <v>643</v>
      </c>
      <c r="I391" s="256">
        <v>135</v>
      </c>
      <c r="J391" s="256">
        <v>12665</v>
      </c>
      <c r="K391" s="38">
        <f t="shared" si="56"/>
        <v>1709775</v>
      </c>
      <c r="L391" s="194" t="s">
        <v>159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50"/>
      <c r="AC391" s="198"/>
      <c r="AD391" s="198"/>
    </row>
    <row r="392" spans="1:30" s="594" customFormat="1" ht="15.75" customHeight="1">
      <c r="A392" s="204" t="str">
        <f>IF(B392&lt;&gt;"",IF(AND(B392&gt;=_TM1,B392&lt;=_TM2,OR(TH!L392="1111",TH!M392="1111")),TH!D392,""),"")</f>
        <v/>
      </c>
      <c r="B392" s="36">
        <f t="shared" si="49"/>
        <v>4</v>
      </c>
      <c r="C392" s="191">
        <f t="shared" si="40"/>
        <v>41393</v>
      </c>
      <c r="D392" s="184" t="s">
        <v>409</v>
      </c>
      <c r="E392" s="184">
        <v>41393</v>
      </c>
      <c r="F392" s="192" t="s">
        <v>656</v>
      </c>
      <c r="G392" s="664" t="s">
        <v>652</v>
      </c>
      <c r="H392" s="193" t="s">
        <v>643</v>
      </c>
      <c r="I392" s="256">
        <v>265</v>
      </c>
      <c r="J392" s="256">
        <v>13832</v>
      </c>
      <c r="K392" s="38">
        <f t="shared" si="56"/>
        <v>3665480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50"/>
      <c r="AB392" s="211"/>
      <c r="AC392" s="198"/>
      <c r="AD392" s="198"/>
    </row>
    <row r="393" spans="1:30" s="594" customFormat="1" ht="15.75" customHeight="1">
      <c r="A393" s="204" t="str">
        <f>IF(B393&lt;&gt;"",IF(AND(B393&gt;=_TM1,B393&lt;=_TM2,OR(TH!L393="1111",TH!M393="1111")),TH!D393,""),"")</f>
        <v/>
      </c>
      <c r="B393" s="36">
        <f t="shared" si="49"/>
        <v>4</v>
      </c>
      <c r="C393" s="191">
        <f t="shared" si="40"/>
        <v>41393</v>
      </c>
      <c r="D393" s="184" t="s">
        <v>409</v>
      </c>
      <c r="E393" s="184">
        <v>41393</v>
      </c>
      <c r="F393" s="192" t="s">
        <v>657</v>
      </c>
      <c r="G393" s="664" t="s">
        <v>652</v>
      </c>
      <c r="H393" s="193" t="s">
        <v>643</v>
      </c>
      <c r="I393" s="256">
        <v>265</v>
      </c>
      <c r="J393" s="256">
        <v>14434</v>
      </c>
      <c r="K393" s="38">
        <f t="shared" si="56"/>
        <v>3825010</v>
      </c>
      <c r="L393" s="194" t="s">
        <v>159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50"/>
      <c r="AB393" s="211"/>
      <c r="AC393" s="198"/>
      <c r="AD393" s="198"/>
    </row>
    <row r="394" spans="1:30" s="594" customFormat="1" ht="15.75" customHeight="1">
      <c r="A394" s="204" t="str">
        <f>IF(B394&lt;&gt;"",IF(AND(B394&gt;=_TM1,B394&lt;=_TM2,OR(TH!L394="1111",TH!M394="1111")),TH!D394,""),"")</f>
        <v/>
      </c>
      <c r="B394" s="36">
        <f t="shared" si="49"/>
        <v>4</v>
      </c>
      <c r="C394" s="191">
        <f t="shared" si="40"/>
        <v>41393</v>
      </c>
      <c r="D394" s="184" t="s">
        <v>409</v>
      </c>
      <c r="E394" s="184">
        <v>41393</v>
      </c>
      <c r="F394" s="192" t="s">
        <v>650</v>
      </c>
      <c r="G394" s="664" t="s">
        <v>652</v>
      </c>
      <c r="H394" s="193" t="s">
        <v>643</v>
      </c>
      <c r="I394" s="256">
        <v>500</v>
      </c>
      <c r="J394" s="256">
        <v>11172</v>
      </c>
      <c r="K394" s="38">
        <f t="shared" si="56"/>
        <v>5586000</v>
      </c>
      <c r="L394" s="194" t="s">
        <v>159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50"/>
      <c r="AC394" s="198"/>
      <c r="AD394" s="198"/>
    </row>
    <row r="395" spans="1:30" s="594" customFormat="1" ht="15.75" customHeight="1">
      <c r="A395" s="204" t="str">
        <f>IF(B395&lt;&gt;"",IF(AND(B395&gt;=_TM1,B395&lt;=_TM2,OR(TH!L395="1111",TH!M395="1111")),TH!D395,""),"")</f>
        <v/>
      </c>
      <c r="B395" s="36">
        <f t="shared" si="49"/>
        <v>4</v>
      </c>
      <c r="C395" s="191">
        <f t="shared" si="40"/>
        <v>41393</v>
      </c>
      <c r="D395" s="184" t="s">
        <v>409</v>
      </c>
      <c r="E395" s="184">
        <v>41393</v>
      </c>
      <c r="F395" s="192" t="s">
        <v>588</v>
      </c>
      <c r="G395" s="664" t="s">
        <v>652</v>
      </c>
      <c r="H395" s="193" t="s">
        <v>643</v>
      </c>
      <c r="I395" s="256"/>
      <c r="J395" s="256"/>
      <c r="K395" s="38">
        <v>1815276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50"/>
      <c r="AB395" s="211">
        <v>5</v>
      </c>
      <c r="AC395" s="198"/>
      <c r="AD395" s="198"/>
    </row>
    <row r="396" spans="1:30" s="594" customFormat="1" ht="15.75" customHeight="1">
      <c r="A396" s="204" t="str">
        <f>IF(B396&lt;&gt;"",IF(AND(B396&gt;=_TM1,B396&lt;=_TM2,OR(TH!L396="1111",TH!M396="1111")),TH!D396,""),"")</f>
        <v/>
      </c>
      <c r="B396" s="36">
        <f t="shared" si="49"/>
        <v>4</v>
      </c>
      <c r="C396" s="191">
        <f t="shared" ref="C396" si="57">E396</f>
        <v>41393</v>
      </c>
      <c r="D396" s="184" t="s">
        <v>409</v>
      </c>
      <c r="E396" s="184">
        <v>41393</v>
      </c>
      <c r="F396" s="192" t="s">
        <v>371</v>
      </c>
      <c r="G396" s="664" t="s">
        <v>652</v>
      </c>
      <c r="H396" s="193" t="s">
        <v>643</v>
      </c>
      <c r="I396" s="256"/>
      <c r="J396" s="256"/>
      <c r="K396" s="38">
        <v>19968041</v>
      </c>
      <c r="L396" s="194" t="s">
        <v>8</v>
      </c>
      <c r="M396" s="194" t="s">
        <v>47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>x</v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50"/>
      <c r="AB396" s="211"/>
      <c r="AC396" s="198"/>
      <c r="AD396" s="198"/>
    </row>
    <row r="397" spans="1:30" s="594" customFormat="1" ht="15.75" customHeight="1">
      <c r="A397" s="204" t="str">
        <f>IF(B397&lt;&gt;"",IF(AND(B397&gt;=_TM1,B397&lt;=_TM2,OR(TH!L397="1111",TH!M397="1111")),TH!D397,""),"")</f>
        <v/>
      </c>
      <c r="B397" s="36">
        <f t="shared" si="49"/>
        <v>5</v>
      </c>
      <c r="C397" s="191">
        <f t="shared" si="40"/>
        <v>41397</v>
      </c>
      <c r="D397" s="184" t="s">
        <v>410</v>
      </c>
      <c r="E397" s="184">
        <v>41397</v>
      </c>
      <c r="F397" s="192" t="s">
        <v>650</v>
      </c>
      <c r="G397" s="664" t="s">
        <v>658</v>
      </c>
      <c r="H397" s="193" t="s">
        <v>643</v>
      </c>
      <c r="I397" s="256">
        <v>1539</v>
      </c>
      <c r="J397" s="256">
        <v>11172</v>
      </c>
      <c r="K397" s="38">
        <f>ROUND(I397*J397,0)</f>
        <v>17193708</v>
      </c>
      <c r="L397" s="194" t="s">
        <v>159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50"/>
      <c r="AB397" s="211"/>
      <c r="AC397" s="198"/>
      <c r="AD397" s="198"/>
    </row>
    <row r="398" spans="1:30" s="594" customFormat="1" ht="15.75" customHeight="1">
      <c r="A398" s="204" t="str">
        <f>IF(B398&lt;&gt;"",IF(AND(B398&gt;=_TM1,B398&lt;=_TM2,OR(TH!L398="1111",TH!M398="1111")),TH!D398,""),"")</f>
        <v/>
      </c>
      <c r="B398" s="36">
        <f t="shared" si="49"/>
        <v>5</v>
      </c>
      <c r="C398" s="191">
        <f t="shared" si="40"/>
        <v>41397</v>
      </c>
      <c r="D398" s="184" t="s">
        <v>410</v>
      </c>
      <c r="E398" s="184">
        <v>41397</v>
      </c>
      <c r="F398" s="192" t="s">
        <v>588</v>
      </c>
      <c r="G398" s="664" t="s">
        <v>658</v>
      </c>
      <c r="H398" s="193" t="s">
        <v>643</v>
      </c>
      <c r="I398" s="256"/>
      <c r="J398" s="256"/>
      <c r="K398" s="38">
        <v>1719370</v>
      </c>
      <c r="L398" s="194" t="s">
        <v>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50"/>
      <c r="AB398" s="211">
        <v>5</v>
      </c>
      <c r="AC398" s="198"/>
      <c r="AD398" s="198"/>
    </row>
    <row r="399" spans="1:30" s="594" customFormat="1" ht="15.75" customHeight="1">
      <c r="A399" s="204" t="str">
        <f>IF(B399&lt;&gt;"",IF(AND(B399&gt;=_TM1,B399&lt;=_TM2,OR(TH!L399="1111",TH!M399="1111")),TH!D399,""),"")</f>
        <v/>
      </c>
      <c r="B399" s="36">
        <f t="shared" si="49"/>
        <v>5</v>
      </c>
      <c r="C399" s="191">
        <f t="shared" ref="C399" si="58">E399</f>
        <v>41397</v>
      </c>
      <c r="D399" s="184" t="s">
        <v>410</v>
      </c>
      <c r="E399" s="184">
        <v>41397</v>
      </c>
      <c r="F399" s="192" t="s">
        <v>371</v>
      </c>
      <c r="G399" s="664" t="s">
        <v>658</v>
      </c>
      <c r="H399" s="193" t="s">
        <v>643</v>
      </c>
      <c r="I399" s="256"/>
      <c r="J399" s="256"/>
      <c r="K399" s="38">
        <v>18913078</v>
      </c>
      <c r="L399" s="194" t="s">
        <v>8</v>
      </c>
      <c r="M399" s="194" t="s">
        <v>47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>x</v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50"/>
      <c r="AB399" s="211"/>
      <c r="AC399" s="198"/>
      <c r="AD399" s="198"/>
    </row>
    <row r="400" spans="1:30" s="594" customFormat="1" ht="15.75" customHeight="1">
      <c r="A400" s="204" t="str">
        <f>IF(B400&lt;&gt;"",IF(AND(B400&gt;=_TM1,B400&lt;=_TM2,OR(TH!L400="1111",TH!M400="1111")),TH!D400,""),"")</f>
        <v/>
      </c>
      <c r="B400" s="36">
        <f t="shared" si="49"/>
        <v>5</v>
      </c>
      <c r="C400" s="191">
        <f t="shared" si="40"/>
        <v>41402</v>
      </c>
      <c r="D400" s="184" t="s">
        <v>411</v>
      </c>
      <c r="E400" s="184">
        <v>41402</v>
      </c>
      <c r="F400" s="192" t="s">
        <v>659</v>
      </c>
      <c r="G400" s="664" t="s">
        <v>660</v>
      </c>
      <c r="H400" s="193" t="s">
        <v>643</v>
      </c>
      <c r="I400" s="256">
        <v>350</v>
      </c>
      <c r="J400" s="256">
        <v>20290</v>
      </c>
      <c r="K400" s="38">
        <f>ROUND(I400*J400,0)</f>
        <v>7101500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50"/>
      <c r="AB400" s="211"/>
      <c r="AC400" s="198"/>
      <c r="AD400" s="198"/>
    </row>
    <row r="401" spans="1:30" s="594" customFormat="1" ht="15.75" customHeight="1">
      <c r="A401" s="204" t="str">
        <f>IF(B401&lt;&gt;"",IF(AND(B401&gt;=_TM1,B401&lt;=_TM2,OR(TH!L401="1111",TH!M401="1111")),TH!D401,""),"")</f>
        <v/>
      </c>
      <c r="B401" s="36">
        <f t="shared" si="49"/>
        <v>5</v>
      </c>
      <c r="C401" s="191">
        <f t="shared" si="40"/>
        <v>41402</v>
      </c>
      <c r="D401" s="184" t="s">
        <v>411</v>
      </c>
      <c r="E401" s="184">
        <v>41402</v>
      </c>
      <c r="F401" s="192" t="s">
        <v>661</v>
      </c>
      <c r="G401" s="664" t="s">
        <v>660</v>
      </c>
      <c r="H401" s="193" t="s">
        <v>643</v>
      </c>
      <c r="I401" s="256">
        <v>60</v>
      </c>
      <c r="J401" s="256">
        <v>17222</v>
      </c>
      <c r="K401" s="38">
        <f>ROUND(I401*J401,0)</f>
        <v>1033320</v>
      </c>
      <c r="L401" s="194" t="s">
        <v>159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50"/>
      <c r="AC401" s="198"/>
      <c r="AD401" s="198"/>
    </row>
    <row r="402" spans="1:30" s="594" customFormat="1" ht="15.75" customHeight="1">
      <c r="A402" s="204" t="str">
        <f>IF(B402&lt;&gt;"",IF(AND(B402&gt;=_TM1,B402&lt;=_TM2,OR(TH!L402="1111",TH!M402="1111")),TH!D402,""),"")</f>
        <v/>
      </c>
      <c r="B402" s="36">
        <f t="shared" si="49"/>
        <v>5</v>
      </c>
      <c r="C402" s="191">
        <f t="shared" si="40"/>
        <v>41402</v>
      </c>
      <c r="D402" s="184" t="s">
        <v>411</v>
      </c>
      <c r="E402" s="184">
        <v>41402</v>
      </c>
      <c r="F402" s="192" t="s">
        <v>662</v>
      </c>
      <c r="G402" s="664" t="s">
        <v>660</v>
      </c>
      <c r="H402" s="193" t="s">
        <v>643</v>
      </c>
      <c r="I402" s="256">
        <v>108</v>
      </c>
      <c r="J402" s="256">
        <v>14978</v>
      </c>
      <c r="K402" s="38">
        <f>ROUND(I402*J402,0)</f>
        <v>1617624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50"/>
      <c r="AC402" s="198"/>
      <c r="AD402" s="198"/>
    </row>
    <row r="403" spans="1:30" s="594" customFormat="1" ht="15.75" customHeight="1">
      <c r="A403" s="204" t="str">
        <f>IF(B403&lt;&gt;"",IF(AND(B403&gt;=_TM1,B403&lt;=_TM2,OR(TH!L403="1111",TH!M403="1111")),TH!D403,""),"")</f>
        <v/>
      </c>
      <c r="B403" s="36">
        <f t="shared" si="49"/>
        <v>5</v>
      </c>
      <c r="C403" s="191">
        <f t="shared" si="40"/>
        <v>41402</v>
      </c>
      <c r="D403" s="184" t="s">
        <v>411</v>
      </c>
      <c r="E403" s="184">
        <v>41402</v>
      </c>
      <c r="F403" s="192" t="s">
        <v>663</v>
      </c>
      <c r="G403" s="664" t="s">
        <v>660</v>
      </c>
      <c r="H403" s="193" t="s">
        <v>643</v>
      </c>
      <c r="I403" s="256">
        <v>100</v>
      </c>
      <c r="J403" s="256">
        <v>11238</v>
      </c>
      <c r="K403" s="38">
        <f>ROUND(I403*J403,0)</f>
        <v>1123800</v>
      </c>
      <c r="L403" s="194" t="s">
        <v>159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50"/>
      <c r="AC403" s="198"/>
      <c r="AD403" s="198"/>
    </row>
    <row r="404" spans="1:30" s="594" customFormat="1" ht="15.75" customHeight="1">
      <c r="A404" s="204" t="str">
        <f>IF(B404&lt;&gt;"",IF(AND(B404&gt;=_TM1,B404&lt;=_TM2,OR(TH!L404="1111",TH!M404="1111")),TH!D404,""),"")</f>
        <v/>
      </c>
      <c r="B404" s="36">
        <f t="shared" si="49"/>
        <v>5</v>
      </c>
      <c r="C404" s="191">
        <f t="shared" si="40"/>
        <v>41402</v>
      </c>
      <c r="D404" s="184" t="s">
        <v>411</v>
      </c>
      <c r="E404" s="184">
        <v>41402</v>
      </c>
      <c r="F404" s="192" t="s">
        <v>664</v>
      </c>
      <c r="G404" s="664" t="s">
        <v>660</v>
      </c>
      <c r="H404" s="193" t="s">
        <v>643</v>
      </c>
      <c r="I404" s="256">
        <v>100</v>
      </c>
      <c r="J404" s="256">
        <v>12629</v>
      </c>
      <c r="K404" s="38">
        <f>ROUND(I404*J404,0)</f>
        <v>1262900</v>
      </c>
      <c r="L404" s="194" t="s">
        <v>159</v>
      </c>
      <c r="M404" s="194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50"/>
      <c r="AC404" s="198"/>
      <c r="AD404" s="198"/>
    </row>
    <row r="405" spans="1:30" s="594" customFormat="1" ht="15.75" customHeight="1">
      <c r="A405" s="204" t="str">
        <f>IF(B405&lt;&gt;"",IF(AND(B405&gt;=_TM1,B405&lt;=_TM2,OR(TH!L405="1111",TH!M405="1111")),TH!D405,""),"")</f>
        <v/>
      </c>
      <c r="B405" s="36">
        <f t="shared" si="49"/>
        <v>5</v>
      </c>
      <c r="C405" s="191">
        <f t="shared" si="40"/>
        <v>41402</v>
      </c>
      <c r="D405" s="184" t="s">
        <v>411</v>
      </c>
      <c r="E405" s="184">
        <v>41402</v>
      </c>
      <c r="F405" s="192" t="s">
        <v>588</v>
      </c>
      <c r="G405" s="664" t="s">
        <v>660</v>
      </c>
      <c r="H405" s="193" t="s">
        <v>643</v>
      </c>
      <c r="I405" s="256"/>
      <c r="J405" s="256"/>
      <c r="K405" s="38">
        <v>1213914</v>
      </c>
      <c r="L405" s="194" t="s">
        <v>9</v>
      </c>
      <c r="M405" s="194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50"/>
      <c r="AB405" s="594">
        <v>5</v>
      </c>
      <c r="AC405" s="198"/>
      <c r="AD405" s="198"/>
    </row>
    <row r="406" spans="1:30" s="594" customFormat="1" ht="15.75" customHeight="1">
      <c r="A406" s="204" t="str">
        <f>IF(B406&lt;&gt;"",IF(AND(B406&gt;=_TM1,B406&lt;=_TM2,OR(TH!L406="1111",TH!M406="1111")),TH!D406,""),"")</f>
        <v/>
      </c>
      <c r="B406" s="36">
        <f t="shared" si="49"/>
        <v>5</v>
      </c>
      <c r="C406" s="191">
        <f t="shared" ref="C406" si="59">E406</f>
        <v>41402</v>
      </c>
      <c r="D406" s="184" t="s">
        <v>411</v>
      </c>
      <c r="E406" s="184">
        <v>41402</v>
      </c>
      <c r="F406" s="192" t="s">
        <v>371</v>
      </c>
      <c r="G406" s="664" t="s">
        <v>660</v>
      </c>
      <c r="H406" s="193" t="s">
        <v>643</v>
      </c>
      <c r="I406" s="256"/>
      <c r="J406" s="256"/>
      <c r="K406" s="38">
        <v>13353058</v>
      </c>
      <c r="L406" s="194" t="s">
        <v>8</v>
      </c>
      <c r="M406" s="194" t="s">
        <v>47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>x</v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50"/>
      <c r="AB406" s="211"/>
      <c r="AC406" s="198"/>
      <c r="AD406" s="198"/>
    </row>
    <row r="407" spans="1:30" s="594" customFormat="1" ht="15.75" customHeight="1">
      <c r="A407" s="204" t="str">
        <f>IF(B407&lt;&gt;"",IF(AND(B407&gt;=_TM1,B407&lt;=_TM2,OR(TH!L407="1111",TH!M407="1111")),TH!D407,""),"")</f>
        <v/>
      </c>
      <c r="B407" s="36">
        <f t="shared" si="49"/>
        <v>5</v>
      </c>
      <c r="C407" s="191">
        <f t="shared" si="40"/>
        <v>41404</v>
      </c>
      <c r="D407" s="184" t="s">
        <v>412</v>
      </c>
      <c r="E407" s="184">
        <v>41404</v>
      </c>
      <c r="F407" s="192" t="s">
        <v>665</v>
      </c>
      <c r="G407" s="664" t="s">
        <v>666</v>
      </c>
      <c r="H407" s="193" t="s">
        <v>643</v>
      </c>
      <c r="I407" s="256">
        <v>510</v>
      </c>
      <c r="J407" s="256">
        <v>16375</v>
      </c>
      <c r="K407" s="38">
        <f>ROUND(I407*J407,0)</f>
        <v>8351250</v>
      </c>
      <c r="L407" s="194" t="s">
        <v>159</v>
      </c>
      <c r="M407" s="194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50"/>
      <c r="AB407" s="211"/>
      <c r="AC407" s="198"/>
      <c r="AD407" s="198"/>
    </row>
    <row r="408" spans="1:30" s="594" customFormat="1" ht="15.75" customHeight="1">
      <c r="A408" s="204" t="str">
        <f>IF(B408&lt;&gt;"",IF(AND(B408&gt;=_TM1,B408&lt;=_TM2,OR(TH!L408="1111",TH!M408="1111")),TH!D408,""),"")</f>
        <v/>
      </c>
      <c r="B408" s="36">
        <f t="shared" si="49"/>
        <v>5</v>
      </c>
      <c r="C408" s="191">
        <f t="shared" si="40"/>
        <v>41404</v>
      </c>
      <c r="D408" s="184" t="s">
        <v>412</v>
      </c>
      <c r="E408" s="184">
        <v>41404</v>
      </c>
      <c r="F408" s="192" t="s">
        <v>667</v>
      </c>
      <c r="G408" s="664" t="s">
        <v>666</v>
      </c>
      <c r="H408" s="193" t="s">
        <v>643</v>
      </c>
      <c r="I408" s="256">
        <v>250</v>
      </c>
      <c r="J408" s="256">
        <v>26903</v>
      </c>
      <c r="K408" s="38">
        <f>ROUND(I408*J408,0)</f>
        <v>6725750</v>
      </c>
      <c r="L408" s="194" t="s">
        <v>159</v>
      </c>
      <c r="M408" s="194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50"/>
      <c r="AB408" s="211"/>
      <c r="AC408" s="198"/>
      <c r="AD408" s="198"/>
    </row>
    <row r="409" spans="1:30" s="594" customFormat="1" ht="15.75" customHeight="1">
      <c r="A409" s="204" t="str">
        <f>IF(B409&lt;&gt;"",IF(AND(B409&gt;=_TM1,B409&lt;=_TM2,OR(TH!L409="1111",TH!M409="1111")),TH!D409,""),"")</f>
        <v/>
      </c>
      <c r="B409" s="36">
        <f t="shared" si="49"/>
        <v>5</v>
      </c>
      <c r="C409" s="191">
        <f t="shared" ref="C409:C499" si="60">E409</f>
        <v>41404</v>
      </c>
      <c r="D409" s="184" t="s">
        <v>412</v>
      </c>
      <c r="E409" s="184">
        <v>41404</v>
      </c>
      <c r="F409" s="192" t="s">
        <v>588</v>
      </c>
      <c r="G409" s="664" t="s">
        <v>666</v>
      </c>
      <c r="H409" s="193" t="s">
        <v>643</v>
      </c>
      <c r="I409" s="256"/>
      <c r="J409" s="256"/>
      <c r="K409" s="38">
        <v>1507700</v>
      </c>
      <c r="L409" s="194" t="s">
        <v>9</v>
      </c>
      <c r="M409" s="194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50"/>
      <c r="AB409" s="594">
        <v>5</v>
      </c>
      <c r="AC409" s="198"/>
      <c r="AD409" s="198"/>
    </row>
    <row r="410" spans="1:30" s="594" customFormat="1" ht="15.75" customHeight="1">
      <c r="A410" s="204" t="str">
        <f>IF(B410&lt;&gt;"",IF(AND(B410&gt;=_TM1,B410&lt;=_TM2,OR(TH!L410="1111",TH!M410="1111")),TH!D410,""),"")</f>
        <v/>
      </c>
      <c r="B410" s="36">
        <f t="shared" si="49"/>
        <v>5</v>
      </c>
      <c r="C410" s="191">
        <f t="shared" ref="C410" si="61">E410</f>
        <v>41404</v>
      </c>
      <c r="D410" s="184" t="s">
        <v>412</v>
      </c>
      <c r="E410" s="184">
        <v>41404</v>
      </c>
      <c r="F410" s="192" t="s">
        <v>371</v>
      </c>
      <c r="G410" s="664" t="s">
        <v>666</v>
      </c>
      <c r="H410" s="193" t="s">
        <v>643</v>
      </c>
      <c r="I410" s="256"/>
      <c r="J410" s="256"/>
      <c r="K410" s="38">
        <v>16584700</v>
      </c>
      <c r="L410" s="194" t="s">
        <v>8</v>
      </c>
      <c r="M410" s="194" t="s">
        <v>47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>x</v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50"/>
      <c r="AB410" s="211"/>
      <c r="AC410" s="198"/>
      <c r="AD410" s="198"/>
    </row>
    <row r="411" spans="1:30" s="594" customFormat="1" ht="15.75" customHeight="1">
      <c r="A411" s="204" t="str">
        <f>IF(B411&lt;&gt;"",IF(AND(B411&gt;=_TM1,B411&lt;=_TM2,OR(TH!L411="1111",TH!M411="1111")),TH!D411,""),"")</f>
        <v/>
      </c>
      <c r="B411" s="36">
        <f t="shared" si="49"/>
        <v>5</v>
      </c>
      <c r="C411" s="191">
        <f t="shared" si="60"/>
        <v>41423</v>
      </c>
      <c r="D411" s="184" t="s">
        <v>413</v>
      </c>
      <c r="E411" s="184">
        <v>41423</v>
      </c>
      <c r="F411" s="192" t="s">
        <v>668</v>
      </c>
      <c r="G411" s="664" t="s">
        <v>669</v>
      </c>
      <c r="H411" s="193" t="s">
        <v>643</v>
      </c>
      <c r="I411" s="256">
        <v>150</v>
      </c>
      <c r="J411" s="256">
        <v>15456</v>
      </c>
      <c r="K411" s="38">
        <f>ROUND(I411*J411,0)</f>
        <v>2318400</v>
      </c>
      <c r="L411" s="194" t="s">
        <v>159</v>
      </c>
      <c r="M411" s="194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50"/>
      <c r="AB411" s="211"/>
      <c r="AC411" s="198"/>
      <c r="AD411" s="198"/>
    </row>
    <row r="412" spans="1:30" s="594" customFormat="1" ht="15.75" customHeight="1">
      <c r="A412" s="204" t="str">
        <f>IF(B412&lt;&gt;"",IF(AND(B412&gt;=_TM1,B412&lt;=_TM2,OR(TH!L412="1111",TH!M412="1111")),TH!D412,""),"")</f>
        <v/>
      </c>
      <c r="B412" s="36">
        <f t="shared" si="49"/>
        <v>5</v>
      </c>
      <c r="C412" s="191">
        <f t="shared" si="60"/>
        <v>41423</v>
      </c>
      <c r="D412" s="184" t="s">
        <v>413</v>
      </c>
      <c r="E412" s="184">
        <v>41423</v>
      </c>
      <c r="F412" s="192" t="s">
        <v>670</v>
      </c>
      <c r="G412" s="664" t="s">
        <v>669</v>
      </c>
      <c r="H412" s="193" t="s">
        <v>643</v>
      </c>
      <c r="I412" s="256">
        <v>1280</v>
      </c>
      <c r="J412" s="256">
        <v>10801</v>
      </c>
      <c r="K412" s="38">
        <f>ROUND(I412*J412,0)</f>
        <v>13825280</v>
      </c>
      <c r="L412" s="194" t="s">
        <v>159</v>
      </c>
      <c r="M412" s="194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50"/>
      <c r="AB412" s="211"/>
      <c r="AC412" s="198"/>
      <c r="AD412" s="198"/>
    </row>
    <row r="413" spans="1:30" s="594" customFormat="1" ht="15.75" customHeight="1">
      <c r="A413" s="204" t="str">
        <f>IF(B413&lt;&gt;"",IF(AND(B413&gt;=_TM1,B413&lt;=_TM2,OR(TH!L413="1111",TH!M413="1111")),TH!D413,""),"")</f>
        <v/>
      </c>
      <c r="B413" s="36">
        <f t="shared" si="49"/>
        <v>5</v>
      </c>
      <c r="C413" s="191">
        <f t="shared" si="60"/>
        <v>41423</v>
      </c>
      <c r="D413" s="184" t="s">
        <v>413</v>
      </c>
      <c r="E413" s="184">
        <v>41423</v>
      </c>
      <c r="F413" s="192" t="s">
        <v>588</v>
      </c>
      <c r="G413" s="664" t="s">
        <v>669</v>
      </c>
      <c r="H413" s="193" t="s">
        <v>643</v>
      </c>
      <c r="I413" s="256"/>
      <c r="J413" s="256"/>
      <c r="K413" s="38">
        <v>1614368</v>
      </c>
      <c r="L413" s="194" t="s">
        <v>9</v>
      </c>
      <c r="M413" s="194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50"/>
      <c r="AB413" s="594">
        <v>6</v>
      </c>
      <c r="AC413" s="198"/>
      <c r="AD413" s="198"/>
    </row>
    <row r="414" spans="1:30" s="594" customFormat="1" ht="15.75" customHeight="1">
      <c r="A414" s="204" t="str">
        <f>IF(B414&lt;&gt;"",IF(AND(B414&gt;=_TM1,B414&lt;=_TM2,OR(TH!L414="1111",TH!M414="1111")),TH!D414,""),"")</f>
        <v/>
      </c>
      <c r="B414" s="36">
        <f t="shared" si="49"/>
        <v>5</v>
      </c>
      <c r="C414" s="191">
        <f t="shared" ref="C414" si="62">E414</f>
        <v>41423</v>
      </c>
      <c r="D414" s="184" t="s">
        <v>413</v>
      </c>
      <c r="E414" s="184">
        <v>41423</v>
      </c>
      <c r="F414" s="192" t="s">
        <v>371</v>
      </c>
      <c r="G414" s="664" t="s">
        <v>669</v>
      </c>
      <c r="H414" s="193" t="s">
        <v>643</v>
      </c>
      <c r="I414" s="256"/>
      <c r="J414" s="256"/>
      <c r="K414" s="38">
        <v>17758048</v>
      </c>
      <c r="L414" s="194" t="s">
        <v>8</v>
      </c>
      <c r="M414" s="194" t="s">
        <v>47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50"/>
      <c r="AB414" s="211"/>
      <c r="AC414" s="198"/>
      <c r="AD414" s="198"/>
    </row>
    <row r="415" spans="1:30" s="594" customFormat="1" ht="15.75" customHeight="1">
      <c r="A415" s="204" t="str">
        <f>IF(B415&lt;&gt;"",IF(AND(B415&gt;=_TM1,B415&lt;=_TM2,OR(TH!L415="1111",TH!M415="1111")),TH!D415,""),"")</f>
        <v/>
      </c>
      <c r="B415" s="36">
        <f t="shared" si="49"/>
        <v>5</v>
      </c>
      <c r="C415" s="191">
        <f t="shared" si="60"/>
        <v>41424</v>
      </c>
      <c r="D415" s="184" t="s">
        <v>414</v>
      </c>
      <c r="E415" s="184">
        <v>41424</v>
      </c>
      <c r="F415" s="192" t="s">
        <v>671</v>
      </c>
      <c r="G415" s="664" t="s">
        <v>672</v>
      </c>
      <c r="H415" s="193" t="s">
        <v>643</v>
      </c>
      <c r="I415" s="256">
        <v>835</v>
      </c>
      <c r="J415" s="256">
        <v>14813</v>
      </c>
      <c r="K415" s="38">
        <f>ROUND(I415*J415,0)</f>
        <v>12368855</v>
      </c>
      <c r="L415" s="194" t="s">
        <v>159</v>
      </c>
      <c r="M415" s="194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50"/>
      <c r="AC415" s="198"/>
      <c r="AD415" s="198"/>
    </row>
    <row r="416" spans="1:30" s="594" customFormat="1" ht="15.75" customHeight="1">
      <c r="A416" s="204" t="str">
        <f>IF(B416&lt;&gt;"",IF(AND(B416&gt;=_TM1,B416&lt;=_TM2,OR(TH!L416="1111",TH!M416="1111")),TH!D416,""),"")</f>
        <v/>
      </c>
      <c r="B416" s="36">
        <f t="shared" si="49"/>
        <v>5</v>
      </c>
      <c r="C416" s="191">
        <f t="shared" si="60"/>
        <v>41424</v>
      </c>
      <c r="D416" s="184" t="s">
        <v>414</v>
      </c>
      <c r="E416" s="184">
        <v>41424</v>
      </c>
      <c r="F416" s="192" t="s">
        <v>673</v>
      </c>
      <c r="G416" s="664" t="s">
        <v>672</v>
      </c>
      <c r="H416" s="193" t="s">
        <v>643</v>
      </c>
      <c r="I416" s="256">
        <v>150</v>
      </c>
      <c r="J416" s="256">
        <v>10904</v>
      </c>
      <c r="K416" s="38">
        <f>ROUND(I416*J416,0)</f>
        <v>1635600</v>
      </c>
      <c r="L416" s="194" t="s">
        <v>159</v>
      </c>
      <c r="M416" s="194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50"/>
      <c r="AB416" s="211"/>
      <c r="AC416" s="198"/>
      <c r="AD416" s="198"/>
    </row>
    <row r="417" spans="1:30" s="594" customFormat="1" ht="15.75" customHeight="1">
      <c r="A417" s="204" t="str">
        <f>IF(B417&lt;&gt;"",IF(AND(B417&gt;=_TM1,B417&lt;=_TM2,OR(TH!L417="1111",TH!M417="1111")),TH!D417,""),"")</f>
        <v/>
      </c>
      <c r="B417" s="36">
        <f t="shared" si="49"/>
        <v>5</v>
      </c>
      <c r="C417" s="191">
        <f t="shared" si="60"/>
        <v>41424</v>
      </c>
      <c r="D417" s="184" t="s">
        <v>414</v>
      </c>
      <c r="E417" s="184">
        <v>41424</v>
      </c>
      <c r="F417" s="192" t="s">
        <v>588</v>
      </c>
      <c r="G417" s="664" t="s">
        <v>672</v>
      </c>
      <c r="H417" s="193" t="s">
        <v>643</v>
      </c>
      <c r="I417" s="256"/>
      <c r="J417" s="256"/>
      <c r="K417" s="38">
        <v>1400445</v>
      </c>
      <c r="L417" s="194" t="s">
        <v>9</v>
      </c>
      <c r="M417" s="194" t="s">
        <v>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50"/>
      <c r="AB417" s="594">
        <v>6</v>
      </c>
      <c r="AC417" s="198"/>
      <c r="AD417" s="198"/>
    </row>
    <row r="418" spans="1:30" s="594" customFormat="1" ht="15.75" customHeight="1">
      <c r="A418" s="204" t="str">
        <f>IF(B418&lt;&gt;"",IF(AND(B418&gt;=_TM1,B418&lt;=_TM2,OR(TH!L418="1111",TH!M418="1111")),TH!D418,""),"")</f>
        <v/>
      </c>
      <c r="B418" s="36">
        <f t="shared" si="49"/>
        <v>5</v>
      </c>
      <c r="C418" s="191">
        <f t="shared" ref="C418" si="63">E418</f>
        <v>41424</v>
      </c>
      <c r="D418" s="184" t="s">
        <v>414</v>
      </c>
      <c r="E418" s="184">
        <v>41424</v>
      </c>
      <c r="F418" s="192" t="s">
        <v>371</v>
      </c>
      <c r="G418" s="664" t="s">
        <v>672</v>
      </c>
      <c r="H418" s="193" t="s">
        <v>643</v>
      </c>
      <c r="I418" s="256"/>
      <c r="J418" s="256"/>
      <c r="K418" s="38">
        <v>15404900</v>
      </c>
      <c r="L418" s="194" t="s">
        <v>8</v>
      </c>
      <c r="M418" s="194" t="s">
        <v>47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50"/>
      <c r="AB418" s="211"/>
      <c r="AC418" s="198"/>
      <c r="AD418" s="198"/>
    </row>
    <row r="419" spans="1:30" s="594" customFormat="1" ht="15.75" customHeight="1">
      <c r="A419" s="204" t="str">
        <f>IF(B419&lt;&gt;"",IF(AND(B419&gt;=_TM1,B419&lt;=_TM2,OR(TH!L419="1111",TH!M419="1111")),TH!D419,""),"")</f>
        <v/>
      </c>
      <c r="B419" s="36">
        <f t="shared" si="49"/>
        <v>8</v>
      </c>
      <c r="C419" s="191">
        <f t="shared" si="60"/>
        <v>41487</v>
      </c>
      <c r="D419" s="184" t="s">
        <v>407</v>
      </c>
      <c r="E419" s="184">
        <v>41487</v>
      </c>
      <c r="F419" s="192" t="s">
        <v>674</v>
      </c>
      <c r="G419" s="664" t="s">
        <v>675</v>
      </c>
      <c r="H419" s="193" t="s">
        <v>676</v>
      </c>
      <c r="I419" s="256">
        <v>650</v>
      </c>
      <c r="J419" s="256">
        <v>9577</v>
      </c>
      <c r="K419" s="38">
        <f>ROUND(I419*J419,0)</f>
        <v>6225050</v>
      </c>
      <c r="L419" s="194" t="s">
        <v>159</v>
      </c>
      <c r="M419" s="194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50"/>
      <c r="AC419" s="198"/>
      <c r="AD419" s="198"/>
    </row>
    <row r="420" spans="1:30" s="594" customFormat="1" ht="15.75" customHeight="1">
      <c r="A420" s="204" t="str">
        <f>IF(B420&lt;&gt;"",IF(AND(B420&gt;=_TM1,B420&lt;=_TM2,OR(TH!L420="1111",TH!M420="1111")),TH!D420,""),"")</f>
        <v/>
      </c>
      <c r="B420" s="36">
        <f t="shared" si="49"/>
        <v>8</v>
      </c>
      <c r="C420" s="191">
        <f t="shared" si="60"/>
        <v>41487</v>
      </c>
      <c r="D420" s="184" t="s">
        <v>407</v>
      </c>
      <c r="E420" s="184">
        <v>41487</v>
      </c>
      <c r="F420" s="192" t="s">
        <v>588</v>
      </c>
      <c r="G420" s="664" t="s">
        <v>675</v>
      </c>
      <c r="H420" s="193" t="s">
        <v>676</v>
      </c>
      <c r="I420" s="256"/>
      <c r="J420" s="256"/>
      <c r="K420" s="38">
        <v>622505</v>
      </c>
      <c r="L420" s="194" t="s">
        <v>9</v>
      </c>
      <c r="M420" s="194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50"/>
      <c r="AB420" s="594">
        <v>9</v>
      </c>
      <c r="AC420" s="198"/>
      <c r="AD420" s="198"/>
    </row>
    <row r="421" spans="1:30" s="594" customFormat="1" ht="15.75" customHeight="1">
      <c r="A421" s="204" t="str">
        <f>IF(B421&lt;&gt;"",IF(AND(B421&gt;=_TM1,B421&lt;=_TM2,OR(TH!L421="1111",TH!M421="1111")),TH!D421,""),"")</f>
        <v/>
      </c>
      <c r="B421" s="36">
        <f t="shared" si="49"/>
        <v>8</v>
      </c>
      <c r="C421" s="191">
        <f t="shared" ref="C421" si="64">E421</f>
        <v>41487</v>
      </c>
      <c r="D421" s="184" t="s">
        <v>407</v>
      </c>
      <c r="E421" s="184">
        <v>41487</v>
      </c>
      <c r="F421" s="192" t="s">
        <v>371</v>
      </c>
      <c r="G421" s="664" t="s">
        <v>675</v>
      </c>
      <c r="H421" s="193" t="s">
        <v>676</v>
      </c>
      <c r="I421" s="256"/>
      <c r="J421" s="256"/>
      <c r="K421" s="38">
        <v>6847555</v>
      </c>
      <c r="L421" s="194" t="s">
        <v>8</v>
      </c>
      <c r="M421" s="194" t="s">
        <v>47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>x</v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50"/>
      <c r="AB421" s="211"/>
      <c r="AC421" s="198"/>
      <c r="AD421" s="198"/>
    </row>
    <row r="422" spans="1:30" s="594" customFormat="1" ht="15.75" customHeight="1">
      <c r="A422" s="204" t="str">
        <f>IF(B422&lt;&gt;"",IF(AND(B422&gt;=_TM1,B422&lt;=_TM2,OR(TH!L422="1111",TH!M422="1111")),TH!D422,""),"")</f>
        <v/>
      </c>
      <c r="B422" s="36">
        <f t="shared" si="49"/>
        <v>8</v>
      </c>
      <c r="C422" s="191">
        <f t="shared" si="60"/>
        <v>41502</v>
      </c>
      <c r="D422" s="184" t="s">
        <v>407</v>
      </c>
      <c r="E422" s="191">
        <v>41502</v>
      </c>
      <c r="F422" s="192" t="s">
        <v>677</v>
      </c>
      <c r="G422" s="487" t="s">
        <v>678</v>
      </c>
      <c r="H422" s="193" t="s">
        <v>676</v>
      </c>
      <c r="I422" s="256">
        <v>2000</v>
      </c>
      <c r="J422" s="256">
        <v>11722</v>
      </c>
      <c r="K422" s="38">
        <f>ROUND(I422*J422,0)</f>
        <v>23444000</v>
      </c>
      <c r="L422" s="194" t="s">
        <v>159</v>
      </c>
      <c r="M422" s="194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50"/>
      <c r="AB422" s="211"/>
      <c r="AC422" s="198"/>
      <c r="AD422" s="198"/>
    </row>
    <row r="423" spans="1:30" s="594" customFormat="1" ht="15.75" customHeight="1">
      <c r="A423" s="204" t="str">
        <f>IF(B423&lt;&gt;"",IF(AND(B423&gt;=_TM1,B423&lt;=_TM2,OR(TH!L423="1111",TH!M423="1111")),TH!D423,""),"")</f>
        <v/>
      </c>
      <c r="B423" s="36">
        <f t="shared" si="49"/>
        <v>8</v>
      </c>
      <c r="C423" s="191">
        <f t="shared" si="60"/>
        <v>41502</v>
      </c>
      <c r="D423" s="184" t="s">
        <v>407</v>
      </c>
      <c r="E423" s="191">
        <v>41502</v>
      </c>
      <c r="F423" s="192" t="s">
        <v>588</v>
      </c>
      <c r="G423" s="487" t="s">
        <v>678</v>
      </c>
      <c r="H423" s="193" t="s">
        <v>676</v>
      </c>
      <c r="I423" s="256"/>
      <c r="J423" s="256"/>
      <c r="K423" s="38">
        <v>2344400</v>
      </c>
      <c r="L423" s="194" t="s">
        <v>9</v>
      </c>
      <c r="M423" s="194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50"/>
      <c r="AB423" s="211">
        <v>9</v>
      </c>
      <c r="AC423" s="198"/>
      <c r="AD423" s="198"/>
    </row>
    <row r="424" spans="1:30" s="594" customFormat="1" ht="15.75" customHeight="1">
      <c r="A424" s="204" t="str">
        <f>IF(B424&lt;&gt;"",IF(AND(B424&gt;=_TM1,B424&lt;=_TM2,OR(TH!L424="1111",TH!M424="1111")),TH!D424,""),"")</f>
        <v/>
      </c>
      <c r="B424" s="36">
        <f t="shared" si="49"/>
        <v>8</v>
      </c>
      <c r="C424" s="191">
        <f t="shared" ref="C424" si="65">E424</f>
        <v>41502</v>
      </c>
      <c r="D424" s="184" t="s">
        <v>407</v>
      </c>
      <c r="E424" s="191">
        <v>41502</v>
      </c>
      <c r="F424" s="192" t="s">
        <v>371</v>
      </c>
      <c r="G424" s="487" t="s">
        <v>678</v>
      </c>
      <c r="H424" s="193" t="s">
        <v>676</v>
      </c>
      <c r="I424" s="256"/>
      <c r="J424" s="256"/>
      <c r="K424" s="38">
        <f>K422+K423</f>
        <v>25788400</v>
      </c>
      <c r="L424" s="194" t="s">
        <v>8</v>
      </c>
      <c r="M424" s="194" t="s">
        <v>47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>x</v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50"/>
      <c r="AB424" s="211"/>
      <c r="AC424" s="198"/>
      <c r="AD424" s="198"/>
    </row>
    <row r="425" spans="1:30" s="594" customFormat="1" ht="15.75" customHeight="1">
      <c r="A425" s="204" t="str">
        <f>IF(B425&lt;&gt;"",IF(AND(B425&gt;=_TM1,B425&lt;=_TM2,OR(TH!L425="1111",TH!M425="1111")),TH!D425,""),"")</f>
        <v/>
      </c>
      <c r="B425" s="36">
        <f t="shared" si="49"/>
        <v>8</v>
      </c>
      <c r="C425" s="191">
        <f t="shared" si="60"/>
        <v>41505</v>
      </c>
      <c r="D425" s="184" t="s">
        <v>408</v>
      </c>
      <c r="E425" s="184">
        <v>41505</v>
      </c>
      <c r="F425" s="192" t="s">
        <v>679</v>
      </c>
      <c r="G425" s="664" t="s">
        <v>680</v>
      </c>
      <c r="H425" s="193" t="s">
        <v>676</v>
      </c>
      <c r="I425" s="256">
        <v>700</v>
      </c>
      <c r="J425" s="256">
        <v>18709</v>
      </c>
      <c r="K425" s="38">
        <f>ROUND(I425*J425,0)</f>
        <v>13096300</v>
      </c>
      <c r="L425" s="194" t="s">
        <v>159</v>
      </c>
      <c r="M425" s="194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50"/>
      <c r="AC425" s="198"/>
      <c r="AD425" s="198"/>
    </row>
    <row r="426" spans="1:30" s="594" customFormat="1" ht="15.75" customHeight="1">
      <c r="A426" s="204" t="str">
        <f>IF(B426&lt;&gt;"",IF(AND(B426&gt;=_TM1,B426&lt;=_TM2,OR(TH!L426="1111",TH!M426="1111")),TH!D426,""),"")</f>
        <v/>
      </c>
      <c r="B426" s="36">
        <f t="shared" si="49"/>
        <v>8</v>
      </c>
      <c r="C426" s="191">
        <f t="shared" si="60"/>
        <v>41505</v>
      </c>
      <c r="D426" s="184" t="s">
        <v>408</v>
      </c>
      <c r="E426" s="184">
        <v>41505</v>
      </c>
      <c r="F426" s="192" t="s">
        <v>588</v>
      </c>
      <c r="G426" s="664" t="s">
        <v>680</v>
      </c>
      <c r="H426" s="193" t="s">
        <v>676</v>
      </c>
      <c r="I426" s="256"/>
      <c r="J426" s="256"/>
      <c r="K426" s="38">
        <v>1309630</v>
      </c>
      <c r="L426" s="194" t="s">
        <v>9</v>
      </c>
      <c r="M426" s="194" t="s">
        <v>8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50"/>
      <c r="AB426" s="594">
        <v>9</v>
      </c>
      <c r="AC426" s="198"/>
      <c r="AD426" s="198"/>
    </row>
    <row r="427" spans="1:30" s="594" customFormat="1" ht="15.75" customHeight="1">
      <c r="A427" s="204" t="str">
        <f>IF(B427&lt;&gt;"",IF(AND(B427&gt;=_TM1,B427&lt;=_TM2,OR(TH!L427="1111",TH!M427="1111")),TH!D427,""),"")</f>
        <v/>
      </c>
      <c r="B427" s="36">
        <f t="shared" si="49"/>
        <v>8</v>
      </c>
      <c r="C427" s="191">
        <f t="shared" ref="C427" si="66">E427</f>
        <v>41505</v>
      </c>
      <c r="D427" s="184" t="s">
        <v>408</v>
      </c>
      <c r="E427" s="184">
        <v>41505</v>
      </c>
      <c r="F427" s="192" t="s">
        <v>371</v>
      </c>
      <c r="G427" s="664" t="s">
        <v>680</v>
      </c>
      <c r="H427" s="193" t="s">
        <v>676</v>
      </c>
      <c r="I427" s="256"/>
      <c r="J427" s="256"/>
      <c r="K427" s="38">
        <v>14405930</v>
      </c>
      <c r="L427" s="194" t="s">
        <v>8</v>
      </c>
      <c r="M427" s="194" t="s">
        <v>47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>x</v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50"/>
      <c r="AB427" s="211"/>
      <c r="AC427" s="198"/>
      <c r="AD427" s="198"/>
    </row>
    <row r="428" spans="1:30" s="594" customFormat="1" ht="15.75" customHeight="1">
      <c r="A428" s="204" t="str">
        <f>IF(B428&lt;&gt;"",IF(AND(B428&gt;=_TM1,B428&lt;=_TM2,OR(TH!L428="1111",TH!M428="1111")),TH!D428,""),"")</f>
        <v/>
      </c>
      <c r="B428" s="36">
        <f t="shared" si="49"/>
        <v>8</v>
      </c>
      <c r="C428" s="191">
        <f t="shared" si="60"/>
        <v>41506</v>
      </c>
      <c r="D428" s="184" t="s">
        <v>409</v>
      </c>
      <c r="E428" s="184">
        <v>41506</v>
      </c>
      <c r="F428" s="192" t="s">
        <v>681</v>
      </c>
      <c r="G428" s="664" t="s">
        <v>682</v>
      </c>
      <c r="H428" s="193" t="s">
        <v>676</v>
      </c>
      <c r="I428" s="256">
        <v>1000</v>
      </c>
      <c r="J428" s="256">
        <v>11197</v>
      </c>
      <c r="K428" s="38">
        <f>ROUND(I428*J428,0)</f>
        <v>11197000</v>
      </c>
      <c r="L428" s="194" t="s">
        <v>159</v>
      </c>
      <c r="M428" s="194" t="s">
        <v>8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50"/>
      <c r="AC428" s="198"/>
      <c r="AD428" s="198"/>
    </row>
    <row r="429" spans="1:30" s="594" customFormat="1" ht="15.75" customHeight="1">
      <c r="A429" s="204" t="str">
        <f>IF(B429&lt;&gt;"",IF(AND(B429&gt;=_TM1,B429&lt;=_TM2,OR(TH!L429="1111",TH!M429="1111")),TH!D429,""),"")</f>
        <v/>
      </c>
      <c r="B429" s="36">
        <f t="shared" si="49"/>
        <v>8</v>
      </c>
      <c r="C429" s="191">
        <f t="shared" si="60"/>
        <v>41506</v>
      </c>
      <c r="D429" s="184" t="s">
        <v>409</v>
      </c>
      <c r="E429" s="184">
        <v>41506</v>
      </c>
      <c r="F429" s="192" t="s">
        <v>588</v>
      </c>
      <c r="G429" s="664" t="s">
        <v>682</v>
      </c>
      <c r="H429" s="193" t="s">
        <v>676</v>
      </c>
      <c r="I429" s="256"/>
      <c r="J429" s="256"/>
      <c r="K429" s="38">
        <v>1119700</v>
      </c>
      <c r="L429" s="194" t="s">
        <v>9</v>
      </c>
      <c r="M429" s="194" t="s">
        <v>8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50"/>
      <c r="AB429" s="594">
        <v>9</v>
      </c>
      <c r="AC429" s="198"/>
      <c r="AD429" s="198"/>
    </row>
    <row r="430" spans="1:30" s="594" customFormat="1" ht="15.75" customHeight="1">
      <c r="A430" s="204" t="str">
        <f>IF(B430&lt;&gt;"",IF(AND(B430&gt;=_TM1,B430&lt;=_TM2,OR(TH!L430="1111",TH!M430="1111")),TH!D430,""),"")</f>
        <v/>
      </c>
      <c r="B430" s="36">
        <f t="shared" ref="B430:B437" si="67">IF(C430&lt;&gt;"",MONTH(C430),"")</f>
        <v>8</v>
      </c>
      <c r="C430" s="191">
        <f t="shared" ref="C430" si="68">E430</f>
        <v>41506</v>
      </c>
      <c r="D430" s="184" t="s">
        <v>409</v>
      </c>
      <c r="E430" s="184">
        <v>41506</v>
      </c>
      <c r="F430" s="192" t="s">
        <v>371</v>
      </c>
      <c r="G430" s="664" t="s">
        <v>682</v>
      </c>
      <c r="H430" s="193" t="s">
        <v>676</v>
      </c>
      <c r="I430" s="256"/>
      <c r="J430" s="256"/>
      <c r="K430" s="38">
        <v>12316700</v>
      </c>
      <c r="L430" s="194" t="s">
        <v>8</v>
      </c>
      <c r="M430" s="194" t="s">
        <v>47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>x</v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50"/>
      <c r="AB430" s="211"/>
      <c r="AC430" s="198"/>
      <c r="AD430" s="198"/>
    </row>
    <row r="431" spans="1:30" s="594" customFormat="1" ht="15.75" customHeight="1">
      <c r="A431" s="204" t="str">
        <f>IF(B431&lt;&gt;"",IF(AND(B431&gt;=_TM1,B431&lt;=_TM2,OR(TH!L431="1111",TH!M431="1111")),TH!D431,""),"")</f>
        <v/>
      </c>
      <c r="B431" s="36">
        <f t="shared" si="67"/>
        <v>8</v>
      </c>
      <c r="C431" s="191">
        <f t="shared" si="60"/>
        <v>41508</v>
      </c>
      <c r="D431" s="184" t="s">
        <v>410</v>
      </c>
      <c r="E431" s="184">
        <v>41508</v>
      </c>
      <c r="F431" s="192" t="s">
        <v>683</v>
      </c>
      <c r="G431" s="664" t="s">
        <v>684</v>
      </c>
      <c r="H431" s="193" t="s">
        <v>676</v>
      </c>
      <c r="I431" s="256">
        <v>300</v>
      </c>
      <c r="J431" s="256">
        <v>13621</v>
      </c>
      <c r="K431" s="38">
        <f>ROUND(I431*J431,0)</f>
        <v>4086300</v>
      </c>
      <c r="L431" s="194" t="s">
        <v>159</v>
      </c>
      <c r="M431" s="194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50"/>
      <c r="AC431" s="198"/>
      <c r="AD431" s="198"/>
    </row>
    <row r="432" spans="1:30" s="594" customFormat="1" ht="15.75" customHeight="1">
      <c r="A432" s="204" t="str">
        <f>IF(B432&lt;&gt;"",IF(AND(B432&gt;=_TM1,B432&lt;=_TM2,OR(TH!L432="1111",TH!M432="1111")),TH!D432,""),"")</f>
        <v/>
      </c>
      <c r="B432" s="36">
        <f t="shared" si="67"/>
        <v>8</v>
      </c>
      <c r="C432" s="191">
        <f t="shared" si="60"/>
        <v>41508</v>
      </c>
      <c r="D432" s="184" t="s">
        <v>410</v>
      </c>
      <c r="E432" s="184">
        <v>41508</v>
      </c>
      <c r="F432" s="192" t="s">
        <v>588</v>
      </c>
      <c r="G432" s="664" t="s">
        <v>684</v>
      </c>
      <c r="H432" s="193" t="s">
        <v>676</v>
      </c>
      <c r="I432" s="256"/>
      <c r="J432" s="256"/>
      <c r="K432" s="38">
        <v>408630</v>
      </c>
      <c r="L432" s="194" t="s">
        <v>9</v>
      </c>
      <c r="M432" s="194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50"/>
      <c r="AB432" s="594">
        <v>9</v>
      </c>
      <c r="AC432" s="198"/>
      <c r="AD432" s="198"/>
    </row>
    <row r="433" spans="1:30" s="594" customFormat="1" ht="15.75" customHeight="1">
      <c r="A433" s="204" t="str">
        <f>IF(B433&lt;&gt;"",IF(AND(B433&gt;=_TM1,B433&lt;=_TM2,OR(TH!L433="1111",TH!M433="1111")),TH!D433,""),"")</f>
        <v/>
      </c>
      <c r="B433" s="36">
        <f t="shared" si="67"/>
        <v>8</v>
      </c>
      <c r="C433" s="191">
        <f t="shared" ref="C433" si="69">E433</f>
        <v>41508</v>
      </c>
      <c r="D433" s="184" t="s">
        <v>410</v>
      </c>
      <c r="E433" s="184">
        <v>41508</v>
      </c>
      <c r="F433" s="192" t="s">
        <v>371</v>
      </c>
      <c r="G433" s="664" t="s">
        <v>684</v>
      </c>
      <c r="H433" s="193" t="s">
        <v>676</v>
      </c>
      <c r="I433" s="256"/>
      <c r="J433" s="256"/>
      <c r="K433" s="38">
        <v>4494930</v>
      </c>
      <c r="L433" s="194" t="s">
        <v>8</v>
      </c>
      <c r="M433" s="194" t="s">
        <v>47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>x</v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>x</v>
      </c>
      <c r="AA433" s="850"/>
      <c r="AB433" s="211"/>
      <c r="AC433" s="198"/>
      <c r="AD433" s="198"/>
    </row>
    <row r="434" spans="1:30" s="594" customFormat="1" ht="15.75" customHeight="1">
      <c r="A434" s="204" t="str">
        <f>IF(B434&lt;&gt;"",IF(AND(B434&gt;=_TM1,B434&lt;=_TM2,OR(TH!L434="1111",TH!M434="1111")),TH!D434,""),"")</f>
        <v/>
      </c>
      <c r="B434" s="36">
        <f t="shared" si="67"/>
        <v>8</v>
      </c>
      <c r="C434" s="191">
        <f t="shared" ref="C434" si="70">E434</f>
        <v>41508</v>
      </c>
      <c r="D434" s="184" t="s">
        <v>410</v>
      </c>
      <c r="E434" s="184">
        <v>41508</v>
      </c>
      <c r="F434" s="192" t="s">
        <v>371</v>
      </c>
      <c r="G434" s="664"/>
      <c r="H434" s="193" t="s">
        <v>1112</v>
      </c>
      <c r="I434" s="256"/>
      <c r="J434" s="256"/>
      <c r="K434" s="38">
        <v>7470386</v>
      </c>
      <c r="L434" s="194" t="s">
        <v>8</v>
      </c>
      <c r="M434" s="194" t="s">
        <v>47</v>
      </c>
      <c r="N434" s="52" t="str">
        <f>IF(AND('331-CT'!$E$7=TH!H434,OR(L434="331",M434="331")),"331",IF(AND(OR(L434="131",M434="131"),H434='131-CT'!$E$7),"131",""))</f>
        <v>331</v>
      </c>
      <c r="O434" s="52" t="str">
        <f>IF(AND($B434&gt;='111'!$N$11,$B434&lt;='111'!$O$11,OR($L434=$O$7,$M434=$O$7)),"x","")</f>
        <v>x</v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50"/>
      <c r="AB434" s="211"/>
      <c r="AC434" s="198"/>
      <c r="AD434" s="198"/>
    </row>
    <row r="435" spans="1:30" s="594" customFormat="1" ht="15.75" customHeight="1">
      <c r="A435" s="204" t="str">
        <f>IF(B435&lt;&gt;"",IF(AND(B435&gt;=_TM1,B435&lt;=_TM2,OR(TH!L435="1111",TH!M435="1111")),TH!D435,""),"")</f>
        <v/>
      </c>
      <c r="B435" s="36">
        <f t="shared" si="67"/>
        <v>10</v>
      </c>
      <c r="C435" s="191">
        <f t="shared" si="60"/>
        <v>41559</v>
      </c>
      <c r="D435" s="184" t="s">
        <v>407</v>
      </c>
      <c r="E435" s="191">
        <v>41559</v>
      </c>
      <c r="F435" s="192" t="s">
        <v>685</v>
      </c>
      <c r="G435" s="487" t="s">
        <v>686</v>
      </c>
      <c r="H435" s="193" t="s">
        <v>687</v>
      </c>
      <c r="I435" s="256">
        <v>1800</v>
      </c>
      <c r="J435" s="256">
        <v>8500</v>
      </c>
      <c r="K435" s="38">
        <f>ROUND(I435*J435,0)</f>
        <v>15300000</v>
      </c>
      <c r="L435" s="194" t="s">
        <v>159</v>
      </c>
      <c r="M435" s="194" t="s">
        <v>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>x</v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50"/>
      <c r="AB435" s="211"/>
      <c r="AC435" s="198"/>
      <c r="AD435" s="198"/>
    </row>
    <row r="436" spans="1:30" s="594" customFormat="1" ht="15.75" customHeight="1">
      <c r="A436" s="204" t="str">
        <f>IF(B436&lt;&gt;"",IF(AND(B436&gt;=_TM1,B436&lt;=_TM2,OR(TH!L436="1111",TH!M436="1111")),TH!D436,""),"")</f>
        <v/>
      </c>
      <c r="B436" s="36">
        <f t="shared" si="67"/>
        <v>10</v>
      </c>
      <c r="C436" s="191">
        <f t="shared" si="60"/>
        <v>41559</v>
      </c>
      <c r="D436" s="184" t="s">
        <v>407</v>
      </c>
      <c r="E436" s="191">
        <v>41559</v>
      </c>
      <c r="F436" s="192" t="s">
        <v>588</v>
      </c>
      <c r="G436" s="487" t="s">
        <v>686</v>
      </c>
      <c r="H436" s="193" t="s">
        <v>687</v>
      </c>
      <c r="I436" s="256"/>
      <c r="J436" s="256"/>
      <c r="K436" s="38">
        <v>1530000</v>
      </c>
      <c r="L436" s="194" t="s">
        <v>9</v>
      </c>
      <c r="M436" s="194" t="s">
        <v>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50"/>
      <c r="AB436" s="211">
        <v>12</v>
      </c>
      <c r="AC436" s="198"/>
      <c r="AD436" s="198"/>
    </row>
    <row r="437" spans="1:30" s="594" customFormat="1" ht="15.75" customHeight="1">
      <c r="A437" s="204" t="str">
        <f>IF(B437&lt;&gt;"",IF(AND(B437&gt;=_TM1,B437&lt;=_TM2,OR(TH!L437="1111",TH!M437="1111")),TH!D437,""),"")</f>
        <v>NL/N01</v>
      </c>
      <c r="B437" s="36">
        <f t="shared" si="67"/>
        <v>10</v>
      </c>
      <c r="C437" s="191">
        <f t="shared" ref="C437" si="71">E437</f>
        <v>41559</v>
      </c>
      <c r="D437" s="184" t="s">
        <v>407</v>
      </c>
      <c r="E437" s="191">
        <v>41559</v>
      </c>
      <c r="F437" s="192" t="s">
        <v>371</v>
      </c>
      <c r="G437" s="487" t="s">
        <v>686</v>
      </c>
      <c r="H437" s="193" t="s">
        <v>687</v>
      </c>
      <c r="I437" s="256"/>
      <c r="J437" s="256"/>
      <c r="K437" s="38">
        <v>16830000</v>
      </c>
      <c r="L437" s="194" t="s">
        <v>8</v>
      </c>
      <c r="M437" s="194" t="s">
        <v>47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50"/>
      <c r="AB437" s="211"/>
      <c r="AC437" s="198"/>
      <c r="AD437" s="198"/>
    </row>
    <row r="438" spans="1:30" s="211" customFormat="1" ht="15.75" customHeight="1">
      <c r="A438" s="204" t="str">
        <f>IF(B438&lt;&gt;"",IF(AND(B438&gt;=_TM1,B438&lt;=_TM2,OR(TH!L438="1111",TH!M438="1111")),TH!D438,""),"")</f>
        <v/>
      </c>
      <c r="B438" s="36">
        <f t="shared" ref="B438:B495" si="72">IF(C438&lt;&gt;"",MONTH(C438),"")</f>
        <v>10</v>
      </c>
      <c r="C438" s="191">
        <f t="shared" si="60"/>
        <v>41571</v>
      </c>
      <c r="D438" s="184" t="s">
        <v>408</v>
      </c>
      <c r="E438" s="191">
        <v>41571</v>
      </c>
      <c r="F438" s="192" t="s">
        <v>688</v>
      </c>
      <c r="G438" s="487" t="s">
        <v>689</v>
      </c>
      <c r="H438" s="193" t="s">
        <v>687</v>
      </c>
      <c r="I438" s="256">
        <v>1100</v>
      </c>
      <c r="J438" s="256">
        <v>16000</v>
      </c>
      <c r="K438" s="38">
        <f>ROUND(I438*J438,0)</f>
        <v>17600000</v>
      </c>
      <c r="L438" s="194" t="s">
        <v>159</v>
      </c>
      <c r="M438" s="194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50"/>
      <c r="AC438" s="198"/>
      <c r="AD438" s="198"/>
    </row>
    <row r="439" spans="1:30" s="211" customFormat="1" ht="15.75" customHeight="1">
      <c r="A439" s="204" t="str">
        <f>IF(B439&lt;&gt;"",IF(AND(B439&gt;=_TM1,B439&lt;=_TM2,OR(TH!L439="1111",TH!M439="1111")),TH!D439,""),"")</f>
        <v/>
      </c>
      <c r="B439" s="36">
        <f t="shared" si="72"/>
        <v>10</v>
      </c>
      <c r="C439" s="191">
        <f t="shared" si="60"/>
        <v>41571</v>
      </c>
      <c r="D439" s="184" t="s">
        <v>408</v>
      </c>
      <c r="E439" s="191">
        <v>41571</v>
      </c>
      <c r="F439" s="192" t="s">
        <v>588</v>
      </c>
      <c r="G439" s="487" t="s">
        <v>689</v>
      </c>
      <c r="H439" s="193" t="s">
        <v>687</v>
      </c>
      <c r="I439" s="256"/>
      <c r="J439" s="256"/>
      <c r="K439" s="38">
        <v>1760000</v>
      </c>
      <c r="L439" s="194" t="s">
        <v>9</v>
      </c>
      <c r="M439" s="194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50"/>
      <c r="AB439" s="211">
        <v>12</v>
      </c>
      <c r="AC439" s="198"/>
      <c r="AD439" s="198"/>
    </row>
    <row r="440" spans="1:30" s="211" customFormat="1" ht="15.75" customHeight="1">
      <c r="A440" s="204" t="str">
        <f>IF(B440&lt;&gt;"",IF(AND(B440&gt;=_TM1,B440&lt;=_TM2,OR(TH!L440="1111",TH!M440="1111")),TH!D440,""),"")</f>
        <v>NL/N02</v>
      </c>
      <c r="B440" s="36">
        <f t="shared" ref="B440" si="73">IF(C440&lt;&gt;"",MONTH(C440),"")</f>
        <v>10</v>
      </c>
      <c r="C440" s="191">
        <f t="shared" ref="C440" si="74">E440</f>
        <v>41571</v>
      </c>
      <c r="D440" s="184" t="s">
        <v>408</v>
      </c>
      <c r="E440" s="191">
        <v>41571</v>
      </c>
      <c r="F440" s="192" t="s">
        <v>371</v>
      </c>
      <c r="G440" s="487" t="s">
        <v>689</v>
      </c>
      <c r="H440" s="193" t="s">
        <v>687</v>
      </c>
      <c r="I440" s="256"/>
      <c r="J440" s="256"/>
      <c r="K440" s="38">
        <f>K438+K439</f>
        <v>19360000</v>
      </c>
      <c r="L440" s="194" t="s">
        <v>8</v>
      </c>
      <c r="M440" s="194" t="s">
        <v>47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50"/>
      <c r="AC440" s="198"/>
      <c r="AD440" s="198"/>
    </row>
    <row r="441" spans="1:30" s="594" customFormat="1" ht="15.75" customHeight="1">
      <c r="A441" s="204" t="str">
        <f>IF(B441&lt;&gt;"",IF(AND(B441&gt;=_TM1,B441&lt;=_TM2,OR(TH!L441="1111",TH!M441="1111")),TH!D441,""),"")</f>
        <v/>
      </c>
      <c r="B441" s="36">
        <f t="shared" si="72"/>
        <v>10</v>
      </c>
      <c r="C441" s="191">
        <f t="shared" si="60"/>
        <v>41572</v>
      </c>
      <c r="D441" s="184" t="s">
        <v>409</v>
      </c>
      <c r="E441" s="191">
        <v>41572</v>
      </c>
      <c r="F441" s="192" t="s">
        <v>688</v>
      </c>
      <c r="G441" s="487" t="s">
        <v>690</v>
      </c>
      <c r="H441" s="193" t="s">
        <v>687</v>
      </c>
      <c r="I441" s="256">
        <v>1120</v>
      </c>
      <c r="J441" s="256">
        <v>16000</v>
      </c>
      <c r="K441" s="38">
        <f>ROUND(I441*J441,0)</f>
        <v>17920000</v>
      </c>
      <c r="L441" s="194" t="s">
        <v>159</v>
      </c>
      <c r="M441" s="194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50"/>
      <c r="AB441" s="211"/>
      <c r="AC441" s="198"/>
      <c r="AD441" s="198"/>
    </row>
    <row r="442" spans="1:30" s="594" customFormat="1" ht="15.75" customHeight="1">
      <c r="A442" s="204" t="str">
        <f>IF(B442&lt;&gt;"",IF(AND(B442&gt;=_TM1,B442&lt;=_TM2,OR(TH!L442="1111",TH!M442="1111")),TH!D442,""),"")</f>
        <v/>
      </c>
      <c r="B442" s="36">
        <f t="shared" si="72"/>
        <v>10</v>
      </c>
      <c r="C442" s="191">
        <f t="shared" si="60"/>
        <v>41572</v>
      </c>
      <c r="D442" s="184" t="s">
        <v>409</v>
      </c>
      <c r="E442" s="191">
        <v>41572</v>
      </c>
      <c r="F442" s="192" t="s">
        <v>588</v>
      </c>
      <c r="G442" s="487" t="s">
        <v>690</v>
      </c>
      <c r="H442" s="193" t="s">
        <v>687</v>
      </c>
      <c r="I442" s="257"/>
      <c r="J442" s="257"/>
      <c r="K442" s="38">
        <v>1792000</v>
      </c>
      <c r="L442" s="194" t="s">
        <v>9</v>
      </c>
      <c r="M442" s="194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50"/>
      <c r="AB442" s="211">
        <v>12</v>
      </c>
      <c r="AC442" s="198"/>
      <c r="AD442" s="198"/>
    </row>
    <row r="443" spans="1:30" s="594" customFormat="1" ht="15.75" customHeight="1">
      <c r="A443" s="204" t="str">
        <f>IF(B443&lt;&gt;"",IF(AND(B443&gt;=_TM1,B443&lt;=_TM2,OR(TH!L443="1111",TH!M443="1111")),TH!D443,""),"")</f>
        <v>NL/N03</v>
      </c>
      <c r="B443" s="36">
        <f t="shared" ref="B443" si="75">IF(C443&lt;&gt;"",MONTH(C443),"")</f>
        <v>10</v>
      </c>
      <c r="C443" s="191">
        <f t="shared" ref="C443" si="76">E443</f>
        <v>41572</v>
      </c>
      <c r="D443" s="184" t="s">
        <v>409</v>
      </c>
      <c r="E443" s="191">
        <v>41572</v>
      </c>
      <c r="F443" s="192" t="s">
        <v>371</v>
      </c>
      <c r="G443" s="487" t="s">
        <v>690</v>
      </c>
      <c r="H443" s="193" t="s">
        <v>687</v>
      </c>
      <c r="I443" s="257"/>
      <c r="J443" s="257"/>
      <c r="K443" s="38">
        <v>19712000</v>
      </c>
      <c r="L443" s="194" t="s">
        <v>8</v>
      </c>
      <c r="M443" s="194" t="s">
        <v>47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50"/>
      <c r="AB443" s="211"/>
      <c r="AC443" s="198"/>
      <c r="AD443" s="198"/>
    </row>
    <row r="444" spans="1:30" s="594" customFormat="1" ht="15.75" customHeight="1">
      <c r="A444" s="204" t="str">
        <f>IF(B444&lt;&gt;"",IF(AND(B444&gt;=_TM1,B444&lt;=_TM2,OR(TH!L444="1111",TH!M444="1111")),TH!D444,""),"")</f>
        <v/>
      </c>
      <c r="B444" s="36">
        <f t="shared" si="72"/>
        <v>10</v>
      </c>
      <c r="C444" s="191">
        <f t="shared" si="60"/>
        <v>41573</v>
      </c>
      <c r="D444" s="184" t="s">
        <v>410</v>
      </c>
      <c r="E444" s="191">
        <v>41573</v>
      </c>
      <c r="F444" s="192" t="s">
        <v>688</v>
      </c>
      <c r="G444" s="487" t="s">
        <v>691</v>
      </c>
      <c r="H444" s="193" t="s">
        <v>687</v>
      </c>
      <c r="I444" s="257">
        <v>1100</v>
      </c>
      <c r="J444" s="257">
        <v>16000</v>
      </c>
      <c r="K444" s="38">
        <f>ROUND(I444*J444,0)</f>
        <v>17600000</v>
      </c>
      <c r="L444" s="194" t="s">
        <v>159</v>
      </c>
      <c r="M444" s="194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50"/>
      <c r="AB444" s="211"/>
      <c r="AC444" s="198"/>
      <c r="AD444" s="198"/>
    </row>
    <row r="445" spans="1:30" s="594" customFormat="1" ht="15.75" customHeight="1">
      <c r="A445" s="204" t="str">
        <f>IF(B445&lt;&gt;"",IF(AND(B445&gt;=_TM1,B445&lt;=_TM2,OR(TH!L445="1111",TH!M445="1111")),TH!D445,""),"")</f>
        <v/>
      </c>
      <c r="B445" s="36">
        <f t="shared" si="72"/>
        <v>10</v>
      </c>
      <c r="C445" s="191">
        <f t="shared" si="60"/>
        <v>41573</v>
      </c>
      <c r="D445" s="184" t="s">
        <v>410</v>
      </c>
      <c r="E445" s="191">
        <v>41573</v>
      </c>
      <c r="F445" s="192" t="s">
        <v>588</v>
      </c>
      <c r="G445" s="487" t="s">
        <v>691</v>
      </c>
      <c r="H445" s="193" t="s">
        <v>687</v>
      </c>
      <c r="I445" s="256"/>
      <c r="J445" s="256"/>
      <c r="K445" s="38">
        <v>1760000</v>
      </c>
      <c r="L445" s="194" t="s">
        <v>9</v>
      </c>
      <c r="M445" s="194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50"/>
      <c r="AB445" s="594">
        <v>12</v>
      </c>
      <c r="AC445" s="198"/>
      <c r="AD445" s="198"/>
    </row>
    <row r="446" spans="1:30" s="594" customFormat="1" ht="15.75" customHeight="1">
      <c r="A446" s="204" t="str">
        <f>IF(B446&lt;&gt;"",IF(AND(B446&gt;=_TM1,B446&lt;=_TM2,OR(TH!L446="1111",TH!M446="1111")),TH!D446,""),"")</f>
        <v>NL/N04</v>
      </c>
      <c r="B446" s="36">
        <f t="shared" ref="B446" si="77">IF(C446&lt;&gt;"",MONTH(C446),"")</f>
        <v>10</v>
      </c>
      <c r="C446" s="191">
        <f t="shared" ref="C446" si="78">E446</f>
        <v>41573</v>
      </c>
      <c r="D446" s="184" t="s">
        <v>410</v>
      </c>
      <c r="E446" s="191">
        <v>41573</v>
      </c>
      <c r="F446" s="192" t="s">
        <v>371</v>
      </c>
      <c r="G446" s="487" t="s">
        <v>691</v>
      </c>
      <c r="H446" s="193" t="s">
        <v>687</v>
      </c>
      <c r="I446" s="256"/>
      <c r="J446" s="256"/>
      <c r="K446" s="38">
        <v>19360000</v>
      </c>
      <c r="L446" s="194" t="s">
        <v>8</v>
      </c>
      <c r="M446" s="194" t="s">
        <v>47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50"/>
      <c r="AB446" s="211"/>
      <c r="AC446" s="198"/>
      <c r="AD446" s="198"/>
    </row>
    <row r="447" spans="1:30" s="594" customFormat="1" ht="15.75" customHeight="1">
      <c r="A447" s="204" t="str">
        <f>IF(B447&lt;&gt;"",IF(AND(B447&gt;=_TM1,B447&lt;=_TM2,OR(TH!L447="1111",TH!M447="1111")),TH!D447,""),"")</f>
        <v/>
      </c>
      <c r="B447" s="36">
        <f t="shared" si="72"/>
        <v>10</v>
      </c>
      <c r="C447" s="191">
        <f t="shared" si="60"/>
        <v>41574</v>
      </c>
      <c r="D447" s="184" t="s">
        <v>411</v>
      </c>
      <c r="E447" s="191">
        <v>41574</v>
      </c>
      <c r="F447" s="192" t="s">
        <v>688</v>
      </c>
      <c r="G447" s="487" t="s">
        <v>692</v>
      </c>
      <c r="H447" s="193" t="s">
        <v>687</v>
      </c>
      <c r="I447" s="257">
        <v>1120</v>
      </c>
      <c r="J447" s="257">
        <v>16000</v>
      </c>
      <c r="K447" s="38">
        <f>ROUND(I447*J447,0)</f>
        <v>17920000</v>
      </c>
      <c r="L447" s="194" t="s">
        <v>159</v>
      </c>
      <c r="M447" s="194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50"/>
      <c r="AB447" s="211"/>
      <c r="AC447" s="198"/>
      <c r="AD447" s="198"/>
    </row>
    <row r="448" spans="1:30" s="211" customFormat="1" ht="15.75" customHeight="1">
      <c r="A448" s="204" t="str">
        <f>IF(B448&lt;&gt;"",IF(AND(B448&gt;=_TM1,B448&lt;=_TM2,OR(TH!L448="1111",TH!M448="1111")),TH!D448,""),"")</f>
        <v/>
      </c>
      <c r="B448" s="36">
        <f t="shared" si="72"/>
        <v>10</v>
      </c>
      <c r="C448" s="191">
        <f t="shared" si="60"/>
        <v>41574</v>
      </c>
      <c r="D448" s="184" t="s">
        <v>411</v>
      </c>
      <c r="E448" s="191">
        <v>41574</v>
      </c>
      <c r="F448" s="192" t="s">
        <v>588</v>
      </c>
      <c r="G448" s="487" t="s">
        <v>692</v>
      </c>
      <c r="H448" s="193" t="s">
        <v>687</v>
      </c>
      <c r="I448" s="256"/>
      <c r="J448" s="256"/>
      <c r="K448" s="38">
        <v>1792000</v>
      </c>
      <c r="L448" s="194" t="s">
        <v>9</v>
      </c>
      <c r="M448" s="194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50"/>
      <c r="AB448" s="594">
        <v>12</v>
      </c>
      <c r="AC448" s="198"/>
      <c r="AD448" s="198"/>
    </row>
    <row r="449" spans="1:30" s="211" customFormat="1" ht="15.75" customHeight="1">
      <c r="A449" s="204" t="str">
        <f>IF(B449&lt;&gt;"",IF(AND(B449&gt;=_TM1,B449&lt;=_TM2,OR(TH!L449="1111",TH!M449="1111")),TH!D449,""),"")</f>
        <v>NL/N05</v>
      </c>
      <c r="B449" s="36">
        <f t="shared" ref="B449" si="79">IF(C449&lt;&gt;"",MONTH(C449),"")</f>
        <v>10</v>
      </c>
      <c r="C449" s="191">
        <f t="shared" ref="C449" si="80">E449</f>
        <v>41574</v>
      </c>
      <c r="D449" s="184" t="s">
        <v>411</v>
      </c>
      <c r="E449" s="191">
        <v>41574</v>
      </c>
      <c r="F449" s="192" t="s">
        <v>371</v>
      </c>
      <c r="G449" s="487" t="s">
        <v>692</v>
      </c>
      <c r="H449" s="193" t="s">
        <v>687</v>
      </c>
      <c r="I449" s="256"/>
      <c r="J449" s="256"/>
      <c r="K449" s="38">
        <v>19712000</v>
      </c>
      <c r="L449" s="194" t="s">
        <v>8</v>
      </c>
      <c r="M449" s="194" t="s">
        <v>47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50"/>
      <c r="AC449" s="198"/>
      <c r="AD449" s="198"/>
    </row>
    <row r="450" spans="1:30" s="211" customFormat="1" ht="15.75" customHeight="1">
      <c r="A450" s="204" t="str">
        <f>IF(B450&lt;&gt;"",IF(AND(B450&gt;=_TM1,B450&lt;=_TM2,OR(TH!L450="1111",TH!M450="1111")),TH!D450,""),"")</f>
        <v/>
      </c>
      <c r="B450" s="36">
        <f t="shared" si="72"/>
        <v>10</v>
      </c>
      <c r="C450" s="191">
        <f t="shared" si="60"/>
        <v>41575</v>
      </c>
      <c r="D450" s="184" t="s">
        <v>412</v>
      </c>
      <c r="E450" s="191">
        <v>41575</v>
      </c>
      <c r="F450" s="192" t="s">
        <v>688</v>
      </c>
      <c r="G450" s="487" t="s">
        <v>693</v>
      </c>
      <c r="H450" s="193" t="s">
        <v>687</v>
      </c>
      <c r="I450" s="257">
        <v>560</v>
      </c>
      <c r="J450" s="257">
        <v>16000</v>
      </c>
      <c r="K450" s="38">
        <f>ROUND(I450*J450,0)</f>
        <v>8960000</v>
      </c>
      <c r="L450" s="194" t="s">
        <v>159</v>
      </c>
      <c r="M450" s="194" t="s">
        <v>8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50"/>
      <c r="AC450" s="198"/>
      <c r="AD450" s="198"/>
    </row>
    <row r="451" spans="1:30" s="211" customFormat="1" ht="15.75" customHeight="1">
      <c r="A451" s="204" t="str">
        <f>IF(B451&lt;&gt;"",IF(AND(B451&gt;=_TM1,B451&lt;=_TM2,OR(TH!L451="1111",TH!M451="1111")),TH!D451,""),"")</f>
        <v/>
      </c>
      <c r="B451" s="36">
        <f t="shared" si="72"/>
        <v>10</v>
      </c>
      <c r="C451" s="191">
        <f t="shared" si="60"/>
        <v>41575</v>
      </c>
      <c r="D451" s="184" t="s">
        <v>412</v>
      </c>
      <c r="E451" s="191">
        <v>41575</v>
      </c>
      <c r="F451" s="192" t="s">
        <v>685</v>
      </c>
      <c r="G451" s="487" t="s">
        <v>693</v>
      </c>
      <c r="H451" s="193" t="s">
        <v>687</v>
      </c>
      <c r="I451" s="256">
        <v>500</v>
      </c>
      <c r="J451" s="256">
        <v>8500</v>
      </c>
      <c r="K451" s="38">
        <f>ROUND(I451*J451,0)</f>
        <v>4250000</v>
      </c>
      <c r="L451" s="194" t="s">
        <v>159</v>
      </c>
      <c r="M451" s="194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>x</v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50"/>
      <c r="AC451" s="198"/>
      <c r="AD451" s="198"/>
    </row>
    <row r="452" spans="1:30" s="211" customFormat="1" ht="15.75" customHeight="1">
      <c r="A452" s="204" t="str">
        <f>IF(B452&lt;&gt;"",IF(AND(B452&gt;=_TM1,B452&lt;=_TM2,OR(TH!L452="1111",TH!M452="1111")),TH!D452,""),"")</f>
        <v/>
      </c>
      <c r="B452" s="36">
        <f t="shared" si="72"/>
        <v>10</v>
      </c>
      <c r="C452" s="191">
        <f t="shared" si="60"/>
        <v>41575</v>
      </c>
      <c r="D452" s="184" t="s">
        <v>412</v>
      </c>
      <c r="E452" s="191">
        <v>41575</v>
      </c>
      <c r="F452" s="192" t="s">
        <v>588</v>
      </c>
      <c r="G452" s="487" t="s">
        <v>693</v>
      </c>
      <c r="H452" s="193" t="s">
        <v>687</v>
      </c>
      <c r="I452" s="257"/>
      <c r="J452" s="257"/>
      <c r="K452" s="38">
        <v>1321000</v>
      </c>
      <c r="L452" s="194" t="s">
        <v>9</v>
      </c>
      <c r="M452" s="194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50"/>
      <c r="AB452" s="594">
        <v>12</v>
      </c>
      <c r="AC452" s="198"/>
      <c r="AD452" s="198"/>
    </row>
    <row r="453" spans="1:30" s="211" customFormat="1" ht="15.75" customHeight="1">
      <c r="A453" s="204" t="str">
        <f>IF(B453&lt;&gt;"",IF(AND(B453&gt;=_TM1,B453&lt;=_TM2,OR(TH!L453="1111",TH!M453="1111")),TH!D453,""),"")</f>
        <v>NL/N06</v>
      </c>
      <c r="B453" s="36">
        <f t="shared" ref="B453" si="81">IF(C453&lt;&gt;"",MONTH(C453),"")</f>
        <v>10</v>
      </c>
      <c r="C453" s="191">
        <f t="shared" ref="C453" si="82">E453</f>
        <v>41575</v>
      </c>
      <c r="D453" s="184" t="s">
        <v>412</v>
      </c>
      <c r="E453" s="191">
        <v>41575</v>
      </c>
      <c r="F453" s="192" t="s">
        <v>371</v>
      </c>
      <c r="G453" s="487" t="s">
        <v>693</v>
      </c>
      <c r="H453" s="193" t="s">
        <v>687</v>
      </c>
      <c r="I453" s="257"/>
      <c r="J453" s="257"/>
      <c r="K453" s="38">
        <v>14531000</v>
      </c>
      <c r="L453" s="194" t="s">
        <v>8</v>
      </c>
      <c r="M453" s="194" t="s">
        <v>47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50"/>
      <c r="AC453" s="198"/>
      <c r="AD453" s="198"/>
    </row>
    <row r="454" spans="1:30" s="594" customFormat="1" ht="15.75" customHeight="1">
      <c r="A454" s="204" t="str">
        <f>IF(B454&lt;&gt;"",IF(AND(B454&gt;=_TM1,B454&lt;=_TM2,OR(TH!L454="1111",TH!M454="1111")),TH!D454,""),"")</f>
        <v/>
      </c>
      <c r="B454" s="36">
        <f t="shared" si="72"/>
        <v>10</v>
      </c>
      <c r="C454" s="191">
        <f t="shared" si="60"/>
        <v>41576</v>
      </c>
      <c r="D454" s="184" t="s">
        <v>413</v>
      </c>
      <c r="E454" s="191">
        <v>41576</v>
      </c>
      <c r="F454" s="192" t="s">
        <v>694</v>
      </c>
      <c r="G454" s="487" t="s">
        <v>695</v>
      </c>
      <c r="H454" s="193" t="s">
        <v>696</v>
      </c>
      <c r="I454" s="256">
        <v>334</v>
      </c>
      <c r="J454" s="256">
        <v>6656</v>
      </c>
      <c r="K454" s="38">
        <f>ROUND(I454*J454,0)</f>
        <v>2223104</v>
      </c>
      <c r="L454" s="194" t="s">
        <v>159</v>
      </c>
      <c r="M454" s="194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50"/>
      <c r="AB454" s="211"/>
      <c r="AC454" s="198"/>
      <c r="AD454" s="198"/>
    </row>
    <row r="455" spans="1:30" s="594" customFormat="1" ht="15.75" customHeight="1">
      <c r="A455" s="204" t="str">
        <f>IF(B455&lt;&gt;"",IF(AND(B455&gt;=_TM1,B455&lt;=_TM2,OR(TH!L455="1111",TH!M455="1111")),TH!D455,""),"")</f>
        <v/>
      </c>
      <c r="B455" s="36">
        <f t="shared" si="72"/>
        <v>10</v>
      </c>
      <c r="C455" s="191">
        <f t="shared" si="60"/>
        <v>41576</v>
      </c>
      <c r="D455" s="184" t="s">
        <v>413</v>
      </c>
      <c r="E455" s="191">
        <v>41576</v>
      </c>
      <c r="F455" s="192" t="s">
        <v>697</v>
      </c>
      <c r="G455" s="487" t="s">
        <v>695</v>
      </c>
      <c r="H455" s="193" t="s">
        <v>696</v>
      </c>
      <c r="I455" s="257">
        <v>300</v>
      </c>
      <c r="J455" s="257">
        <v>9425</v>
      </c>
      <c r="K455" s="38">
        <f>ROUND(I455*J455,0)</f>
        <v>2827500</v>
      </c>
      <c r="L455" s="194" t="s">
        <v>159</v>
      </c>
      <c r="M455" s="194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50"/>
      <c r="AC455" s="198"/>
      <c r="AD455" s="198"/>
    </row>
    <row r="456" spans="1:30" s="594" customFormat="1" ht="15.75" customHeight="1">
      <c r="A456" s="204" t="str">
        <f>IF(B456&lt;&gt;"",IF(AND(B456&gt;=_TM1,B456&lt;=_TM2,OR(TH!L456="1111",TH!M456="1111")),TH!D456,""),"")</f>
        <v/>
      </c>
      <c r="B456" s="36">
        <f t="shared" si="72"/>
        <v>10</v>
      </c>
      <c r="C456" s="191">
        <f t="shared" si="60"/>
        <v>41576</v>
      </c>
      <c r="D456" s="184" t="s">
        <v>413</v>
      </c>
      <c r="E456" s="191">
        <v>41576</v>
      </c>
      <c r="F456" s="192" t="s">
        <v>698</v>
      </c>
      <c r="G456" s="487" t="s">
        <v>695</v>
      </c>
      <c r="H456" s="193" t="s">
        <v>696</v>
      </c>
      <c r="I456" s="256">
        <v>334</v>
      </c>
      <c r="J456" s="256">
        <v>16963</v>
      </c>
      <c r="K456" s="38">
        <f>ROUND(I456*J456,0)</f>
        <v>5665642</v>
      </c>
      <c r="L456" s="194" t="s">
        <v>159</v>
      </c>
      <c r="M456" s="194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50"/>
      <c r="AB456" s="211"/>
      <c r="AC456" s="198"/>
      <c r="AD456" s="198"/>
    </row>
    <row r="457" spans="1:30" s="594" customFormat="1" ht="15.75" customHeight="1">
      <c r="A457" s="204" t="str">
        <f>IF(B457&lt;&gt;"",IF(AND(B457&gt;=_TM1,B457&lt;=_TM2,OR(TH!L457="1111",TH!M457="1111")),TH!D457,""),"")</f>
        <v/>
      </c>
      <c r="B457" s="36">
        <f t="shared" si="72"/>
        <v>10</v>
      </c>
      <c r="C457" s="191">
        <f t="shared" si="60"/>
        <v>41576</v>
      </c>
      <c r="D457" s="184" t="s">
        <v>413</v>
      </c>
      <c r="E457" s="191">
        <v>41576</v>
      </c>
      <c r="F457" s="192" t="s">
        <v>699</v>
      </c>
      <c r="G457" s="487" t="s">
        <v>695</v>
      </c>
      <c r="H457" s="193" t="s">
        <v>696</v>
      </c>
      <c r="I457" s="256"/>
      <c r="J457" s="256"/>
      <c r="K457" s="38">
        <v>1071625</v>
      </c>
      <c r="L457" s="194" t="s">
        <v>9</v>
      </c>
      <c r="M457" s="194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50"/>
      <c r="AB457" s="594">
        <v>12</v>
      </c>
      <c r="AC457" s="198"/>
      <c r="AD457" s="198"/>
    </row>
    <row r="458" spans="1:30" s="594" customFormat="1" ht="15.75" customHeight="1">
      <c r="A458" s="204" t="str">
        <f>IF(B458&lt;&gt;"",IF(AND(B458&gt;=_TM1,B458&lt;=_TM2,OR(TH!L458="1111",TH!M458="1111")),TH!D458,""),"")</f>
        <v>NL/N07</v>
      </c>
      <c r="B458" s="36">
        <f t="shared" ref="B458" si="83">IF(C458&lt;&gt;"",MONTH(C458),"")</f>
        <v>10</v>
      </c>
      <c r="C458" s="191">
        <f t="shared" ref="C458" si="84">E458</f>
        <v>41576</v>
      </c>
      <c r="D458" s="184" t="s">
        <v>413</v>
      </c>
      <c r="E458" s="191">
        <v>41576</v>
      </c>
      <c r="F458" s="192" t="s">
        <v>371</v>
      </c>
      <c r="G458" s="487" t="s">
        <v>695</v>
      </c>
      <c r="H458" s="193" t="s">
        <v>696</v>
      </c>
      <c r="I458" s="256"/>
      <c r="J458" s="256"/>
      <c r="K458" s="38">
        <v>11787871</v>
      </c>
      <c r="L458" s="194" t="s">
        <v>8</v>
      </c>
      <c r="M458" s="194" t="s">
        <v>47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50"/>
      <c r="AB458" s="211"/>
      <c r="AC458" s="198"/>
      <c r="AD458" s="198"/>
    </row>
    <row r="459" spans="1:30" s="594" customFormat="1" ht="15.75" customHeight="1">
      <c r="A459" s="204" t="str">
        <f>IF(B459&lt;&gt;"",IF(AND(B459&gt;=_TM1,B459&lt;=_TM2,OR(TH!L459="1111",TH!M459="1111")),TH!D459,""),"")</f>
        <v/>
      </c>
      <c r="B459" s="36">
        <f t="shared" si="72"/>
        <v>10</v>
      </c>
      <c r="C459" s="191">
        <f t="shared" si="60"/>
        <v>41577</v>
      </c>
      <c r="D459" s="184" t="s">
        <v>414</v>
      </c>
      <c r="E459" s="191">
        <v>41577</v>
      </c>
      <c r="F459" s="192" t="s">
        <v>700</v>
      </c>
      <c r="G459" s="487" t="s">
        <v>701</v>
      </c>
      <c r="H459" s="193" t="s">
        <v>696</v>
      </c>
      <c r="I459" s="256">
        <v>100</v>
      </c>
      <c r="J459" s="256">
        <v>15724</v>
      </c>
      <c r="K459" s="38">
        <f>ROUND(I459*J459,0)</f>
        <v>1572400</v>
      </c>
      <c r="L459" s="194" t="s">
        <v>159</v>
      </c>
      <c r="M459" s="194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50"/>
      <c r="AB459" s="211"/>
      <c r="AC459" s="198"/>
      <c r="AD459" s="198"/>
    </row>
    <row r="460" spans="1:30" s="594" customFormat="1" ht="15.75" customHeight="1">
      <c r="A460" s="204" t="str">
        <f>IF(B460&lt;&gt;"",IF(AND(B460&gt;=_TM1,B460&lt;=_TM2,OR(TH!L460="1111",TH!M460="1111")),TH!D460,""),"")</f>
        <v/>
      </c>
      <c r="B460" s="36">
        <f t="shared" si="72"/>
        <v>10</v>
      </c>
      <c r="C460" s="191">
        <f t="shared" si="60"/>
        <v>41577</v>
      </c>
      <c r="D460" s="184" t="s">
        <v>414</v>
      </c>
      <c r="E460" s="191">
        <v>41577</v>
      </c>
      <c r="F460" s="192" t="s">
        <v>702</v>
      </c>
      <c r="G460" s="487" t="s">
        <v>701</v>
      </c>
      <c r="H460" s="193" t="s">
        <v>696</v>
      </c>
      <c r="I460" s="256">
        <v>250</v>
      </c>
      <c r="J460" s="256">
        <v>14112</v>
      </c>
      <c r="K460" s="38">
        <f>ROUND(I460*J460,0)</f>
        <v>3528000</v>
      </c>
      <c r="L460" s="194" t="s">
        <v>159</v>
      </c>
      <c r="M460" s="194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50"/>
      <c r="AC460" s="198"/>
      <c r="AD460" s="198"/>
    </row>
    <row r="461" spans="1:30" s="594" customFormat="1" ht="15.75" customHeight="1">
      <c r="A461" s="204" t="str">
        <f>IF(B461&lt;&gt;"",IF(AND(B461&gt;=_TM1,B461&lt;=_TM2,OR(TH!L461="1111",TH!M461="1111")),TH!D461,""),"")</f>
        <v/>
      </c>
      <c r="B461" s="36">
        <f t="shared" si="72"/>
        <v>10</v>
      </c>
      <c r="C461" s="191">
        <f t="shared" si="60"/>
        <v>41577</v>
      </c>
      <c r="D461" s="184" t="s">
        <v>414</v>
      </c>
      <c r="E461" s="191">
        <v>41577</v>
      </c>
      <c r="F461" s="192" t="s">
        <v>483</v>
      </c>
      <c r="G461" s="487" t="s">
        <v>701</v>
      </c>
      <c r="H461" s="193" t="s">
        <v>696</v>
      </c>
      <c r="I461" s="256"/>
      <c r="J461" s="256"/>
      <c r="K461" s="38">
        <v>510040</v>
      </c>
      <c r="L461" s="194" t="s">
        <v>9</v>
      </c>
      <c r="M461" s="194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50"/>
      <c r="AB461" s="594">
        <v>12</v>
      </c>
      <c r="AC461" s="198"/>
      <c r="AD461" s="198"/>
    </row>
    <row r="462" spans="1:30" s="594" customFormat="1" ht="15.75" customHeight="1">
      <c r="A462" s="204" t="str">
        <f>IF(B462&lt;&gt;"",IF(AND(B462&gt;=_TM1,B462&lt;=_TM2,OR(TH!L462="1111",TH!M462="1111")),TH!D462,""),"")</f>
        <v>NL/N08</v>
      </c>
      <c r="B462" s="36">
        <f t="shared" ref="B462" si="85">IF(C462&lt;&gt;"",MONTH(C462),"")</f>
        <v>10</v>
      </c>
      <c r="C462" s="191">
        <f t="shared" ref="C462" si="86">E462</f>
        <v>41577</v>
      </c>
      <c r="D462" s="184" t="s">
        <v>414</v>
      </c>
      <c r="E462" s="191">
        <v>41577</v>
      </c>
      <c r="F462" s="192" t="s">
        <v>371</v>
      </c>
      <c r="G462" s="487" t="s">
        <v>701</v>
      </c>
      <c r="H462" s="193" t="s">
        <v>696</v>
      </c>
      <c r="I462" s="256"/>
      <c r="J462" s="256"/>
      <c r="K462" s="38">
        <v>5610440</v>
      </c>
      <c r="L462" s="194" t="s">
        <v>8</v>
      </c>
      <c r="M462" s="194" t="s">
        <v>47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50"/>
      <c r="AB462" s="211"/>
      <c r="AC462" s="198"/>
      <c r="AD462" s="198"/>
    </row>
    <row r="463" spans="1:30" s="594" customFormat="1" ht="15.75" customHeight="1">
      <c r="A463" s="204" t="str">
        <f>IF(B463&lt;&gt;"",IF(AND(B463&gt;=_TM1,B463&lt;=_TM2,OR(TH!L463="1111",TH!M463="1111")),TH!D463,""),"")</f>
        <v/>
      </c>
      <c r="B463" s="36">
        <f t="shared" si="72"/>
        <v>11</v>
      </c>
      <c r="C463" s="191">
        <f t="shared" si="60"/>
        <v>41580</v>
      </c>
      <c r="D463" s="184" t="s">
        <v>415</v>
      </c>
      <c r="E463" s="184">
        <v>41580</v>
      </c>
      <c r="F463" s="192" t="s">
        <v>703</v>
      </c>
      <c r="G463" s="664" t="s">
        <v>704</v>
      </c>
      <c r="H463" s="193" t="s">
        <v>705</v>
      </c>
      <c r="I463" s="256">
        <v>1000</v>
      </c>
      <c r="J463" s="256">
        <v>16800</v>
      </c>
      <c r="K463" s="38">
        <f>ROUND(I463*J463,0)</f>
        <v>16800000</v>
      </c>
      <c r="L463" s="194" t="s">
        <v>159</v>
      </c>
      <c r="M463" s="194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50"/>
      <c r="AB463" s="211"/>
      <c r="AC463" s="198"/>
      <c r="AD463" s="198"/>
    </row>
    <row r="464" spans="1:30" s="594" customFormat="1" ht="15.75" customHeight="1">
      <c r="A464" s="204" t="str">
        <f>IF(B464&lt;&gt;"",IF(AND(B464&gt;=_TM1,B464&lt;=_TM2,OR(TH!L464="1111",TH!M464="1111")),TH!D464,""),"")</f>
        <v/>
      </c>
      <c r="B464" s="36">
        <f t="shared" si="72"/>
        <v>11</v>
      </c>
      <c r="C464" s="191">
        <f t="shared" si="60"/>
        <v>41580</v>
      </c>
      <c r="D464" s="184" t="s">
        <v>415</v>
      </c>
      <c r="E464" s="184">
        <v>41580</v>
      </c>
      <c r="F464" s="192" t="s">
        <v>588</v>
      </c>
      <c r="G464" s="664" t="s">
        <v>704</v>
      </c>
      <c r="H464" s="193" t="s">
        <v>705</v>
      </c>
      <c r="I464" s="256"/>
      <c r="J464" s="256"/>
      <c r="K464" s="38">
        <v>1680000</v>
      </c>
      <c r="L464" s="194" t="s">
        <v>9</v>
      </c>
      <c r="M464" s="194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50"/>
      <c r="AB464" s="594">
        <v>12</v>
      </c>
      <c r="AC464" s="198"/>
      <c r="AD464" s="198"/>
    </row>
    <row r="465" spans="1:30" s="594" customFormat="1" ht="15.75" customHeight="1">
      <c r="A465" s="204" t="str">
        <f>IF(B465&lt;&gt;"",IF(AND(B465&gt;=_TM1,B465&lt;=_TM2,OR(TH!L465="1111",TH!M465="1111")),TH!D465,""),"")</f>
        <v>NL/N09</v>
      </c>
      <c r="B465" s="36">
        <f t="shared" ref="B465" si="87">IF(C465&lt;&gt;"",MONTH(C465),"")</f>
        <v>11</v>
      </c>
      <c r="C465" s="191">
        <f t="shared" ref="C465" si="88">E465</f>
        <v>41580</v>
      </c>
      <c r="D465" s="184" t="s">
        <v>415</v>
      </c>
      <c r="E465" s="184">
        <v>41580</v>
      </c>
      <c r="F465" s="192" t="s">
        <v>371</v>
      </c>
      <c r="G465" s="664" t="s">
        <v>704</v>
      </c>
      <c r="H465" s="193" t="s">
        <v>705</v>
      </c>
      <c r="I465" s="256"/>
      <c r="J465" s="256"/>
      <c r="K465" s="38">
        <v>18480000</v>
      </c>
      <c r="L465" s="194" t="s">
        <v>8</v>
      </c>
      <c r="M465" s="194" t="s">
        <v>47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50"/>
      <c r="AB465" s="211"/>
      <c r="AC465" s="198"/>
      <c r="AD465" s="198"/>
    </row>
    <row r="466" spans="1:30" s="594" customFormat="1" ht="15.75" customHeight="1">
      <c r="A466" s="204" t="str">
        <f>IF(B466&lt;&gt;"",IF(AND(B466&gt;=_TM1,B466&lt;=_TM2,OR(TH!L466="1111",TH!M466="1111")),TH!D466,""),"")</f>
        <v/>
      </c>
      <c r="B466" s="36">
        <f t="shared" si="72"/>
        <v>11</v>
      </c>
      <c r="C466" s="191">
        <f t="shared" si="60"/>
        <v>41582</v>
      </c>
      <c r="D466" s="184" t="s">
        <v>416</v>
      </c>
      <c r="E466" s="184">
        <v>41582</v>
      </c>
      <c r="F466" s="192" t="s">
        <v>706</v>
      </c>
      <c r="G466" s="664" t="s">
        <v>707</v>
      </c>
      <c r="H466" s="193" t="s">
        <v>705</v>
      </c>
      <c r="I466" s="256">
        <v>1000</v>
      </c>
      <c r="J466" s="256">
        <v>9500</v>
      </c>
      <c r="K466" s="38">
        <f>ROUND(I466*J466,0)</f>
        <v>9500000</v>
      </c>
      <c r="L466" s="194" t="s">
        <v>159</v>
      </c>
      <c r="M466" s="194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50"/>
      <c r="AB466" s="211"/>
      <c r="AC466" s="198"/>
      <c r="AD466" s="198"/>
    </row>
    <row r="467" spans="1:30" s="594" customFormat="1" ht="15.75" customHeight="1">
      <c r="A467" s="204" t="str">
        <f>IF(B467&lt;&gt;"",IF(AND(B467&gt;=_TM1,B467&lt;=_TM2,OR(TH!L467="1111",TH!M467="1111")),TH!D467,""),"")</f>
        <v/>
      </c>
      <c r="B467" s="36">
        <f t="shared" si="72"/>
        <v>11</v>
      </c>
      <c r="C467" s="191">
        <f t="shared" si="60"/>
        <v>41582</v>
      </c>
      <c r="D467" s="184" t="s">
        <v>416</v>
      </c>
      <c r="E467" s="184">
        <v>41582</v>
      </c>
      <c r="F467" s="192" t="s">
        <v>708</v>
      </c>
      <c r="G467" s="664" t="s">
        <v>707</v>
      </c>
      <c r="H467" s="193" t="s">
        <v>705</v>
      </c>
      <c r="I467" s="256">
        <v>800</v>
      </c>
      <c r="J467" s="256">
        <v>9000</v>
      </c>
      <c r="K467" s="38">
        <f>ROUND(I467*J467,0)</f>
        <v>7200000</v>
      </c>
      <c r="L467" s="194" t="s">
        <v>159</v>
      </c>
      <c r="M467" s="194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50"/>
      <c r="AB467" s="211"/>
      <c r="AC467" s="198"/>
      <c r="AD467" s="198"/>
    </row>
    <row r="468" spans="1:30" s="594" customFormat="1" ht="15.75" customHeight="1">
      <c r="A468" s="204" t="str">
        <f>IF(B468&lt;&gt;"",IF(AND(B468&gt;=_TM1,B468&lt;=_TM2,OR(TH!L468="1111",TH!M468="1111")),TH!D468,""),"")</f>
        <v/>
      </c>
      <c r="B468" s="36">
        <f t="shared" si="72"/>
        <v>11</v>
      </c>
      <c r="C468" s="191">
        <f t="shared" si="60"/>
        <v>41582</v>
      </c>
      <c r="D468" s="184" t="s">
        <v>416</v>
      </c>
      <c r="E468" s="184">
        <v>41582</v>
      </c>
      <c r="F468" s="192" t="s">
        <v>588</v>
      </c>
      <c r="G468" s="664" t="s">
        <v>707</v>
      </c>
      <c r="H468" s="193" t="s">
        <v>705</v>
      </c>
      <c r="I468" s="256"/>
      <c r="J468" s="256"/>
      <c r="K468" s="38">
        <v>1670000</v>
      </c>
      <c r="L468" s="194" t="s">
        <v>9</v>
      </c>
      <c r="M468" s="194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50"/>
      <c r="AB468" s="594">
        <v>12</v>
      </c>
      <c r="AC468" s="198"/>
      <c r="AD468" s="198"/>
    </row>
    <row r="469" spans="1:30" s="594" customFormat="1" ht="15.75" customHeight="1">
      <c r="A469" s="204" t="str">
        <f>IF(B469&lt;&gt;"",IF(AND(B469&gt;=_TM1,B469&lt;=_TM2,OR(TH!L469="1111",TH!M469="1111")),TH!D469,""),"")</f>
        <v>NL/N10</v>
      </c>
      <c r="B469" s="36">
        <f t="shared" ref="B469" si="89">IF(C469&lt;&gt;"",MONTH(C469),"")</f>
        <v>11</v>
      </c>
      <c r="C469" s="191">
        <f t="shared" ref="C469" si="90">E469</f>
        <v>41582</v>
      </c>
      <c r="D469" s="184" t="s">
        <v>416</v>
      </c>
      <c r="E469" s="184">
        <v>41582</v>
      </c>
      <c r="F469" s="192" t="s">
        <v>371</v>
      </c>
      <c r="G469" s="664" t="s">
        <v>707</v>
      </c>
      <c r="H469" s="193" t="s">
        <v>705</v>
      </c>
      <c r="I469" s="256"/>
      <c r="J469" s="256"/>
      <c r="K469" s="38">
        <v>18370000</v>
      </c>
      <c r="L469" s="194" t="s">
        <v>8</v>
      </c>
      <c r="M469" s="194" t="s">
        <v>47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50"/>
      <c r="AB469" s="211"/>
      <c r="AC469" s="198"/>
      <c r="AD469" s="198"/>
    </row>
    <row r="470" spans="1:30" s="594" customFormat="1" ht="15.75" customHeight="1">
      <c r="A470" s="204" t="str">
        <f>IF(B470&lt;&gt;"",IF(AND(B470&gt;=_TM1,B470&lt;=_TM2,OR(TH!L470="1111",TH!M470="1111")),TH!D470,""),"")</f>
        <v/>
      </c>
      <c r="B470" s="36">
        <f t="shared" si="72"/>
        <v>11</v>
      </c>
      <c r="C470" s="191">
        <f t="shared" si="60"/>
        <v>41586</v>
      </c>
      <c r="D470" s="184" t="s">
        <v>417</v>
      </c>
      <c r="E470" s="191">
        <v>41586</v>
      </c>
      <c r="F470" s="192" t="s">
        <v>709</v>
      </c>
      <c r="G470" s="485" t="s">
        <v>710</v>
      </c>
      <c r="H470" s="193" t="s">
        <v>705</v>
      </c>
      <c r="I470" s="256">
        <v>1100</v>
      </c>
      <c r="J470" s="256">
        <v>15000</v>
      </c>
      <c r="K470" s="38">
        <f>ROUND(I470*J470,0)</f>
        <v>16500000</v>
      </c>
      <c r="L470" s="194" t="s">
        <v>159</v>
      </c>
      <c r="M470" s="194" t="s">
        <v>8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50"/>
      <c r="AB470" s="211"/>
      <c r="AC470" s="198"/>
      <c r="AD470" s="198"/>
    </row>
    <row r="471" spans="1:30" s="594" customFormat="1" ht="15.75" customHeight="1">
      <c r="A471" s="204" t="str">
        <f>IF(B471&lt;&gt;"",IF(AND(B471&gt;=_TM1,B471&lt;=_TM2,OR(TH!L471="1111",TH!M471="1111")),TH!D471,""),"")</f>
        <v/>
      </c>
      <c r="B471" s="36">
        <f t="shared" si="72"/>
        <v>11</v>
      </c>
      <c r="C471" s="191">
        <f t="shared" si="60"/>
        <v>41586</v>
      </c>
      <c r="D471" s="184" t="s">
        <v>417</v>
      </c>
      <c r="E471" s="191">
        <v>41586</v>
      </c>
      <c r="F471" s="192" t="s">
        <v>588</v>
      </c>
      <c r="G471" s="485" t="s">
        <v>710</v>
      </c>
      <c r="H471" s="193" t="s">
        <v>705</v>
      </c>
      <c r="I471" s="256"/>
      <c r="J471" s="256"/>
      <c r="K471" s="38">
        <v>1650000</v>
      </c>
      <c r="L471" s="194" t="s">
        <v>9</v>
      </c>
      <c r="M471" s="194" t="s">
        <v>8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50"/>
      <c r="AB471" s="594">
        <v>12</v>
      </c>
      <c r="AC471" s="198"/>
      <c r="AD471" s="198"/>
    </row>
    <row r="472" spans="1:30" s="594" customFormat="1" ht="15.75" customHeight="1">
      <c r="A472" s="204" t="str">
        <f>IF(B472&lt;&gt;"",IF(AND(B472&gt;=_TM1,B472&lt;=_TM2,OR(TH!L472="1111",TH!M472="1111")),TH!D472,""),"")</f>
        <v>NL/N11</v>
      </c>
      <c r="B472" s="36">
        <f t="shared" ref="B472" si="91">IF(C472&lt;&gt;"",MONTH(C472),"")</f>
        <v>11</v>
      </c>
      <c r="C472" s="191">
        <f t="shared" ref="C472" si="92">E472</f>
        <v>41586</v>
      </c>
      <c r="D472" s="184" t="s">
        <v>417</v>
      </c>
      <c r="E472" s="191">
        <v>41586</v>
      </c>
      <c r="F472" s="192" t="s">
        <v>371</v>
      </c>
      <c r="G472" s="485" t="s">
        <v>710</v>
      </c>
      <c r="H472" s="193" t="s">
        <v>705</v>
      </c>
      <c r="I472" s="256"/>
      <c r="J472" s="256"/>
      <c r="K472" s="38">
        <v>18150000</v>
      </c>
      <c r="L472" s="194" t="s">
        <v>8</v>
      </c>
      <c r="M472" s="194" t="s">
        <v>47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50"/>
      <c r="AB472" s="211"/>
      <c r="AC472" s="198"/>
      <c r="AD472" s="198"/>
    </row>
    <row r="473" spans="1:30" s="594" customFormat="1" ht="15.75" customHeight="1">
      <c r="A473" s="204" t="str">
        <f>IF(B473&lt;&gt;"",IF(AND(B473&gt;=_TM1,B473&lt;=_TM2,OR(TH!L473="1111",TH!M473="1111")),TH!D473,""),"")</f>
        <v/>
      </c>
      <c r="B473" s="36">
        <f t="shared" si="72"/>
        <v>12</v>
      </c>
      <c r="C473" s="191">
        <f t="shared" si="60"/>
        <v>41617</v>
      </c>
      <c r="D473" s="184" t="s">
        <v>418</v>
      </c>
      <c r="E473" s="191">
        <v>41617</v>
      </c>
      <c r="F473" s="192" t="s">
        <v>711</v>
      </c>
      <c r="G473" s="487" t="s">
        <v>712</v>
      </c>
      <c r="H473" s="193" t="s">
        <v>696</v>
      </c>
      <c r="I473" s="256">
        <v>2650</v>
      </c>
      <c r="J473" s="256">
        <v>6760</v>
      </c>
      <c r="K473" s="38">
        <f>ROUND(I473*J473,0)</f>
        <v>17914000</v>
      </c>
      <c r="L473" s="194" t="s">
        <v>159</v>
      </c>
      <c r="M473" s="194" t="s">
        <v>8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50"/>
      <c r="AC473" s="198"/>
      <c r="AD473" s="198"/>
    </row>
    <row r="474" spans="1:30" s="594" customFormat="1" ht="15.75" customHeight="1">
      <c r="A474" s="204" t="str">
        <f>IF(B474&lt;&gt;"",IF(AND(B474&gt;=_TM1,B474&lt;=_TM2,OR(TH!L474="1111",TH!M474="1111")),TH!D474,""),"")</f>
        <v/>
      </c>
      <c r="B474" s="36">
        <f t="shared" si="72"/>
        <v>12</v>
      </c>
      <c r="C474" s="191">
        <f t="shared" si="60"/>
        <v>41617</v>
      </c>
      <c r="D474" s="184" t="s">
        <v>418</v>
      </c>
      <c r="E474" s="191">
        <v>41617</v>
      </c>
      <c r="F474" s="192" t="s">
        <v>699</v>
      </c>
      <c r="G474" s="487" t="s">
        <v>712</v>
      </c>
      <c r="H474" s="193" t="s">
        <v>696</v>
      </c>
      <c r="I474" s="256"/>
      <c r="J474" s="256"/>
      <c r="K474" s="38">
        <v>1791400</v>
      </c>
      <c r="L474" s="194" t="s">
        <v>9</v>
      </c>
      <c r="M474" s="194" t="s">
        <v>8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50"/>
      <c r="AB474" s="594">
        <v>12</v>
      </c>
      <c r="AC474" s="198"/>
      <c r="AD474" s="198"/>
    </row>
    <row r="475" spans="1:30" s="594" customFormat="1" ht="15.75" customHeight="1">
      <c r="A475" s="204" t="str">
        <f>IF(B475&lt;&gt;"",IF(AND(B475&gt;=_TM1,B475&lt;=_TM2,OR(TH!L475="1111",TH!M475="1111")),TH!D475,""),"")</f>
        <v>NL/N12</v>
      </c>
      <c r="B475" s="36">
        <f t="shared" ref="B475" si="93">IF(C475&lt;&gt;"",MONTH(C475),"")</f>
        <v>12</v>
      </c>
      <c r="C475" s="191">
        <f t="shared" ref="C475" si="94">E475</f>
        <v>41617</v>
      </c>
      <c r="D475" s="184" t="s">
        <v>418</v>
      </c>
      <c r="E475" s="191">
        <v>41617</v>
      </c>
      <c r="F475" s="192" t="s">
        <v>371</v>
      </c>
      <c r="G475" s="487" t="s">
        <v>712</v>
      </c>
      <c r="H475" s="193" t="s">
        <v>696</v>
      </c>
      <c r="I475" s="256"/>
      <c r="J475" s="256"/>
      <c r="K475" s="38">
        <v>19705400</v>
      </c>
      <c r="L475" s="194" t="s">
        <v>8</v>
      </c>
      <c r="M475" s="194" t="s">
        <v>47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50"/>
      <c r="AB475" s="211"/>
      <c r="AC475" s="198"/>
      <c r="AD475" s="198"/>
    </row>
    <row r="476" spans="1:30" s="594" customFormat="1" ht="15.75" customHeight="1">
      <c r="A476" s="204" t="str">
        <f>IF(B476&lt;&gt;"",IF(AND(B476&gt;=_TM1,B476&lt;=_TM2,OR(TH!L476="1111",TH!M476="1111")),TH!D476,""),"")</f>
        <v/>
      </c>
      <c r="B476" s="36">
        <f t="shared" si="72"/>
        <v>12</v>
      </c>
      <c r="C476" s="191">
        <f t="shared" si="60"/>
        <v>41621</v>
      </c>
      <c r="D476" s="184" t="s">
        <v>419</v>
      </c>
      <c r="E476" s="191">
        <v>41621</v>
      </c>
      <c r="F476" s="192" t="s">
        <v>713</v>
      </c>
      <c r="G476" s="487" t="s">
        <v>714</v>
      </c>
      <c r="H476" s="193" t="s">
        <v>696</v>
      </c>
      <c r="I476" s="256">
        <v>930</v>
      </c>
      <c r="J476" s="256">
        <v>19492</v>
      </c>
      <c r="K476" s="38">
        <f>ROUND(I476*J476,0)</f>
        <v>18127560</v>
      </c>
      <c r="L476" s="194" t="s">
        <v>159</v>
      </c>
      <c r="M476" s="194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50"/>
      <c r="AC476" s="198"/>
      <c r="AD476" s="198"/>
    </row>
    <row r="477" spans="1:30" s="594" customFormat="1" ht="15.75" customHeight="1">
      <c r="A477" s="204" t="str">
        <f>IF(B477&lt;&gt;"",IF(AND(B477&gt;=_TM1,B477&lt;=_TM2,OR(TH!L477="1111",TH!M477="1111")),TH!D477,""),"")</f>
        <v/>
      </c>
      <c r="B477" s="36">
        <f t="shared" si="72"/>
        <v>12</v>
      </c>
      <c r="C477" s="191">
        <f t="shared" si="60"/>
        <v>41621</v>
      </c>
      <c r="D477" s="184" t="s">
        <v>419</v>
      </c>
      <c r="E477" s="191">
        <v>41621</v>
      </c>
      <c r="F477" s="192" t="s">
        <v>483</v>
      </c>
      <c r="G477" s="487" t="s">
        <v>714</v>
      </c>
      <c r="H477" s="193" t="s">
        <v>696</v>
      </c>
      <c r="I477" s="256"/>
      <c r="J477" s="256"/>
      <c r="K477" s="38">
        <v>1812756</v>
      </c>
      <c r="L477" s="194" t="s">
        <v>9</v>
      </c>
      <c r="M477" s="194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50"/>
      <c r="AB477" s="594">
        <v>12</v>
      </c>
      <c r="AC477" s="198"/>
      <c r="AD477" s="198"/>
    </row>
    <row r="478" spans="1:30" s="594" customFormat="1" ht="15.75" customHeight="1">
      <c r="A478" s="204" t="str">
        <f>IF(B478&lt;&gt;"",IF(AND(B478&gt;=_TM1,B478&lt;=_TM2,OR(TH!L478="1111",TH!M478="1111")),TH!D478,""),"")</f>
        <v>NL/N13</v>
      </c>
      <c r="B478" s="36">
        <f t="shared" ref="B478" si="95">IF(C478&lt;&gt;"",MONTH(C478),"")</f>
        <v>12</v>
      </c>
      <c r="C478" s="191">
        <f t="shared" ref="C478" si="96">E478</f>
        <v>41621</v>
      </c>
      <c r="D478" s="184" t="s">
        <v>419</v>
      </c>
      <c r="E478" s="191">
        <v>41621</v>
      </c>
      <c r="F478" s="192" t="s">
        <v>371</v>
      </c>
      <c r="G478" s="487" t="s">
        <v>714</v>
      </c>
      <c r="H478" s="193" t="s">
        <v>696</v>
      </c>
      <c r="I478" s="256"/>
      <c r="J478" s="256"/>
      <c r="K478" s="38">
        <v>19940316</v>
      </c>
      <c r="L478" s="194" t="s">
        <v>8</v>
      </c>
      <c r="M478" s="194" t="s">
        <v>47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50"/>
      <c r="AB478" s="211"/>
      <c r="AC478" s="198"/>
      <c r="AD478" s="198"/>
    </row>
    <row r="479" spans="1:30" s="594" customFormat="1" ht="15.75" customHeight="1">
      <c r="A479" s="204" t="str">
        <f>IF(B479&lt;&gt;"",IF(AND(B479&gt;=_TM1,B479&lt;=_TM2,OR(TH!L479="1111",TH!M479="1111")),TH!D479,""),"")</f>
        <v/>
      </c>
      <c r="B479" s="36">
        <f t="shared" si="72"/>
        <v>12</v>
      </c>
      <c r="C479" s="191">
        <f t="shared" si="60"/>
        <v>41624</v>
      </c>
      <c r="D479" s="184" t="s">
        <v>420</v>
      </c>
      <c r="E479" s="191">
        <v>41624</v>
      </c>
      <c r="F479" s="192" t="s">
        <v>713</v>
      </c>
      <c r="G479" s="487" t="s">
        <v>715</v>
      </c>
      <c r="H479" s="193" t="s">
        <v>696</v>
      </c>
      <c r="I479" s="256">
        <v>825</v>
      </c>
      <c r="J479" s="256">
        <v>21924</v>
      </c>
      <c r="K479" s="38">
        <f>ROUND(I479*J479,0)</f>
        <v>18087300</v>
      </c>
      <c r="L479" s="194" t="s">
        <v>159</v>
      </c>
      <c r="M479" s="194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50"/>
      <c r="AC479" s="198"/>
      <c r="AD479" s="198"/>
    </row>
    <row r="480" spans="1:30" s="594" customFormat="1" ht="15.75" customHeight="1">
      <c r="A480" s="204" t="str">
        <f>IF(B480&lt;&gt;"",IF(AND(B480&gt;=_TM1,B480&lt;=_TM2,OR(TH!L480="1111",TH!M480="1111")),TH!D480,""),"")</f>
        <v/>
      </c>
      <c r="B480" s="36">
        <f t="shared" si="72"/>
        <v>12</v>
      </c>
      <c r="C480" s="191">
        <f t="shared" si="60"/>
        <v>41624</v>
      </c>
      <c r="D480" s="184" t="s">
        <v>420</v>
      </c>
      <c r="E480" s="191">
        <v>41624</v>
      </c>
      <c r="F480" s="192" t="s">
        <v>483</v>
      </c>
      <c r="G480" s="487" t="s">
        <v>715</v>
      </c>
      <c r="H480" s="193" t="s">
        <v>696</v>
      </c>
      <c r="I480" s="256"/>
      <c r="J480" s="256"/>
      <c r="K480" s="38">
        <v>1808730</v>
      </c>
      <c r="L480" s="194" t="s">
        <v>9</v>
      </c>
      <c r="M480" s="194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50"/>
      <c r="AB480" s="594">
        <v>12</v>
      </c>
      <c r="AC480" s="198"/>
      <c r="AD480" s="198"/>
    </row>
    <row r="481" spans="1:30" s="594" customFormat="1" ht="15.75" customHeight="1">
      <c r="A481" s="204" t="str">
        <f>IF(B481&lt;&gt;"",IF(AND(B481&gt;=_TM1,B481&lt;=_TM2,OR(TH!L481="1111",TH!M481="1111")),TH!D481,""),"")</f>
        <v>NL/N14</v>
      </c>
      <c r="B481" s="36">
        <f t="shared" ref="B481" si="97">IF(C481&lt;&gt;"",MONTH(C481),"")</f>
        <v>12</v>
      </c>
      <c r="C481" s="191">
        <f t="shared" ref="C481" si="98">E481</f>
        <v>41624</v>
      </c>
      <c r="D481" s="184" t="s">
        <v>420</v>
      </c>
      <c r="E481" s="191">
        <v>41624</v>
      </c>
      <c r="F481" s="192" t="s">
        <v>371</v>
      </c>
      <c r="G481" s="487" t="s">
        <v>715</v>
      </c>
      <c r="H481" s="193" t="s">
        <v>696</v>
      </c>
      <c r="I481" s="256"/>
      <c r="J481" s="256"/>
      <c r="K481" s="38">
        <v>19896030</v>
      </c>
      <c r="L481" s="194" t="s">
        <v>8</v>
      </c>
      <c r="M481" s="194" t="s">
        <v>47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50"/>
      <c r="AB481" s="211"/>
      <c r="AC481" s="198"/>
      <c r="AD481" s="198"/>
    </row>
    <row r="482" spans="1:30" s="594" customFormat="1" ht="15.75" customHeight="1">
      <c r="A482" s="204" t="str">
        <f>IF(B482&lt;&gt;"",IF(AND(B482&gt;=_TM1,B482&lt;=_TM2,OR(TH!L482="1111",TH!M482="1111")),TH!D482,""),"")</f>
        <v/>
      </c>
      <c r="B482" s="36">
        <f t="shared" si="72"/>
        <v>12</v>
      </c>
      <c r="C482" s="191">
        <f t="shared" si="60"/>
        <v>41628</v>
      </c>
      <c r="D482" s="184" t="s">
        <v>421</v>
      </c>
      <c r="E482" s="191">
        <v>41628</v>
      </c>
      <c r="F482" s="192" t="s">
        <v>716</v>
      </c>
      <c r="G482" s="487" t="s">
        <v>717</v>
      </c>
      <c r="H482" s="193" t="s">
        <v>696</v>
      </c>
      <c r="I482" s="256">
        <v>830</v>
      </c>
      <c r="J482" s="256">
        <v>21672</v>
      </c>
      <c r="K482" s="38">
        <f>ROUND(I482*J482,0)</f>
        <v>17987760</v>
      </c>
      <c r="L482" s="194" t="s">
        <v>159</v>
      </c>
      <c r="M482" s="194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50"/>
      <c r="AC482" s="198"/>
      <c r="AD482" s="198"/>
    </row>
    <row r="483" spans="1:30" s="594" customFormat="1" ht="15.75" customHeight="1">
      <c r="A483" s="204" t="str">
        <f>IF(B483&lt;&gt;"",IF(AND(B483&gt;=_TM1,B483&lt;=_TM2,OR(TH!L483="1111",TH!M483="1111")),TH!D483,""),"")</f>
        <v/>
      </c>
      <c r="B483" s="36">
        <f t="shared" si="72"/>
        <v>12</v>
      </c>
      <c r="C483" s="191">
        <f t="shared" si="60"/>
        <v>41628</v>
      </c>
      <c r="D483" s="184" t="s">
        <v>421</v>
      </c>
      <c r="E483" s="191">
        <v>41628</v>
      </c>
      <c r="F483" s="192" t="s">
        <v>483</v>
      </c>
      <c r="G483" s="487" t="s">
        <v>717</v>
      </c>
      <c r="H483" s="193" t="s">
        <v>696</v>
      </c>
      <c r="I483" s="256"/>
      <c r="J483" s="256"/>
      <c r="K483" s="38">
        <v>1798776</v>
      </c>
      <c r="L483" s="194" t="s">
        <v>9</v>
      </c>
      <c r="M483" s="194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50"/>
      <c r="AB483" s="594">
        <v>12</v>
      </c>
      <c r="AC483" s="198"/>
      <c r="AD483" s="198"/>
    </row>
    <row r="484" spans="1:30" s="594" customFormat="1" ht="15.75" customHeight="1">
      <c r="A484" s="204" t="str">
        <f>IF(B484&lt;&gt;"",IF(AND(B484&gt;=_TM1,B484&lt;=_TM2,OR(TH!L484="1111",TH!M484="1111")),TH!D484,""),"")</f>
        <v>NL/N15</v>
      </c>
      <c r="B484" s="36">
        <f t="shared" ref="B484" si="99">IF(C484&lt;&gt;"",MONTH(C484),"")</f>
        <v>12</v>
      </c>
      <c r="C484" s="191">
        <f t="shared" ref="C484" si="100">E484</f>
        <v>41628</v>
      </c>
      <c r="D484" s="184" t="s">
        <v>421</v>
      </c>
      <c r="E484" s="191">
        <v>41628</v>
      </c>
      <c r="F484" s="192" t="s">
        <v>371</v>
      </c>
      <c r="G484" s="487" t="s">
        <v>717</v>
      </c>
      <c r="H484" s="193" t="s">
        <v>696</v>
      </c>
      <c r="I484" s="256"/>
      <c r="J484" s="256"/>
      <c r="K484" s="38">
        <v>19786536</v>
      </c>
      <c r="L484" s="194" t="s">
        <v>8</v>
      </c>
      <c r="M484" s="194" t="s">
        <v>47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50"/>
      <c r="AB484" s="211"/>
      <c r="AC484" s="198"/>
      <c r="AD484" s="198"/>
    </row>
    <row r="485" spans="1:30" s="594" customFormat="1" ht="15.75" customHeight="1">
      <c r="A485" s="204" t="str">
        <f>IF(B485&lt;&gt;"",IF(AND(B485&gt;=_TM1,B485&lt;=_TM2,OR(TH!L485="1111",TH!M485="1111")),TH!D485,""),"")</f>
        <v/>
      </c>
      <c r="B485" s="36">
        <f t="shared" si="72"/>
        <v>12</v>
      </c>
      <c r="C485" s="191">
        <f t="shared" si="60"/>
        <v>41629</v>
      </c>
      <c r="D485" s="184" t="s">
        <v>422</v>
      </c>
      <c r="E485" s="191">
        <v>41629</v>
      </c>
      <c r="F485" s="192" t="s">
        <v>716</v>
      </c>
      <c r="G485" s="487" t="s">
        <v>718</v>
      </c>
      <c r="H485" s="193" t="s">
        <v>696</v>
      </c>
      <c r="I485" s="256">
        <v>750</v>
      </c>
      <c r="J485" s="256">
        <v>22168</v>
      </c>
      <c r="K485" s="38">
        <f>ROUND(I485*J485,0)</f>
        <v>16626000</v>
      </c>
      <c r="L485" s="194" t="s">
        <v>159</v>
      </c>
      <c r="M485" s="194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50"/>
      <c r="AB485" s="211"/>
      <c r="AC485" s="198"/>
      <c r="AD485" s="198"/>
    </row>
    <row r="486" spans="1:30" s="594" customFormat="1" ht="15.75" customHeight="1">
      <c r="A486" s="204" t="str">
        <f>IF(B486&lt;&gt;"",IF(AND(B486&gt;=_TM1,B486&lt;=_TM2,OR(TH!L486="1111",TH!M486="1111")),TH!D486,""),"")</f>
        <v/>
      </c>
      <c r="B486" s="36">
        <f t="shared" si="72"/>
        <v>12</v>
      </c>
      <c r="C486" s="191">
        <f t="shared" si="60"/>
        <v>41629</v>
      </c>
      <c r="D486" s="184" t="s">
        <v>422</v>
      </c>
      <c r="E486" s="191">
        <v>41629</v>
      </c>
      <c r="F486" s="192" t="s">
        <v>483</v>
      </c>
      <c r="G486" s="487" t="s">
        <v>718</v>
      </c>
      <c r="H486" s="193" t="s">
        <v>696</v>
      </c>
      <c r="I486" s="256"/>
      <c r="J486" s="256"/>
      <c r="K486" s="38">
        <v>1662600</v>
      </c>
      <c r="L486" s="194" t="s">
        <v>9</v>
      </c>
      <c r="M486" s="194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50"/>
      <c r="AB486" s="594">
        <v>12</v>
      </c>
      <c r="AC486" s="198"/>
      <c r="AD486" s="198"/>
    </row>
    <row r="487" spans="1:30" s="594" customFormat="1" ht="15.75" customHeight="1">
      <c r="A487" s="204" t="str">
        <f>IF(B487&lt;&gt;"",IF(AND(B487&gt;=_TM1,B487&lt;=_TM2,OR(TH!L487="1111",TH!M487="1111")),TH!D487,""),"")</f>
        <v>NL/N16</v>
      </c>
      <c r="B487" s="36">
        <f t="shared" ref="B487" si="101">IF(C487&lt;&gt;"",MONTH(C487),"")</f>
        <v>12</v>
      </c>
      <c r="C487" s="191">
        <f t="shared" ref="C487" si="102">E487</f>
        <v>41629</v>
      </c>
      <c r="D487" s="184" t="s">
        <v>422</v>
      </c>
      <c r="E487" s="191">
        <v>41629</v>
      </c>
      <c r="F487" s="192" t="s">
        <v>371</v>
      </c>
      <c r="G487" s="487" t="s">
        <v>718</v>
      </c>
      <c r="H487" s="193" t="s">
        <v>696</v>
      </c>
      <c r="I487" s="256"/>
      <c r="J487" s="256"/>
      <c r="K487" s="38">
        <v>18288600</v>
      </c>
      <c r="L487" s="194" t="s">
        <v>8</v>
      </c>
      <c r="M487" s="194" t="s">
        <v>47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50"/>
      <c r="AB487" s="211"/>
      <c r="AC487" s="198"/>
      <c r="AD487" s="198"/>
    </row>
    <row r="488" spans="1:30" s="594" customFormat="1" ht="15.75" customHeight="1">
      <c r="A488" s="204" t="str">
        <f>IF(B488&lt;&gt;"",IF(AND(B488&gt;=_TM1,B488&lt;=_TM2,OR(TH!L488="1111",TH!M488="1111")),TH!D488,""),"")</f>
        <v/>
      </c>
      <c r="B488" s="36">
        <f t="shared" si="72"/>
        <v>12</v>
      </c>
      <c r="C488" s="191">
        <f t="shared" si="60"/>
        <v>41635</v>
      </c>
      <c r="D488" s="184" t="s">
        <v>423</v>
      </c>
      <c r="E488" s="191">
        <v>41635</v>
      </c>
      <c r="F488" s="192" t="s">
        <v>719</v>
      </c>
      <c r="G488" s="487" t="s">
        <v>720</v>
      </c>
      <c r="H488" s="193" t="s">
        <v>696</v>
      </c>
      <c r="I488" s="256">
        <v>1620</v>
      </c>
      <c r="J488" s="256">
        <v>11149</v>
      </c>
      <c r="K488" s="38">
        <f>ROUND(I488*J488,0)</f>
        <v>18061380</v>
      </c>
      <c r="L488" s="194" t="s">
        <v>159</v>
      </c>
      <c r="M488" s="194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50"/>
      <c r="AB488" s="211"/>
      <c r="AC488" s="198"/>
      <c r="AD488" s="198"/>
    </row>
    <row r="489" spans="1:30" s="594" customFormat="1" ht="15.75" customHeight="1">
      <c r="A489" s="204" t="str">
        <f>IF(B489&lt;&gt;"",IF(AND(B489&gt;=_TM1,B489&lt;=_TM2,OR(TH!L489="1111",TH!M489="1111")),TH!D489,""),"")</f>
        <v/>
      </c>
      <c r="B489" s="36">
        <f t="shared" si="72"/>
        <v>12</v>
      </c>
      <c r="C489" s="191">
        <f t="shared" si="60"/>
        <v>41635</v>
      </c>
      <c r="D489" s="184" t="s">
        <v>423</v>
      </c>
      <c r="E489" s="191">
        <v>41635</v>
      </c>
      <c r="F489" s="192" t="s">
        <v>699</v>
      </c>
      <c r="G489" s="487" t="s">
        <v>720</v>
      </c>
      <c r="H489" s="193" t="s">
        <v>696</v>
      </c>
      <c r="I489" s="256"/>
      <c r="J489" s="256"/>
      <c r="K489" s="38">
        <v>1806138</v>
      </c>
      <c r="L489" s="194" t="s">
        <v>9</v>
      </c>
      <c r="M489" s="194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50"/>
      <c r="AB489" s="594">
        <v>12</v>
      </c>
      <c r="AC489" s="198"/>
      <c r="AD489" s="198"/>
    </row>
    <row r="490" spans="1:30" s="594" customFormat="1" ht="15.75" customHeight="1">
      <c r="A490" s="204" t="str">
        <f>IF(B490&lt;&gt;"",IF(AND(B490&gt;=_TM1,B490&lt;=_TM2,OR(TH!L490="1111",TH!M490="1111")),TH!D490,""),"")</f>
        <v>NL/N17</v>
      </c>
      <c r="B490" s="36">
        <f t="shared" ref="B490" si="103">IF(C490&lt;&gt;"",MONTH(C490),"")</f>
        <v>12</v>
      </c>
      <c r="C490" s="191">
        <f t="shared" ref="C490" si="104">E490</f>
        <v>41635</v>
      </c>
      <c r="D490" s="184" t="s">
        <v>423</v>
      </c>
      <c r="E490" s="191">
        <v>41635</v>
      </c>
      <c r="F490" s="192" t="s">
        <v>371</v>
      </c>
      <c r="G490" s="487" t="s">
        <v>720</v>
      </c>
      <c r="H490" s="193" t="s">
        <v>696</v>
      </c>
      <c r="I490" s="256"/>
      <c r="J490" s="256"/>
      <c r="K490" s="38">
        <v>19867518</v>
      </c>
      <c r="L490" s="194" t="s">
        <v>8</v>
      </c>
      <c r="M490" s="194" t="s">
        <v>47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50"/>
      <c r="AB490" s="211"/>
      <c r="AC490" s="198"/>
      <c r="AD490" s="198"/>
    </row>
    <row r="491" spans="1:30" s="594" customFormat="1" ht="15.75" customHeight="1">
      <c r="A491" s="204" t="str">
        <f>IF(B491&lt;&gt;"",IF(AND(B491&gt;=_TM1,B491&lt;=_TM2,OR(TH!L491="1111",TH!M491="1111")),TH!D491,""),"")</f>
        <v/>
      </c>
      <c r="B491" s="36">
        <f t="shared" si="72"/>
        <v>1</v>
      </c>
      <c r="C491" s="191">
        <f t="shared" si="60"/>
        <v>41276</v>
      </c>
      <c r="D491" s="184" t="s">
        <v>1045</v>
      </c>
      <c r="E491" s="184">
        <v>41276</v>
      </c>
      <c r="F491" s="192" t="s">
        <v>721</v>
      </c>
      <c r="G491" s="604" t="s">
        <v>722</v>
      </c>
      <c r="H491" s="193" t="s">
        <v>499</v>
      </c>
      <c r="I491" s="256">
        <v>905</v>
      </c>
      <c r="J491" s="256">
        <v>6000</v>
      </c>
      <c r="K491" s="38">
        <f>ROUND(I491*J491,0)</f>
        <v>5430000</v>
      </c>
      <c r="L491" s="194" t="s">
        <v>265</v>
      </c>
      <c r="M491" s="194" t="s">
        <v>175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50"/>
      <c r="AB491" s="211"/>
      <c r="AD491" s="198"/>
    </row>
    <row r="492" spans="1:30" s="594" customFormat="1" ht="15.75" customHeight="1">
      <c r="A492" s="204" t="str">
        <f>IF(B492&lt;&gt;"",IF(AND(B492&gt;=_TM1,B492&lt;=_TM2,OR(TH!L492="1111",TH!M492="1111")),TH!D492,""),"")</f>
        <v/>
      </c>
      <c r="B492" s="36">
        <f t="shared" si="72"/>
        <v>1</v>
      </c>
      <c r="C492" s="191">
        <f t="shared" si="60"/>
        <v>41276</v>
      </c>
      <c r="D492" s="184" t="s">
        <v>1045</v>
      </c>
      <c r="E492" s="191">
        <v>41276</v>
      </c>
      <c r="F492" s="192" t="s">
        <v>723</v>
      </c>
      <c r="G492" s="487" t="s">
        <v>722</v>
      </c>
      <c r="H492" s="193" t="s">
        <v>499</v>
      </c>
      <c r="I492" s="257">
        <v>305</v>
      </c>
      <c r="J492" s="257">
        <v>5500</v>
      </c>
      <c r="K492" s="38">
        <f>ROUND(I492*J492,0)</f>
        <v>1677500</v>
      </c>
      <c r="L492" s="194" t="s">
        <v>265</v>
      </c>
      <c r="M492" s="194" t="s">
        <v>175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50"/>
      <c r="AB492" s="211"/>
      <c r="AD492" s="198"/>
    </row>
    <row r="493" spans="1:30" s="594" customFormat="1" ht="15.75" customHeight="1">
      <c r="A493" s="204" t="str">
        <f>IF(B493&lt;&gt;"",IF(AND(B493&gt;=_TM1,B493&lt;=_TM2,OR(TH!L493="1111",TH!M493="1111")),TH!D493,""),"")</f>
        <v/>
      </c>
      <c r="B493" s="36">
        <f t="shared" si="72"/>
        <v>1</v>
      </c>
      <c r="C493" s="191">
        <f t="shared" si="60"/>
        <v>41276</v>
      </c>
      <c r="D493" s="184" t="s">
        <v>1045</v>
      </c>
      <c r="E493" s="184">
        <v>41276</v>
      </c>
      <c r="F493" s="192" t="s">
        <v>724</v>
      </c>
      <c r="G493" s="604" t="s">
        <v>722</v>
      </c>
      <c r="H493" s="193" t="s">
        <v>499</v>
      </c>
      <c r="I493" s="256"/>
      <c r="J493" s="256"/>
      <c r="K493" s="38">
        <v>710750</v>
      </c>
      <c r="L493" s="194" t="s">
        <v>265</v>
      </c>
      <c r="M493" s="194" t="s">
        <v>429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50"/>
      <c r="AB493" s="211"/>
      <c r="AC493" s="594" t="str">
        <f t="shared" ref="AC493:AC567" si="105">IF(VLOOKUP(H493,DS_131,1,0)&lt;&gt;"","","x")</f>
        <v/>
      </c>
      <c r="AD493" s="198"/>
    </row>
    <row r="494" spans="1:30" s="594" customFormat="1" ht="15.75" customHeight="1">
      <c r="A494" s="204" t="str">
        <f>IF(B494&lt;&gt;"",IF(AND(B494&gt;=_TM1,B494&lt;=_TM2,OR(TH!L494="1111",TH!M494="1111")),TH!D494,""),"")</f>
        <v/>
      </c>
      <c r="B494" s="36">
        <f t="shared" si="72"/>
        <v>1</v>
      </c>
      <c r="C494" s="191">
        <f t="shared" si="60"/>
        <v>41282</v>
      </c>
      <c r="D494" s="184" t="s">
        <v>1046</v>
      </c>
      <c r="E494" s="191">
        <v>41282</v>
      </c>
      <c r="F494" s="192" t="s">
        <v>725</v>
      </c>
      <c r="G494" s="487" t="s">
        <v>726</v>
      </c>
      <c r="H494" s="193" t="s">
        <v>727</v>
      </c>
      <c r="I494" s="257">
        <v>480</v>
      </c>
      <c r="J494" s="257">
        <v>11020</v>
      </c>
      <c r="K494" s="38">
        <f t="shared" ref="K494:K495" si="106">ROUND(I494*J494,0)</f>
        <v>5289600</v>
      </c>
      <c r="L494" s="194" t="s">
        <v>265</v>
      </c>
      <c r="M494" s="194" t="s">
        <v>175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50"/>
      <c r="AB494" s="211"/>
      <c r="AD494" s="198"/>
    </row>
    <row r="495" spans="1:30" s="594" customFormat="1" ht="15.75" customHeight="1">
      <c r="A495" s="204" t="str">
        <f>IF(B495&lt;&gt;"",IF(AND(B495&gt;=_TM1,B495&lt;=_TM2,OR(TH!L495="1111",TH!M495="1111")),TH!D495,""),"")</f>
        <v/>
      </c>
      <c r="B495" s="36">
        <f t="shared" si="72"/>
        <v>1</v>
      </c>
      <c r="C495" s="191">
        <f t="shared" si="60"/>
        <v>41282</v>
      </c>
      <c r="D495" s="184" t="s">
        <v>1046</v>
      </c>
      <c r="E495" s="184">
        <v>41282</v>
      </c>
      <c r="F495" s="192" t="s">
        <v>728</v>
      </c>
      <c r="G495" s="604" t="s">
        <v>726</v>
      </c>
      <c r="H495" s="193" t="s">
        <v>727</v>
      </c>
      <c r="I495" s="256">
        <v>199</v>
      </c>
      <c r="J495" s="256">
        <v>7235</v>
      </c>
      <c r="K495" s="38">
        <f t="shared" si="106"/>
        <v>1439765</v>
      </c>
      <c r="L495" s="194" t="s">
        <v>265</v>
      </c>
      <c r="M495" s="194" t="s">
        <v>175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50"/>
      <c r="AB495" s="881"/>
      <c r="AD495" s="198"/>
    </row>
    <row r="496" spans="1:30" s="594" customFormat="1" ht="15.75" customHeight="1">
      <c r="A496" s="204" t="str">
        <f>IF(B496&lt;&gt;"",IF(AND(B496&gt;=_TM1,B496&lt;=_TM2,OR(TH!L496="1111",TH!M496="1111")),TH!D496,""),"")</f>
        <v/>
      </c>
      <c r="B496" s="36">
        <f t="shared" ref="B496:B576" si="107">IF(C496&lt;&gt;"",MONTH(C496),"")</f>
        <v>1</v>
      </c>
      <c r="C496" s="191">
        <f t="shared" si="60"/>
        <v>41282</v>
      </c>
      <c r="D496" s="184" t="s">
        <v>1046</v>
      </c>
      <c r="E496" s="191">
        <v>41282</v>
      </c>
      <c r="F496" s="192" t="s">
        <v>724</v>
      </c>
      <c r="G496" s="487" t="s">
        <v>726</v>
      </c>
      <c r="H496" s="193" t="s">
        <v>727</v>
      </c>
      <c r="I496" s="257"/>
      <c r="J496" s="257"/>
      <c r="K496" s="38">
        <v>672937</v>
      </c>
      <c r="L496" s="194" t="s">
        <v>265</v>
      </c>
      <c r="M496" s="194" t="s">
        <v>429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50"/>
      <c r="AB496" s="211"/>
      <c r="AC496" s="594" t="str">
        <f t="shared" si="105"/>
        <v/>
      </c>
      <c r="AD496" s="198"/>
    </row>
    <row r="497" spans="1:30" s="594" customFormat="1" ht="15.75" customHeight="1">
      <c r="A497" s="204" t="str">
        <f>IF(B497&lt;&gt;"",IF(AND(B497&gt;=_TM1,B497&lt;=_TM2,OR(TH!L497="1111",TH!M497="1111")),TH!D497,""),"")</f>
        <v/>
      </c>
      <c r="B497" s="36">
        <f t="shared" ref="B497" si="108">IF(C497&lt;&gt;"",MONTH(C497),"")</f>
        <v>1</v>
      </c>
      <c r="C497" s="191">
        <f t="shared" ref="C497" si="109">E497</f>
        <v>41282</v>
      </c>
      <c r="D497" s="184" t="s">
        <v>1046</v>
      </c>
      <c r="E497" s="191">
        <v>41282</v>
      </c>
      <c r="F497" s="189" t="s">
        <v>341</v>
      </c>
      <c r="G497" s="487" t="s">
        <v>726</v>
      </c>
      <c r="H497" s="193" t="s">
        <v>727</v>
      </c>
      <c r="I497" s="257"/>
      <c r="J497" s="257"/>
      <c r="K497" s="38">
        <v>7402302</v>
      </c>
      <c r="L497" s="194" t="s">
        <v>47</v>
      </c>
      <c r="M497" s="194" t="s">
        <v>265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>x</v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50"/>
      <c r="AB497" s="211"/>
      <c r="AC497" s="594" t="str">
        <f t="shared" ref="AC497" si="110">IF(VLOOKUP(H497,DS_131,1,0)&lt;&gt;"","","x")</f>
        <v/>
      </c>
      <c r="AD497" s="198"/>
    </row>
    <row r="498" spans="1:30" s="594" customFormat="1" ht="15.75" customHeight="1">
      <c r="A498" s="204" t="str">
        <f>IF(B498&lt;&gt;"",IF(AND(B498&gt;=_TM1,B498&lt;=_TM2,OR(TH!L498="1111",TH!M498="1111")),TH!D498,""),"")</f>
        <v/>
      </c>
      <c r="B498" s="36">
        <f t="shared" si="107"/>
        <v>1</v>
      </c>
      <c r="C498" s="191">
        <f t="shared" si="60"/>
        <v>41284</v>
      </c>
      <c r="D498" s="184" t="s">
        <v>1047</v>
      </c>
      <c r="E498" s="184">
        <v>41284</v>
      </c>
      <c r="F498" s="192" t="s">
        <v>729</v>
      </c>
      <c r="G498" s="604" t="s">
        <v>730</v>
      </c>
      <c r="H498" s="193" t="s">
        <v>501</v>
      </c>
      <c r="I498" s="256">
        <v>992</v>
      </c>
      <c r="J498" s="256">
        <v>8740</v>
      </c>
      <c r="K498" s="38">
        <f>ROUND(I498*J498,0)</f>
        <v>8670080</v>
      </c>
      <c r="L498" s="194" t="s">
        <v>265</v>
      </c>
      <c r="M498" s="194" t="s">
        <v>175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50"/>
      <c r="AB498" s="211"/>
      <c r="AD498" s="198"/>
    </row>
    <row r="499" spans="1:30" s="211" customFormat="1" ht="15.75" customHeight="1">
      <c r="A499" s="204" t="str">
        <f>IF(B499&lt;&gt;"",IF(AND(B499&gt;=_TM1,B499&lt;=_TM2,OR(TH!L499="1111",TH!M499="1111")),TH!D499,""),"")</f>
        <v/>
      </c>
      <c r="B499" s="36">
        <f t="shared" si="107"/>
        <v>1</v>
      </c>
      <c r="C499" s="191">
        <f t="shared" si="60"/>
        <v>41284</v>
      </c>
      <c r="D499" s="184" t="s">
        <v>1047</v>
      </c>
      <c r="E499" s="191">
        <v>41284</v>
      </c>
      <c r="F499" s="192" t="s">
        <v>724</v>
      </c>
      <c r="G499" s="487" t="s">
        <v>730</v>
      </c>
      <c r="H499" s="193" t="s">
        <v>501</v>
      </c>
      <c r="I499" s="257"/>
      <c r="J499" s="257"/>
      <c r="K499" s="38">
        <v>867008</v>
      </c>
      <c r="L499" s="194" t="s">
        <v>265</v>
      </c>
      <c r="M499" s="194" t="s">
        <v>429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50"/>
      <c r="AC499" s="594" t="str">
        <f t="shared" si="105"/>
        <v/>
      </c>
      <c r="AD499" s="198"/>
    </row>
    <row r="500" spans="1:30" s="211" customFormat="1" ht="15.75" customHeight="1">
      <c r="A500" s="204" t="str">
        <f>IF(B500&lt;&gt;"",IF(AND(B500&gt;=_TM1,B500&lt;=_TM2,OR(TH!L500="1111",TH!M500="1111")),TH!D500,""),"")</f>
        <v/>
      </c>
      <c r="B500" s="36">
        <f t="shared" si="107"/>
        <v>1</v>
      </c>
      <c r="C500" s="191">
        <f t="shared" ref="C500:C579" si="111">E500</f>
        <v>41285</v>
      </c>
      <c r="D500" s="184" t="s">
        <v>1048</v>
      </c>
      <c r="E500" s="184">
        <v>41285</v>
      </c>
      <c r="F500" s="192" t="s">
        <v>731</v>
      </c>
      <c r="G500" s="604" t="s">
        <v>732</v>
      </c>
      <c r="H500" s="193" t="s">
        <v>1110</v>
      </c>
      <c r="I500" s="256">
        <v>202</v>
      </c>
      <c r="J500" s="256">
        <v>7268</v>
      </c>
      <c r="K500" s="38">
        <f t="shared" ref="K500:K506" si="112">ROUND(I500*J500,0)</f>
        <v>1468136</v>
      </c>
      <c r="L500" s="194" t="s">
        <v>265</v>
      </c>
      <c r="M500" s="194" t="s">
        <v>175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50"/>
      <c r="AC500" s="594"/>
      <c r="AD500" s="198"/>
    </row>
    <row r="501" spans="1:30" s="594" customFormat="1" ht="15.75" customHeight="1">
      <c r="A501" s="204" t="str">
        <f>IF(B501&lt;&gt;"",IF(AND(B501&gt;=_TM1,B501&lt;=_TM2,OR(TH!L501="1111",TH!M501="1111")),TH!D501,""),"")</f>
        <v/>
      </c>
      <c r="B501" s="36">
        <f t="shared" si="107"/>
        <v>1</v>
      </c>
      <c r="C501" s="191">
        <f t="shared" si="111"/>
        <v>41285</v>
      </c>
      <c r="D501" s="184" t="s">
        <v>1048</v>
      </c>
      <c r="E501" s="191">
        <v>41285</v>
      </c>
      <c r="F501" s="192" t="s">
        <v>733</v>
      </c>
      <c r="G501" s="487" t="s">
        <v>732</v>
      </c>
      <c r="H501" s="193" t="s">
        <v>1110</v>
      </c>
      <c r="I501" s="257">
        <v>204</v>
      </c>
      <c r="J501" s="257">
        <v>8500</v>
      </c>
      <c r="K501" s="38">
        <f t="shared" si="112"/>
        <v>1734000</v>
      </c>
      <c r="L501" s="194" t="s">
        <v>265</v>
      </c>
      <c r="M501" s="194" t="s">
        <v>175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50"/>
      <c r="AB501" s="211"/>
      <c r="AD501" s="198"/>
    </row>
    <row r="502" spans="1:30" s="594" customFormat="1" ht="15.75" customHeight="1">
      <c r="A502" s="204" t="str">
        <f>IF(B502&lt;&gt;"",IF(AND(B502&gt;=_TM1,B502&lt;=_TM2,OR(TH!L502="1111",TH!M502="1111")),TH!D502,""),"")</f>
        <v/>
      </c>
      <c r="B502" s="36">
        <f t="shared" si="107"/>
        <v>1</v>
      </c>
      <c r="C502" s="191">
        <f t="shared" si="111"/>
        <v>41285</v>
      </c>
      <c r="D502" s="184" t="s">
        <v>1048</v>
      </c>
      <c r="E502" s="184">
        <v>41285</v>
      </c>
      <c r="F502" s="192" t="s">
        <v>734</v>
      </c>
      <c r="G502" s="604" t="s">
        <v>732</v>
      </c>
      <c r="H502" s="193" t="s">
        <v>1110</v>
      </c>
      <c r="I502" s="256">
        <v>510</v>
      </c>
      <c r="J502" s="256">
        <v>550</v>
      </c>
      <c r="K502" s="38">
        <f t="shared" si="112"/>
        <v>280500</v>
      </c>
      <c r="L502" s="194" t="s">
        <v>265</v>
      </c>
      <c r="M502" s="194" t="s">
        <v>175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50"/>
      <c r="AB502" s="211"/>
      <c r="AD502" s="198"/>
    </row>
    <row r="503" spans="1:30" s="594" customFormat="1" ht="15.75" customHeight="1">
      <c r="A503" s="204" t="str">
        <f>IF(B503&lt;&gt;"",IF(AND(B503&gt;=_TM1,B503&lt;=_TM2,OR(TH!L503="1111",TH!M503="1111")),TH!D503,""),"")</f>
        <v/>
      </c>
      <c r="B503" s="36">
        <f t="shared" si="107"/>
        <v>1</v>
      </c>
      <c r="C503" s="191">
        <f t="shared" si="111"/>
        <v>41285</v>
      </c>
      <c r="D503" s="184" t="s">
        <v>1048</v>
      </c>
      <c r="E503" s="191">
        <v>41285</v>
      </c>
      <c r="F503" s="192" t="s">
        <v>735</v>
      </c>
      <c r="G503" s="487" t="s">
        <v>732</v>
      </c>
      <c r="H503" s="193" t="s">
        <v>1110</v>
      </c>
      <c r="I503" s="257">
        <v>420</v>
      </c>
      <c r="J503" s="257">
        <v>500</v>
      </c>
      <c r="K503" s="38">
        <f t="shared" si="112"/>
        <v>210000</v>
      </c>
      <c r="L503" s="194" t="s">
        <v>265</v>
      </c>
      <c r="M503" s="194" t="s">
        <v>175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50"/>
      <c r="AB503" s="211"/>
      <c r="AD503" s="198"/>
    </row>
    <row r="504" spans="1:30" s="594" customFormat="1" ht="15.75" customHeight="1">
      <c r="A504" s="204" t="str">
        <f>IF(B504&lt;&gt;"",IF(AND(B504&gt;=_TM1,B504&lt;=_TM2,OR(TH!L504="1111",TH!M504="1111")),TH!D504,""),"")</f>
        <v/>
      </c>
      <c r="B504" s="36">
        <f t="shared" si="107"/>
        <v>1</v>
      </c>
      <c r="C504" s="191">
        <f t="shared" si="111"/>
        <v>41285</v>
      </c>
      <c r="D504" s="184" t="s">
        <v>1048</v>
      </c>
      <c r="E504" s="184">
        <v>41285</v>
      </c>
      <c r="F504" s="192" t="s">
        <v>736</v>
      </c>
      <c r="G504" s="604" t="s">
        <v>732</v>
      </c>
      <c r="H504" s="193" t="s">
        <v>1110</v>
      </c>
      <c r="I504" s="256">
        <v>200</v>
      </c>
      <c r="J504" s="256">
        <v>900</v>
      </c>
      <c r="K504" s="38">
        <f t="shared" si="112"/>
        <v>180000</v>
      </c>
      <c r="L504" s="194" t="s">
        <v>265</v>
      </c>
      <c r="M504" s="194" t="s">
        <v>175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50"/>
      <c r="AB504" s="211"/>
      <c r="AD504" s="198"/>
    </row>
    <row r="505" spans="1:30" s="594" customFormat="1" ht="15.75" customHeight="1">
      <c r="A505" s="204" t="str">
        <f>IF(B505&lt;&gt;"",IF(AND(B505&gt;=_TM1,B505&lt;=_TM2,OR(TH!L505="1111",TH!M505="1111")),TH!D505,""),"")</f>
        <v/>
      </c>
      <c r="B505" s="36">
        <f t="shared" si="107"/>
        <v>1</v>
      </c>
      <c r="C505" s="191">
        <f t="shared" si="111"/>
        <v>41285</v>
      </c>
      <c r="D505" s="184" t="s">
        <v>1048</v>
      </c>
      <c r="E505" s="191">
        <v>41285</v>
      </c>
      <c r="F505" s="192" t="s">
        <v>737</v>
      </c>
      <c r="G505" s="487" t="s">
        <v>732</v>
      </c>
      <c r="H505" s="193" t="s">
        <v>1110</v>
      </c>
      <c r="I505" s="256">
        <v>420</v>
      </c>
      <c r="J505" s="256">
        <v>700</v>
      </c>
      <c r="K505" s="38">
        <f t="shared" si="112"/>
        <v>294000</v>
      </c>
      <c r="L505" s="194" t="s">
        <v>265</v>
      </c>
      <c r="M505" s="194" t="s">
        <v>175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50"/>
      <c r="AB505" s="211"/>
      <c r="AD505" s="198"/>
    </row>
    <row r="506" spans="1:30" s="211" customFormat="1" ht="15.75" customHeight="1">
      <c r="A506" s="204" t="str">
        <f>IF(B506&lt;&gt;"",IF(AND(B506&gt;=_TM1,B506&lt;=_TM2,OR(TH!L506="1111",TH!M506="1111")),TH!D506,""),"")</f>
        <v/>
      </c>
      <c r="B506" s="36">
        <f t="shared" si="107"/>
        <v>1</v>
      </c>
      <c r="C506" s="191">
        <f t="shared" si="111"/>
        <v>41285</v>
      </c>
      <c r="D506" s="184" t="s">
        <v>1048</v>
      </c>
      <c r="E506" s="191">
        <v>41285</v>
      </c>
      <c r="F506" s="192" t="s">
        <v>738</v>
      </c>
      <c r="G506" s="487" t="s">
        <v>732</v>
      </c>
      <c r="H506" s="193" t="s">
        <v>1110</v>
      </c>
      <c r="I506" s="256">
        <v>52</v>
      </c>
      <c r="J506" s="256">
        <v>9512</v>
      </c>
      <c r="K506" s="38">
        <f t="shared" si="112"/>
        <v>494624</v>
      </c>
      <c r="L506" s="194" t="s">
        <v>265</v>
      </c>
      <c r="M506" s="194" t="s">
        <v>175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50"/>
      <c r="AC506" s="594"/>
      <c r="AD506" s="198"/>
    </row>
    <row r="507" spans="1:30" s="211" customFormat="1" ht="15.75" customHeight="1">
      <c r="A507" s="204" t="str">
        <f>IF(B507&lt;&gt;"",IF(AND(B507&gt;=_TM1,B507&lt;=_TM2,OR(TH!L507="1111",TH!M507="1111")),TH!D507,""),"")</f>
        <v/>
      </c>
      <c r="B507" s="36">
        <f t="shared" si="107"/>
        <v>1</v>
      </c>
      <c r="C507" s="191">
        <f t="shared" si="111"/>
        <v>41285</v>
      </c>
      <c r="D507" s="184" t="s">
        <v>1048</v>
      </c>
      <c r="E507" s="191">
        <v>41285</v>
      </c>
      <c r="F507" s="192" t="s">
        <v>724</v>
      </c>
      <c r="G507" s="487" t="s">
        <v>732</v>
      </c>
      <c r="H507" s="193" t="s">
        <v>1110</v>
      </c>
      <c r="I507" s="256"/>
      <c r="J507" s="256"/>
      <c r="K507" s="602">
        <v>466126</v>
      </c>
      <c r="L507" s="194" t="s">
        <v>265</v>
      </c>
      <c r="M507" s="194" t="s">
        <v>429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50"/>
      <c r="AC507" s="594" t="str">
        <f t="shared" si="105"/>
        <v/>
      </c>
      <c r="AD507" s="198"/>
    </row>
    <row r="508" spans="1:30" s="211" customFormat="1" ht="15.75" customHeight="1">
      <c r="A508" s="204" t="str">
        <f>IF(B508&lt;&gt;"",IF(AND(B508&gt;=_TM1,B508&lt;=_TM2,OR(TH!L508="1111",TH!M508="1111")),TH!D508,""),"")</f>
        <v/>
      </c>
      <c r="B508" s="36">
        <f t="shared" ref="B508" si="113">IF(C508&lt;&gt;"",MONTH(C508),"")</f>
        <v>1</v>
      </c>
      <c r="C508" s="191">
        <f t="shared" ref="C508" si="114">E508</f>
        <v>41285</v>
      </c>
      <c r="D508" s="184" t="s">
        <v>1048</v>
      </c>
      <c r="E508" s="191">
        <v>41285</v>
      </c>
      <c r="F508" s="189" t="s">
        <v>341</v>
      </c>
      <c r="G508" s="487" t="s">
        <v>732</v>
      </c>
      <c r="H508" s="193" t="s">
        <v>1110</v>
      </c>
      <c r="I508" s="256"/>
      <c r="J508" s="256"/>
      <c r="K508" s="602">
        <v>5127386</v>
      </c>
      <c r="L508" s="194" t="s">
        <v>47</v>
      </c>
      <c r="M508" s="194" t="s">
        <v>265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>x</v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50"/>
      <c r="AC508" s="594" t="str">
        <f t="shared" ref="AC508" si="115">IF(VLOOKUP(H508,DS_131,1,0)&lt;&gt;"","","x")</f>
        <v/>
      </c>
      <c r="AD508" s="198"/>
    </row>
    <row r="509" spans="1:30" s="211" customFormat="1" ht="15.75" customHeight="1">
      <c r="A509" s="204" t="str">
        <f>IF(B509&lt;&gt;"",IF(AND(B509&gt;=_TM1,B509&lt;=_TM2,OR(TH!L509="1111",TH!M509="1111")),TH!D509,""),"")</f>
        <v/>
      </c>
      <c r="B509" s="36">
        <f t="shared" si="107"/>
        <v>1</v>
      </c>
      <c r="C509" s="191">
        <f t="shared" si="111"/>
        <v>41288</v>
      </c>
      <c r="D509" s="184" t="s">
        <v>1049</v>
      </c>
      <c r="E509" s="191">
        <v>41288</v>
      </c>
      <c r="F509" s="192" t="s">
        <v>739</v>
      </c>
      <c r="G509" s="487" t="s">
        <v>740</v>
      </c>
      <c r="H509" s="7" t="s">
        <v>741</v>
      </c>
      <c r="I509" s="256">
        <v>820</v>
      </c>
      <c r="J509" s="256">
        <v>8000</v>
      </c>
      <c r="K509" s="38">
        <f>ROUND(I509*J509,0)</f>
        <v>6560000</v>
      </c>
      <c r="L509" s="194" t="s">
        <v>265</v>
      </c>
      <c r="M509" s="194" t="s">
        <v>175</v>
      </c>
      <c r="N509" s="52" t="str">
        <f>IF(AND('331-CT'!$E$7=TH!H509,OR(L509="331",M509="331")),"331",IF(AND(OR(L509="131",M509="131"),H509='131-CT'!$E$7),"131",""))</f>
        <v>131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50"/>
      <c r="AC509" s="594"/>
      <c r="AD509" s="198"/>
    </row>
    <row r="510" spans="1:30" s="211" customFormat="1" ht="15.75" customHeight="1">
      <c r="A510" s="204" t="str">
        <f>IF(B510&lt;&gt;"",IF(AND(B510&gt;=_TM1,B510&lt;=_TM2,OR(TH!L510="1111",TH!M510="1111")),TH!D510,""),"")</f>
        <v/>
      </c>
      <c r="B510" s="36">
        <f t="shared" si="107"/>
        <v>1</v>
      </c>
      <c r="C510" s="191">
        <f t="shared" si="111"/>
        <v>41288</v>
      </c>
      <c r="D510" s="184" t="s">
        <v>1049</v>
      </c>
      <c r="E510" s="184">
        <v>41288</v>
      </c>
      <c r="F510" s="189" t="s">
        <v>724</v>
      </c>
      <c r="G510" s="604" t="s">
        <v>740</v>
      </c>
      <c r="H510" s="7" t="s">
        <v>741</v>
      </c>
      <c r="I510" s="256"/>
      <c r="J510" s="256"/>
      <c r="K510" s="602">
        <v>656000</v>
      </c>
      <c r="L510" s="603" t="s">
        <v>265</v>
      </c>
      <c r="M510" s="194" t="s">
        <v>429</v>
      </c>
      <c r="N510" s="52" t="str">
        <f>IF(AND('331-CT'!$E$7=TH!H510,OR(L510="331",M510="331")),"331",IF(AND(OR(L510="131",M510="131"),H510='131-CT'!$E$7),"131",""))</f>
        <v>131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50"/>
      <c r="AB510" s="594"/>
      <c r="AC510" s="594" t="str">
        <f t="shared" si="105"/>
        <v/>
      </c>
      <c r="AD510" s="198"/>
    </row>
    <row r="511" spans="1:30" s="211" customFormat="1" ht="15.75" customHeight="1">
      <c r="A511" s="204" t="str">
        <f>IF(B511&lt;&gt;"",IF(AND(B511&gt;=_TM1,B511&lt;=_TM2,OR(TH!L511="1111",TH!M511="1111")),TH!D511,""),"")</f>
        <v/>
      </c>
      <c r="B511" s="36">
        <f t="shared" ref="B511" si="116">IF(C511&lt;&gt;"",MONTH(C511),"")</f>
        <v>1</v>
      </c>
      <c r="C511" s="191">
        <f t="shared" ref="C511" si="117">E511</f>
        <v>41288</v>
      </c>
      <c r="D511" s="184" t="s">
        <v>1049</v>
      </c>
      <c r="E511" s="184">
        <v>41288</v>
      </c>
      <c r="F511" s="189" t="s">
        <v>341</v>
      </c>
      <c r="G511" s="604" t="s">
        <v>740</v>
      </c>
      <c r="H511" s="7" t="s">
        <v>741</v>
      </c>
      <c r="I511" s="256"/>
      <c r="J511" s="256"/>
      <c r="K511" s="602">
        <v>7216000</v>
      </c>
      <c r="L511" s="603" t="s">
        <v>47</v>
      </c>
      <c r="M511" s="194" t="s">
        <v>265</v>
      </c>
      <c r="N511" s="52" t="str">
        <f>IF(AND('331-CT'!$E$7=TH!H511,OR(L511="331",M511="331")),"331",IF(AND(OR(L511="131",M511="131"),H511='131-CT'!$E$7),"131",""))</f>
        <v>131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>x</v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50"/>
      <c r="AB511" s="594"/>
      <c r="AC511" s="594" t="str">
        <f t="shared" ref="AC511" si="118">IF(VLOOKUP(H511,DS_131,1,0)&lt;&gt;"","","x")</f>
        <v/>
      </c>
      <c r="AD511" s="198"/>
    </row>
    <row r="512" spans="1:30" s="594" customFormat="1" ht="15.75" customHeight="1">
      <c r="A512" s="204" t="str">
        <f>IF(B512&lt;&gt;"",IF(AND(B512&gt;=_TM1,B512&lt;=_TM2,OR(TH!L512="1111",TH!M512="1111")),TH!D512,""),"")</f>
        <v/>
      </c>
      <c r="B512" s="36">
        <f t="shared" si="107"/>
        <v>1</v>
      </c>
      <c r="C512" s="191">
        <f t="shared" si="111"/>
        <v>41290</v>
      </c>
      <c r="D512" s="184" t="s">
        <v>1050</v>
      </c>
      <c r="E512" s="184">
        <v>41290</v>
      </c>
      <c r="F512" s="189" t="s">
        <v>742</v>
      </c>
      <c r="G512" s="604" t="s">
        <v>743</v>
      </c>
      <c r="H512" s="7" t="s">
        <v>744</v>
      </c>
      <c r="I512" s="256">
        <v>274</v>
      </c>
      <c r="J512" s="256">
        <v>25700</v>
      </c>
      <c r="K512" s="38">
        <f>ROUND(I512*J512,0)</f>
        <v>7041800</v>
      </c>
      <c r="L512" s="603" t="s">
        <v>265</v>
      </c>
      <c r="M512" s="194" t="s">
        <v>175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50"/>
      <c r="AD512" s="198"/>
    </row>
    <row r="513" spans="1:30" s="594" customFormat="1" ht="15.75" customHeight="1">
      <c r="A513" s="204" t="str">
        <f>IF(B513&lt;&gt;"",IF(AND(B513&gt;=_TM1,B513&lt;=_TM2,OR(TH!L513="1111",TH!M513="1111")),TH!D513,""),"")</f>
        <v/>
      </c>
      <c r="B513" s="36">
        <f t="shared" si="107"/>
        <v>1</v>
      </c>
      <c r="C513" s="191">
        <f t="shared" si="111"/>
        <v>41290</v>
      </c>
      <c r="D513" s="184" t="s">
        <v>1050</v>
      </c>
      <c r="E513" s="184">
        <v>41290</v>
      </c>
      <c r="F513" s="189" t="s">
        <v>724</v>
      </c>
      <c r="G513" s="604" t="s">
        <v>743</v>
      </c>
      <c r="H513" s="7" t="s">
        <v>744</v>
      </c>
      <c r="I513" s="256"/>
      <c r="J513" s="256"/>
      <c r="K513" s="602">
        <v>704180</v>
      </c>
      <c r="L513" s="603" t="s">
        <v>265</v>
      </c>
      <c r="M513" s="194" t="s">
        <v>429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50"/>
      <c r="AC513" s="594" t="str">
        <f t="shared" si="105"/>
        <v/>
      </c>
      <c r="AD513" s="198"/>
    </row>
    <row r="514" spans="1:30" s="594" customFormat="1" ht="15.75" customHeight="1">
      <c r="A514" s="204" t="str">
        <f>IF(B514&lt;&gt;"",IF(AND(B514&gt;=_TM1,B514&lt;=_TM2,OR(TH!L514="1111",TH!M514="1111")),TH!D514,""),"")</f>
        <v/>
      </c>
      <c r="B514" s="36">
        <f t="shared" ref="B514" si="119">IF(C514&lt;&gt;"",MONTH(C514),"")</f>
        <v>1</v>
      </c>
      <c r="C514" s="191">
        <f t="shared" ref="C514" si="120">E514</f>
        <v>41290</v>
      </c>
      <c r="D514" s="184" t="s">
        <v>1050</v>
      </c>
      <c r="E514" s="184">
        <v>41290</v>
      </c>
      <c r="F514" s="189" t="s">
        <v>341</v>
      </c>
      <c r="G514" s="604" t="s">
        <v>743</v>
      </c>
      <c r="H514" s="7" t="s">
        <v>744</v>
      </c>
      <c r="I514" s="256"/>
      <c r="J514" s="256"/>
      <c r="K514" s="602">
        <v>7745980</v>
      </c>
      <c r="L514" s="603" t="s">
        <v>47</v>
      </c>
      <c r="M514" s="194" t="s">
        <v>265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>x</v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50"/>
      <c r="AC514" s="594" t="str">
        <f t="shared" ref="AC514" si="121">IF(VLOOKUP(H514,DS_131,1,0)&lt;&gt;"","","x")</f>
        <v/>
      </c>
      <c r="AD514" s="198"/>
    </row>
    <row r="515" spans="1:30" s="594" customFormat="1" ht="15.75" customHeight="1">
      <c r="A515" s="204" t="str">
        <f>IF(B515&lt;&gt;"",IF(AND(B515&gt;=_TM1,B515&lt;=_TM2,OR(TH!L515="1111",TH!M515="1111")),TH!D515,""),"")</f>
        <v/>
      </c>
      <c r="B515" s="36">
        <f t="shared" si="107"/>
        <v>1</v>
      </c>
      <c r="C515" s="191">
        <f t="shared" si="111"/>
        <v>41292</v>
      </c>
      <c r="D515" s="184" t="s">
        <v>1051</v>
      </c>
      <c r="E515" s="184">
        <v>41292</v>
      </c>
      <c r="F515" s="189" t="s">
        <v>745</v>
      </c>
      <c r="G515" s="604" t="s">
        <v>746</v>
      </c>
      <c r="H515" s="7" t="s">
        <v>580</v>
      </c>
      <c r="I515" s="256">
        <v>113</v>
      </c>
      <c r="J515" s="256">
        <v>29950</v>
      </c>
      <c r="K515" s="38">
        <f>ROUND(I515*J515,0)</f>
        <v>3384350</v>
      </c>
      <c r="L515" s="603" t="s">
        <v>265</v>
      </c>
      <c r="M515" s="194" t="s">
        <v>175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50"/>
      <c r="AD515" s="198"/>
    </row>
    <row r="516" spans="1:30" s="594" customFormat="1" ht="15.75" customHeight="1">
      <c r="A516" s="204" t="str">
        <f>IF(B516&lt;&gt;"",IF(AND(B516&gt;=_TM1,B516&lt;=_TM2,OR(TH!L516="1111",TH!M516="1111")),TH!D516,""),"")</f>
        <v/>
      </c>
      <c r="B516" s="36">
        <f t="shared" si="107"/>
        <v>1</v>
      </c>
      <c r="C516" s="191">
        <f t="shared" si="111"/>
        <v>41292</v>
      </c>
      <c r="D516" s="184" t="s">
        <v>1051</v>
      </c>
      <c r="E516" s="191">
        <v>41292</v>
      </c>
      <c r="F516" s="192" t="s">
        <v>724</v>
      </c>
      <c r="G516" s="487" t="s">
        <v>746</v>
      </c>
      <c r="H516" s="7" t="s">
        <v>580</v>
      </c>
      <c r="I516" s="257"/>
      <c r="J516" s="257"/>
      <c r="K516" s="602">
        <v>338435</v>
      </c>
      <c r="L516" s="194" t="s">
        <v>265</v>
      </c>
      <c r="M516" s="194" t="s">
        <v>429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50"/>
      <c r="AB516" s="211"/>
      <c r="AC516" s="594" t="str">
        <f t="shared" si="105"/>
        <v/>
      </c>
      <c r="AD516" s="198"/>
    </row>
    <row r="517" spans="1:30" s="594" customFormat="1" ht="15.75" customHeight="1">
      <c r="A517" s="204" t="str">
        <f>IF(B517&lt;&gt;"",IF(AND(B517&gt;=_TM1,B517&lt;=_TM2,OR(TH!L517="1111",TH!M517="1111")),TH!D517,""),"")</f>
        <v/>
      </c>
      <c r="B517" s="36">
        <f t="shared" ref="B517" si="122">IF(C517&lt;&gt;"",MONTH(C517),"")</f>
        <v>1</v>
      </c>
      <c r="C517" s="191">
        <f t="shared" ref="C517" si="123">E517</f>
        <v>41292</v>
      </c>
      <c r="D517" s="184" t="s">
        <v>1051</v>
      </c>
      <c r="E517" s="191">
        <v>41292</v>
      </c>
      <c r="F517" s="189" t="s">
        <v>341</v>
      </c>
      <c r="G517" s="487" t="s">
        <v>746</v>
      </c>
      <c r="H517" s="7" t="s">
        <v>580</v>
      </c>
      <c r="I517" s="257"/>
      <c r="J517" s="257"/>
      <c r="K517" s="602">
        <v>3722785</v>
      </c>
      <c r="L517" s="194" t="s">
        <v>47</v>
      </c>
      <c r="M517" s="194" t="s">
        <v>265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>x</v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50"/>
      <c r="AB517" s="211"/>
      <c r="AC517" s="594" t="str">
        <f t="shared" ref="AC517" si="124">IF(VLOOKUP(H517,DS_131,1,0)&lt;&gt;"","","x")</f>
        <v/>
      </c>
      <c r="AD517" s="198"/>
    </row>
    <row r="518" spans="1:30" s="594" customFormat="1" ht="15.75" customHeight="1">
      <c r="A518" s="204" t="str">
        <f>IF(B518&lt;&gt;"",IF(AND(B518&gt;=_TM1,B518&lt;=_TM2,OR(TH!L518="1111",TH!M518="1111")),TH!D518,""),"")</f>
        <v/>
      </c>
      <c r="B518" s="36">
        <f t="shared" si="107"/>
        <v>1</v>
      </c>
      <c r="C518" s="191">
        <f t="shared" si="111"/>
        <v>41292</v>
      </c>
      <c r="D518" s="184" t="s">
        <v>1052</v>
      </c>
      <c r="E518" s="191">
        <v>41292</v>
      </c>
      <c r="F518" s="192" t="s">
        <v>747</v>
      </c>
      <c r="G518" s="487" t="s">
        <v>748</v>
      </c>
      <c r="H518" s="7" t="s">
        <v>499</v>
      </c>
      <c r="I518" s="257">
        <v>1319</v>
      </c>
      <c r="J518" s="257">
        <v>5400</v>
      </c>
      <c r="K518" s="38">
        <f t="shared" ref="K518:K519" si="125">ROUND(I518*J518,0)</f>
        <v>7122600</v>
      </c>
      <c r="L518" s="194" t="s">
        <v>265</v>
      </c>
      <c r="M518" s="194" t="s">
        <v>175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50"/>
      <c r="AB518" s="211"/>
      <c r="AD518" s="198"/>
    </row>
    <row r="519" spans="1:30" s="594" customFormat="1" ht="15.75" customHeight="1">
      <c r="A519" s="204" t="str">
        <f>IF(B519&lt;&gt;"",IF(AND(B519&gt;=_TM1,B519&lt;=_TM2,OR(TH!L519="1111",TH!M519="1111")),TH!D519,""),"")</f>
        <v/>
      </c>
      <c r="B519" s="36">
        <f t="shared" si="107"/>
        <v>1</v>
      </c>
      <c r="C519" s="191">
        <f t="shared" si="111"/>
        <v>41292</v>
      </c>
      <c r="D519" s="184" t="s">
        <v>1052</v>
      </c>
      <c r="E519" s="184">
        <v>41292</v>
      </c>
      <c r="F519" s="189" t="s">
        <v>749</v>
      </c>
      <c r="G519" s="604" t="s">
        <v>748</v>
      </c>
      <c r="H519" s="7" t="s">
        <v>499</v>
      </c>
      <c r="I519" s="256">
        <v>306</v>
      </c>
      <c r="J519" s="256">
        <v>6600</v>
      </c>
      <c r="K519" s="38">
        <f t="shared" si="125"/>
        <v>2019600</v>
      </c>
      <c r="L519" s="603" t="s">
        <v>265</v>
      </c>
      <c r="M519" s="194" t="s">
        <v>175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50"/>
      <c r="AD519" s="198"/>
    </row>
    <row r="520" spans="1:30" s="594" customFormat="1" ht="15.75" customHeight="1">
      <c r="A520" s="204" t="str">
        <f>IF(B520&lt;&gt;"",IF(AND(B520&gt;=_TM1,B520&lt;=_TM2,OR(TH!L520="1111",TH!M520="1111")),TH!D520,""),"")</f>
        <v/>
      </c>
      <c r="B520" s="36">
        <f t="shared" si="107"/>
        <v>1</v>
      </c>
      <c r="C520" s="191">
        <f t="shared" si="111"/>
        <v>41292</v>
      </c>
      <c r="D520" s="184" t="s">
        <v>1052</v>
      </c>
      <c r="E520" s="191">
        <v>41292</v>
      </c>
      <c r="F520" s="192" t="s">
        <v>724</v>
      </c>
      <c r="G520" s="487" t="s">
        <v>748</v>
      </c>
      <c r="H520" s="45" t="s">
        <v>499</v>
      </c>
      <c r="I520" s="256"/>
      <c r="J520" s="256"/>
      <c r="K520" s="38">
        <v>914220</v>
      </c>
      <c r="L520" s="194" t="s">
        <v>265</v>
      </c>
      <c r="M520" s="194" t="s">
        <v>429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50"/>
      <c r="AB520" s="211"/>
      <c r="AC520" s="594" t="str">
        <f t="shared" si="105"/>
        <v/>
      </c>
      <c r="AD520" s="198"/>
    </row>
    <row r="521" spans="1:30" s="594" customFormat="1" ht="15.75" customHeight="1">
      <c r="A521" s="204" t="str">
        <f>IF(B521&lt;&gt;"",IF(AND(B521&gt;=_TM1,B521&lt;=_TM2,OR(TH!L521="1111",TH!M521="1111")),TH!D521,""),"")</f>
        <v/>
      </c>
      <c r="B521" s="36">
        <f t="shared" si="107"/>
        <v>1</v>
      </c>
      <c r="C521" s="191">
        <f t="shared" si="111"/>
        <v>41293</v>
      </c>
      <c r="D521" s="184" t="s">
        <v>1053</v>
      </c>
      <c r="E521" s="191">
        <v>41293</v>
      </c>
      <c r="F521" s="192" t="s">
        <v>750</v>
      </c>
      <c r="G521" s="487" t="s">
        <v>751</v>
      </c>
      <c r="H521" s="45" t="s">
        <v>503</v>
      </c>
      <c r="I521" s="256">
        <v>294</v>
      </c>
      <c r="J521" s="256">
        <v>14130</v>
      </c>
      <c r="K521" s="38">
        <f t="shared" ref="K521:K524" si="126">ROUND(I521*J521,0)</f>
        <v>4154220</v>
      </c>
      <c r="L521" s="194" t="s">
        <v>265</v>
      </c>
      <c r="M521" s="194" t="s">
        <v>175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50"/>
      <c r="AB521" s="211"/>
      <c r="AD521" s="198"/>
    </row>
    <row r="522" spans="1:30" s="594" customFormat="1" ht="15.75" customHeight="1">
      <c r="A522" s="204" t="str">
        <f>IF(B522&lt;&gt;"",IF(AND(B522&gt;=_TM1,B522&lt;=_TM2,OR(TH!L522="1111",TH!M522="1111")),TH!D522,""),"")</f>
        <v/>
      </c>
      <c r="B522" s="36">
        <f t="shared" si="107"/>
        <v>1</v>
      </c>
      <c r="C522" s="191">
        <f t="shared" si="111"/>
        <v>41293</v>
      </c>
      <c r="D522" s="184" t="s">
        <v>1053</v>
      </c>
      <c r="E522" s="184">
        <v>41293</v>
      </c>
      <c r="F522" s="189" t="s">
        <v>752</v>
      </c>
      <c r="G522" s="604" t="s">
        <v>751</v>
      </c>
      <c r="H522" s="616" t="s">
        <v>503</v>
      </c>
      <c r="I522" s="256">
        <v>100</v>
      </c>
      <c r="J522" s="256">
        <v>10650</v>
      </c>
      <c r="K522" s="38">
        <f t="shared" si="126"/>
        <v>1065000</v>
      </c>
      <c r="L522" s="603" t="s">
        <v>265</v>
      </c>
      <c r="M522" s="194" t="s">
        <v>175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50"/>
      <c r="AD522" s="198"/>
    </row>
    <row r="523" spans="1:30" s="594" customFormat="1" ht="15.75" customHeight="1">
      <c r="A523" s="204" t="str">
        <f>IF(B523&lt;&gt;"",IF(AND(B523&gt;=_TM1,B523&lt;=_TM2,OR(TH!L523="1111",TH!M523="1111")),TH!D523,""),"")</f>
        <v/>
      </c>
      <c r="B523" s="36">
        <f t="shared" si="107"/>
        <v>1</v>
      </c>
      <c r="C523" s="191">
        <f t="shared" si="111"/>
        <v>41293</v>
      </c>
      <c r="D523" s="184" t="s">
        <v>1053</v>
      </c>
      <c r="E523" s="191">
        <v>41293</v>
      </c>
      <c r="F523" s="192" t="s">
        <v>753</v>
      </c>
      <c r="G523" s="487" t="s">
        <v>751</v>
      </c>
      <c r="H523" s="193" t="s">
        <v>503</v>
      </c>
      <c r="I523" s="256">
        <v>494</v>
      </c>
      <c r="J523" s="256">
        <v>13700</v>
      </c>
      <c r="K523" s="38">
        <f t="shared" si="126"/>
        <v>6767800</v>
      </c>
      <c r="L523" s="194" t="s">
        <v>265</v>
      </c>
      <c r="M523" s="194" t="s">
        <v>175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50"/>
      <c r="AB523" s="211"/>
      <c r="AD523" s="198"/>
    </row>
    <row r="524" spans="1:30" s="594" customFormat="1" ht="15.75" customHeight="1">
      <c r="A524" s="204" t="str">
        <f>IF(B524&lt;&gt;"",IF(AND(B524&gt;=_TM1,B524&lt;=_TM2,OR(TH!L524="1111",TH!M524="1111")),TH!D524,""),"")</f>
        <v/>
      </c>
      <c r="B524" s="36">
        <f t="shared" si="107"/>
        <v>1</v>
      </c>
      <c r="C524" s="191">
        <f t="shared" si="111"/>
        <v>41293</v>
      </c>
      <c r="D524" s="184" t="s">
        <v>1053</v>
      </c>
      <c r="E524" s="191">
        <v>41293</v>
      </c>
      <c r="F524" s="192" t="s">
        <v>754</v>
      </c>
      <c r="G524" s="487" t="s">
        <v>751</v>
      </c>
      <c r="H524" s="193" t="s">
        <v>503</v>
      </c>
      <c r="I524" s="256">
        <v>284</v>
      </c>
      <c r="J524" s="256">
        <v>11900</v>
      </c>
      <c r="K524" s="38">
        <f t="shared" si="126"/>
        <v>3379600</v>
      </c>
      <c r="L524" s="194" t="s">
        <v>265</v>
      </c>
      <c r="M524" s="194" t="s">
        <v>175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50"/>
      <c r="AB524" s="211"/>
      <c r="AD524" s="198"/>
    </row>
    <row r="525" spans="1:30" s="594" customFormat="1" ht="15.75" customHeight="1">
      <c r="A525" s="204" t="str">
        <f>IF(B525&lt;&gt;"",IF(AND(B525&gt;=_TM1,B525&lt;=_TM2,OR(TH!L525="1111",TH!M525="1111")),TH!D525,""),"")</f>
        <v/>
      </c>
      <c r="B525" s="36">
        <f t="shared" si="107"/>
        <v>1</v>
      </c>
      <c r="C525" s="191">
        <f t="shared" si="111"/>
        <v>41293</v>
      </c>
      <c r="D525" s="184" t="s">
        <v>1053</v>
      </c>
      <c r="E525" s="191">
        <v>41293</v>
      </c>
      <c r="F525" s="192" t="s">
        <v>724</v>
      </c>
      <c r="G525" s="487" t="s">
        <v>751</v>
      </c>
      <c r="H525" s="193" t="s">
        <v>503</v>
      </c>
      <c r="I525" s="256"/>
      <c r="J525" s="256"/>
      <c r="K525" s="38">
        <v>1536662</v>
      </c>
      <c r="L525" s="194" t="s">
        <v>265</v>
      </c>
      <c r="M525" s="194" t="s">
        <v>429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50"/>
      <c r="AB525" s="211"/>
      <c r="AC525" s="594" t="str">
        <f t="shared" si="105"/>
        <v/>
      </c>
      <c r="AD525" s="198"/>
    </row>
    <row r="526" spans="1:30" s="594" customFormat="1" ht="15.75" customHeight="1">
      <c r="A526" s="204" t="str">
        <f>IF(B526&lt;&gt;"",IF(AND(B526&gt;=_TM1,B526&lt;=_TM2,OR(TH!L526="1111",TH!M526="1111")),TH!D526,""),"")</f>
        <v/>
      </c>
      <c r="B526" s="36">
        <f t="shared" si="107"/>
        <v>1</v>
      </c>
      <c r="C526" s="191">
        <f t="shared" si="111"/>
        <v>41297</v>
      </c>
      <c r="D526" s="184" t="s">
        <v>1054</v>
      </c>
      <c r="E526" s="191">
        <v>41297</v>
      </c>
      <c r="F526" s="192" t="s">
        <v>755</v>
      </c>
      <c r="G526" s="192" t="s">
        <v>756</v>
      </c>
      <c r="H526" s="193" t="s">
        <v>1110</v>
      </c>
      <c r="I526" s="256">
        <v>707</v>
      </c>
      <c r="J526" s="256">
        <v>7500</v>
      </c>
      <c r="K526" s="38">
        <f>ROUND(I526*J526,0)</f>
        <v>5302500</v>
      </c>
      <c r="L526" s="194" t="s">
        <v>265</v>
      </c>
      <c r="M526" s="194" t="s">
        <v>175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50"/>
      <c r="AB526" s="211"/>
      <c r="AD526" s="198"/>
    </row>
    <row r="527" spans="1:30" s="594" customFormat="1" ht="15.75" customHeight="1">
      <c r="A527" s="204" t="str">
        <f>IF(B527&lt;&gt;"",IF(AND(B527&gt;=_TM1,B527&lt;=_TM2,OR(TH!L527="1111",TH!M527="1111")),TH!D527,""),"")</f>
        <v/>
      </c>
      <c r="B527" s="36">
        <f t="shared" si="107"/>
        <v>1</v>
      </c>
      <c r="C527" s="191">
        <f t="shared" si="111"/>
        <v>41297</v>
      </c>
      <c r="D527" s="184" t="s">
        <v>1054</v>
      </c>
      <c r="E527" s="191">
        <v>41297</v>
      </c>
      <c r="F527" s="192" t="s">
        <v>724</v>
      </c>
      <c r="G527" s="192" t="s">
        <v>756</v>
      </c>
      <c r="H527" s="193" t="s">
        <v>1110</v>
      </c>
      <c r="I527" s="256"/>
      <c r="J527" s="256"/>
      <c r="K527" s="38">
        <v>530250</v>
      </c>
      <c r="L527" s="194" t="s">
        <v>265</v>
      </c>
      <c r="M527" s="194" t="s">
        <v>429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50"/>
      <c r="AB527" s="211"/>
      <c r="AC527" s="594" t="str">
        <f t="shared" si="105"/>
        <v/>
      </c>
      <c r="AD527" s="198"/>
    </row>
    <row r="528" spans="1:30" s="594" customFormat="1" ht="15.75" customHeight="1">
      <c r="A528" s="204" t="str">
        <f>IF(B528&lt;&gt;"",IF(AND(B528&gt;=_TM1,B528&lt;=_TM2,OR(TH!L528="1111",TH!M528="1111")),TH!D528,""),"")</f>
        <v/>
      </c>
      <c r="B528" s="36">
        <f t="shared" ref="B528" si="127">IF(C528&lt;&gt;"",MONTH(C528),"")</f>
        <v>1</v>
      </c>
      <c r="C528" s="191">
        <f t="shared" ref="C528" si="128">E528</f>
        <v>41297</v>
      </c>
      <c r="D528" s="184" t="s">
        <v>1054</v>
      </c>
      <c r="E528" s="191">
        <v>41297</v>
      </c>
      <c r="F528" s="189" t="s">
        <v>341</v>
      </c>
      <c r="G528" s="192" t="s">
        <v>756</v>
      </c>
      <c r="H528" s="193" t="s">
        <v>1110</v>
      </c>
      <c r="I528" s="256"/>
      <c r="J528" s="256"/>
      <c r="K528" s="38">
        <v>5832750</v>
      </c>
      <c r="L528" s="194" t="s">
        <v>47</v>
      </c>
      <c r="M528" s="194" t="s">
        <v>265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>x</v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50"/>
      <c r="AB528" s="211"/>
      <c r="AC528" s="594" t="str">
        <f t="shared" ref="AC528" si="129">IF(VLOOKUP(H528,DS_131,1,0)&lt;&gt;"","","x")</f>
        <v/>
      </c>
      <c r="AD528" s="198"/>
    </row>
    <row r="529" spans="1:30" s="594" customFormat="1" ht="15.75" customHeight="1">
      <c r="A529" s="204" t="str">
        <f>IF(B529&lt;&gt;"",IF(AND(B529&gt;=_TM1,B529&lt;=_TM2,OR(TH!L529="1111",TH!M529="1111")),TH!D529,""),"")</f>
        <v/>
      </c>
      <c r="B529" s="36">
        <f t="shared" si="107"/>
        <v>1</v>
      </c>
      <c r="C529" s="191">
        <f t="shared" si="111"/>
        <v>41303</v>
      </c>
      <c r="D529" s="184" t="s">
        <v>1055</v>
      </c>
      <c r="E529" s="191">
        <v>41303</v>
      </c>
      <c r="F529" s="192" t="s">
        <v>739</v>
      </c>
      <c r="G529" s="192" t="s">
        <v>757</v>
      </c>
      <c r="H529" s="193" t="s">
        <v>741</v>
      </c>
      <c r="I529" s="256">
        <v>593</v>
      </c>
      <c r="J529" s="256">
        <v>8000</v>
      </c>
      <c r="K529" s="38">
        <f t="shared" ref="K529:K530" si="130">ROUND(I529*J529,0)</f>
        <v>4744000</v>
      </c>
      <c r="L529" s="194" t="s">
        <v>265</v>
      </c>
      <c r="M529" s="194" t="s">
        <v>175</v>
      </c>
      <c r="N529" s="52" t="str">
        <f>IF(AND('331-CT'!$E$7=TH!H529,OR(L529="331",M529="331")),"331",IF(AND(OR(L529="131",M529="131"),H529='131-CT'!$E$7),"131",""))</f>
        <v>131</v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50"/>
      <c r="AB529" s="211"/>
      <c r="AD529" s="198"/>
    </row>
    <row r="530" spans="1:30" s="594" customFormat="1" ht="15.75" customHeight="1">
      <c r="A530" s="204" t="str">
        <f>IF(B530&lt;&gt;"",IF(AND(B530&gt;=_TM1,B530&lt;=_TM2,OR(TH!L530="1111",TH!M530="1111")),TH!D530,""),"")</f>
        <v/>
      </c>
      <c r="B530" s="36">
        <f t="shared" si="107"/>
        <v>1</v>
      </c>
      <c r="C530" s="191">
        <f t="shared" si="111"/>
        <v>41303</v>
      </c>
      <c r="D530" s="184" t="s">
        <v>1055</v>
      </c>
      <c r="E530" s="191">
        <v>41303</v>
      </c>
      <c r="F530" s="192" t="s">
        <v>758</v>
      </c>
      <c r="G530" s="192" t="s">
        <v>757</v>
      </c>
      <c r="H530" s="193" t="s">
        <v>741</v>
      </c>
      <c r="I530" s="256">
        <v>398</v>
      </c>
      <c r="J530" s="256">
        <v>8360</v>
      </c>
      <c r="K530" s="38">
        <f t="shared" si="130"/>
        <v>3327280</v>
      </c>
      <c r="L530" s="194" t="s">
        <v>265</v>
      </c>
      <c r="M530" s="194" t="s">
        <v>175</v>
      </c>
      <c r="N530" s="52" t="str">
        <f>IF(AND('331-CT'!$E$7=TH!H530,OR(L530="331",M530="331")),"331",IF(AND(OR(L530="131",M530="131"),H530='131-CT'!$E$7),"131",""))</f>
        <v>131</v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50"/>
      <c r="AB530" s="211"/>
      <c r="AD530" s="198"/>
    </row>
    <row r="531" spans="1:30" s="594" customFormat="1" ht="15.75" customHeight="1">
      <c r="A531" s="204" t="str">
        <f>IF(B531&lt;&gt;"",IF(AND(B531&gt;=_TM1,B531&lt;=_TM2,OR(TH!L531="1111",TH!M531="1111")),TH!D531,""),"")</f>
        <v/>
      </c>
      <c r="B531" s="36">
        <f t="shared" si="107"/>
        <v>1</v>
      </c>
      <c r="C531" s="191">
        <f t="shared" si="111"/>
        <v>41303</v>
      </c>
      <c r="D531" s="184" t="s">
        <v>1055</v>
      </c>
      <c r="E531" s="191">
        <v>41303</v>
      </c>
      <c r="F531" s="192" t="s">
        <v>724</v>
      </c>
      <c r="G531" s="192" t="s">
        <v>757</v>
      </c>
      <c r="H531" s="193" t="s">
        <v>741</v>
      </c>
      <c r="I531" s="256"/>
      <c r="J531" s="256"/>
      <c r="K531" s="38">
        <v>807128</v>
      </c>
      <c r="L531" s="194" t="s">
        <v>265</v>
      </c>
      <c r="M531" s="194" t="s">
        <v>429</v>
      </c>
      <c r="N531" s="52" t="str">
        <f>IF(AND('331-CT'!$E$7=TH!H531,OR(L531="331",M531="331")),"331",IF(AND(OR(L531="131",M531="131"),H531='131-CT'!$E$7),"131",""))</f>
        <v>131</v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50"/>
      <c r="AB531" s="211"/>
      <c r="AC531" s="594" t="str">
        <f t="shared" si="105"/>
        <v/>
      </c>
      <c r="AD531" s="198"/>
    </row>
    <row r="532" spans="1:30" s="594" customFormat="1" ht="15.75" customHeight="1">
      <c r="A532" s="204" t="str">
        <f>IF(B532&lt;&gt;"",IF(AND(B532&gt;=_TM1,B532&lt;=_TM2,OR(TH!L532="1111",TH!M532="1111")),TH!D532,""),"")</f>
        <v/>
      </c>
      <c r="B532" s="36">
        <f t="shared" ref="B532" si="131">IF(C532&lt;&gt;"",MONTH(C532),"")</f>
        <v>1</v>
      </c>
      <c r="C532" s="191">
        <f t="shared" ref="C532" si="132">E532</f>
        <v>41303</v>
      </c>
      <c r="D532" s="184" t="s">
        <v>1055</v>
      </c>
      <c r="E532" s="191">
        <v>41303</v>
      </c>
      <c r="F532" s="189" t="s">
        <v>341</v>
      </c>
      <c r="G532" s="192" t="s">
        <v>757</v>
      </c>
      <c r="H532" s="193" t="s">
        <v>741</v>
      </c>
      <c r="I532" s="256"/>
      <c r="J532" s="256"/>
      <c r="K532" s="38">
        <v>8878408</v>
      </c>
      <c r="L532" s="194" t="s">
        <v>47</v>
      </c>
      <c r="M532" s="194" t="s">
        <v>265</v>
      </c>
      <c r="N532" s="52" t="str">
        <f>IF(AND('331-CT'!$E$7=TH!H532,OR(L532="331",M532="331")),"331",IF(AND(OR(L532="131",M532="131"),H532='131-CT'!$E$7),"131",""))</f>
        <v>131</v>
      </c>
      <c r="O532" s="52" t="str">
        <f>IF(AND($B532&gt;='111'!$N$11,$B532&lt;='111'!$O$11,OR($L532=$O$7,$M532=$O$7)),"x","")</f>
        <v/>
      </c>
      <c r="P532" s="52" t="str">
        <f>IF(AND($L532=$O$7,$B532&lt;'111'!$N$11),"x","")</f>
        <v>x</v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50"/>
      <c r="AB532" s="211"/>
      <c r="AC532" s="594" t="str">
        <f t="shared" ref="AC532" si="133">IF(VLOOKUP(H532,DS_131,1,0)&lt;&gt;"","","x")</f>
        <v/>
      </c>
      <c r="AD532" s="198"/>
    </row>
    <row r="533" spans="1:30" s="594" customFormat="1" ht="15.75" customHeight="1">
      <c r="A533" s="204" t="str">
        <f>IF(B533&lt;&gt;"",IF(AND(B533&gt;=_TM1,B533&lt;=_TM2,OR(TH!L533="1111",TH!M533="1111")),TH!D533,""),"")</f>
        <v/>
      </c>
      <c r="B533" s="36">
        <f t="shared" si="107"/>
        <v>1</v>
      </c>
      <c r="C533" s="191">
        <f t="shared" si="111"/>
        <v>41303</v>
      </c>
      <c r="D533" s="184" t="s">
        <v>1056</v>
      </c>
      <c r="E533" s="191">
        <v>41303</v>
      </c>
      <c r="F533" s="192" t="s">
        <v>750</v>
      </c>
      <c r="G533" s="192" t="s">
        <v>759</v>
      </c>
      <c r="H533" s="193" t="s">
        <v>503</v>
      </c>
      <c r="I533" s="256">
        <v>410</v>
      </c>
      <c r="J533" s="256">
        <v>13698</v>
      </c>
      <c r="K533" s="38">
        <f>ROUND(I533*J533,0)</f>
        <v>5616180</v>
      </c>
      <c r="L533" s="194" t="s">
        <v>265</v>
      </c>
      <c r="M533" s="194" t="s">
        <v>175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50"/>
      <c r="AB533" s="211"/>
      <c r="AD533" s="198"/>
    </row>
    <row r="534" spans="1:30" s="594" customFormat="1" ht="15.75" customHeight="1">
      <c r="A534" s="204" t="str">
        <f>IF(B534&lt;&gt;"",IF(AND(B534&gt;=_TM1,B534&lt;=_TM2,OR(TH!L534="1111",TH!M534="1111")),TH!D534,""),"")</f>
        <v/>
      </c>
      <c r="B534" s="36">
        <f t="shared" si="107"/>
        <v>1</v>
      </c>
      <c r="C534" s="191">
        <f t="shared" si="111"/>
        <v>41303</v>
      </c>
      <c r="D534" s="184" t="s">
        <v>1056</v>
      </c>
      <c r="E534" s="191">
        <v>41303</v>
      </c>
      <c r="F534" s="192" t="s">
        <v>724</v>
      </c>
      <c r="G534" s="192" t="s">
        <v>759</v>
      </c>
      <c r="H534" s="193" t="s">
        <v>503</v>
      </c>
      <c r="I534" s="256"/>
      <c r="J534" s="256"/>
      <c r="K534" s="38">
        <v>561618</v>
      </c>
      <c r="L534" s="194" t="s">
        <v>265</v>
      </c>
      <c r="M534" s="194" t="s">
        <v>429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50"/>
      <c r="AB534" s="211"/>
      <c r="AC534" s="594" t="str">
        <f t="shared" si="105"/>
        <v/>
      </c>
      <c r="AD534" s="198"/>
    </row>
    <row r="535" spans="1:30" s="594" customFormat="1" ht="15.75" customHeight="1">
      <c r="A535" s="204" t="str">
        <f>IF(B535&lt;&gt;"",IF(AND(B535&gt;=_TM1,B535&lt;=_TM2,OR(TH!L535="1111",TH!M535="1111")),TH!D535,""),"")</f>
        <v/>
      </c>
      <c r="B535" s="36">
        <f t="shared" si="107"/>
        <v>1</v>
      </c>
      <c r="C535" s="191">
        <f t="shared" si="111"/>
        <v>41303</v>
      </c>
      <c r="D535" s="184" t="s">
        <v>1057</v>
      </c>
      <c r="E535" s="191">
        <v>41303</v>
      </c>
      <c r="F535" s="192" t="s">
        <v>755</v>
      </c>
      <c r="G535" s="192" t="s">
        <v>760</v>
      </c>
      <c r="H535" s="193" t="s">
        <v>1110</v>
      </c>
      <c r="I535" s="259">
        <v>1106</v>
      </c>
      <c r="J535" s="259">
        <v>7500</v>
      </c>
      <c r="K535" s="38">
        <f>ROUND(I535*J535,0)</f>
        <v>8295000</v>
      </c>
      <c r="L535" s="194" t="s">
        <v>265</v>
      </c>
      <c r="M535" s="194" t="s">
        <v>175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50"/>
      <c r="AB535" s="881"/>
      <c r="AD535" s="198"/>
    </row>
    <row r="536" spans="1:30" s="594" customFormat="1" ht="15.75" customHeight="1">
      <c r="A536" s="204" t="str">
        <f>IF(B536&lt;&gt;"",IF(AND(B536&gt;=_TM1,B536&lt;=_TM2,OR(TH!L536="1111",TH!M536="1111")),TH!D536,""),"")</f>
        <v/>
      </c>
      <c r="B536" s="36">
        <f t="shared" si="107"/>
        <v>1</v>
      </c>
      <c r="C536" s="191">
        <f t="shared" si="111"/>
        <v>41303</v>
      </c>
      <c r="D536" s="184" t="s">
        <v>1057</v>
      </c>
      <c r="E536" s="191">
        <v>41303</v>
      </c>
      <c r="F536" s="192" t="s">
        <v>724</v>
      </c>
      <c r="G536" s="192" t="s">
        <v>760</v>
      </c>
      <c r="H536" s="193" t="s">
        <v>1110</v>
      </c>
      <c r="I536" s="259"/>
      <c r="J536" s="259"/>
      <c r="K536" s="38">
        <v>829500</v>
      </c>
      <c r="L536" s="194" t="s">
        <v>265</v>
      </c>
      <c r="M536" s="194" t="s">
        <v>429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50"/>
      <c r="AB536" s="881"/>
      <c r="AC536" s="594" t="str">
        <f t="shared" si="105"/>
        <v/>
      </c>
      <c r="AD536" s="198"/>
    </row>
    <row r="537" spans="1:30" s="594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" si="134">IF(C537&lt;&gt;"",MONTH(C537),"")</f>
        <v>1</v>
      </c>
      <c r="C537" s="191">
        <f t="shared" ref="C537" si="135">E537</f>
        <v>41303</v>
      </c>
      <c r="D537" s="184" t="s">
        <v>1057</v>
      </c>
      <c r="E537" s="191">
        <v>41303</v>
      </c>
      <c r="F537" s="189" t="s">
        <v>341</v>
      </c>
      <c r="G537" s="192" t="s">
        <v>760</v>
      </c>
      <c r="H537" s="193" t="s">
        <v>1110</v>
      </c>
      <c r="I537" s="259"/>
      <c r="J537" s="259"/>
      <c r="K537" s="38">
        <v>9124500</v>
      </c>
      <c r="L537" s="194" t="s">
        <v>47</v>
      </c>
      <c r="M537" s="194" t="s">
        <v>265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>x</v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50"/>
      <c r="AB537" s="881"/>
      <c r="AC537" s="594" t="str">
        <f t="shared" ref="AC537" si="136">IF(VLOOKUP(H537,DS_131,1,0)&lt;&gt;"","","x")</f>
        <v/>
      </c>
      <c r="AD537" s="198"/>
    </row>
    <row r="538" spans="1:30" s="594" customFormat="1" ht="15.75" customHeight="1">
      <c r="A538" s="204" t="str">
        <f>IF(B538&lt;&gt;"",IF(AND(B538&gt;=_TM1,B538&lt;=_TM2,OR(TH!L538="1111",TH!M538="1111")),TH!D538,""),"")</f>
        <v/>
      </c>
      <c r="B538" s="36">
        <f t="shared" si="107"/>
        <v>1</v>
      </c>
      <c r="C538" s="191">
        <f t="shared" si="111"/>
        <v>41305</v>
      </c>
      <c r="D538" s="184" t="s">
        <v>1058</v>
      </c>
      <c r="E538" s="191">
        <v>41305</v>
      </c>
      <c r="F538" s="192" t="s">
        <v>729</v>
      </c>
      <c r="G538" s="192" t="s">
        <v>761</v>
      </c>
      <c r="H538" s="7" t="s">
        <v>501</v>
      </c>
      <c r="I538" s="256">
        <v>1693</v>
      </c>
      <c r="J538" s="256">
        <v>8740</v>
      </c>
      <c r="K538" s="38">
        <f>ROUND(I538*J538,0)</f>
        <v>14796820</v>
      </c>
      <c r="L538" s="194" t="s">
        <v>265</v>
      </c>
      <c r="M538" s="194" t="s">
        <v>175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50"/>
      <c r="AB538" s="881"/>
      <c r="AD538" s="198"/>
    </row>
    <row r="539" spans="1:30" s="594" customFormat="1" ht="15.75" customHeight="1">
      <c r="A539" s="204" t="str">
        <f>IF(B539&lt;&gt;"",IF(AND(B539&gt;=_TM1,B539&lt;=_TM2,OR(TH!L539="1111",TH!M539="1111")),TH!D539,""),"")</f>
        <v/>
      </c>
      <c r="B539" s="36">
        <f t="shared" si="107"/>
        <v>1</v>
      </c>
      <c r="C539" s="191">
        <f t="shared" si="111"/>
        <v>41305</v>
      </c>
      <c r="D539" s="184" t="s">
        <v>1058</v>
      </c>
      <c r="E539" s="191">
        <v>41305</v>
      </c>
      <c r="F539" s="192" t="s">
        <v>724</v>
      </c>
      <c r="G539" s="192" t="s">
        <v>761</v>
      </c>
      <c r="H539" s="7" t="s">
        <v>501</v>
      </c>
      <c r="I539" s="257"/>
      <c r="J539" s="257"/>
      <c r="K539" s="38">
        <v>1479682</v>
      </c>
      <c r="L539" s="194" t="s">
        <v>265</v>
      </c>
      <c r="M539" s="194" t="s">
        <v>429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50"/>
      <c r="AB539" s="211"/>
      <c r="AC539" s="594" t="str">
        <f t="shared" si="105"/>
        <v/>
      </c>
      <c r="AD539" s="198"/>
    </row>
    <row r="540" spans="1:30" s="594" customFormat="1" ht="15.75" customHeight="1">
      <c r="A540" s="204" t="str">
        <f>IF(B540&lt;&gt;"",IF(AND(B540&gt;=_TM1,B540&lt;=_TM2,OR(TH!L540="1111",TH!M540="1111")),TH!D540,""),"")</f>
        <v/>
      </c>
      <c r="B540" s="36">
        <f t="shared" si="107"/>
        <v>1</v>
      </c>
      <c r="C540" s="191">
        <f t="shared" si="111"/>
        <v>41305</v>
      </c>
      <c r="D540" s="184" t="s">
        <v>1059</v>
      </c>
      <c r="E540" s="191">
        <v>41305</v>
      </c>
      <c r="F540" s="192" t="s">
        <v>762</v>
      </c>
      <c r="G540" s="192" t="s">
        <v>763</v>
      </c>
      <c r="H540" s="7" t="s">
        <v>580</v>
      </c>
      <c r="I540" s="256">
        <v>466</v>
      </c>
      <c r="J540" s="256">
        <v>22000</v>
      </c>
      <c r="K540" s="38">
        <f>ROUND(I540*J540,0)</f>
        <v>10252000</v>
      </c>
      <c r="L540" s="194" t="s">
        <v>265</v>
      </c>
      <c r="M540" s="194" t="s">
        <v>175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50"/>
      <c r="AB540" s="211"/>
      <c r="AD540" s="198"/>
    </row>
    <row r="541" spans="1:30" s="594" customFormat="1" ht="15.75" customHeight="1">
      <c r="A541" s="204" t="str">
        <f>IF(B541&lt;&gt;"",IF(AND(B541&gt;=_TM1,B541&lt;=_TM2,OR(TH!L541="1111",TH!M541="1111")),TH!D541,""),"")</f>
        <v/>
      </c>
      <c r="B541" s="36">
        <f t="shared" si="107"/>
        <v>1</v>
      </c>
      <c r="C541" s="191">
        <f t="shared" si="111"/>
        <v>41305</v>
      </c>
      <c r="D541" s="184" t="s">
        <v>1059</v>
      </c>
      <c r="E541" s="191">
        <v>41305</v>
      </c>
      <c r="F541" s="192" t="s">
        <v>724</v>
      </c>
      <c r="G541" s="192" t="s">
        <v>763</v>
      </c>
      <c r="H541" s="7" t="s">
        <v>580</v>
      </c>
      <c r="I541" s="256"/>
      <c r="J541" s="256"/>
      <c r="K541" s="38">
        <v>1025200</v>
      </c>
      <c r="L541" s="194" t="s">
        <v>265</v>
      </c>
      <c r="M541" s="194" t="s">
        <v>429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50"/>
      <c r="AB541" s="211"/>
      <c r="AC541" s="594" t="str">
        <f t="shared" si="105"/>
        <v/>
      </c>
      <c r="AD541" s="198"/>
    </row>
    <row r="542" spans="1:30" s="594" customFormat="1" ht="15.75" customHeight="1">
      <c r="A542" s="204" t="str">
        <f>IF(B542&lt;&gt;"",IF(AND(B542&gt;=_TM1,B542&lt;=_TM2,OR(TH!L542="1111",TH!M542="1111")),TH!D542,""),"")</f>
        <v/>
      </c>
      <c r="B542" s="36">
        <f t="shared" ref="B542" si="137">IF(C542&lt;&gt;"",MONTH(C542),"")</f>
        <v>1</v>
      </c>
      <c r="C542" s="191">
        <f t="shared" ref="C542" si="138">E542</f>
        <v>41305</v>
      </c>
      <c r="D542" s="184" t="s">
        <v>1059</v>
      </c>
      <c r="E542" s="191">
        <v>41305</v>
      </c>
      <c r="F542" s="189" t="s">
        <v>341</v>
      </c>
      <c r="G542" s="192" t="s">
        <v>763</v>
      </c>
      <c r="H542" s="7" t="s">
        <v>580</v>
      </c>
      <c r="I542" s="256"/>
      <c r="J542" s="256"/>
      <c r="K542" s="38">
        <v>11277200</v>
      </c>
      <c r="L542" s="194" t="s">
        <v>47</v>
      </c>
      <c r="M542" s="194" t="s">
        <v>265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>x</v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50"/>
      <c r="AB542" s="211"/>
      <c r="AC542" s="594" t="str">
        <f t="shared" ref="AC542" si="139">IF(VLOOKUP(H542,DS_131,1,0)&lt;&gt;"","","x")</f>
        <v/>
      </c>
      <c r="AD542" s="198"/>
    </row>
    <row r="543" spans="1:30" s="594" customFormat="1" ht="15.75" customHeight="1">
      <c r="A543" s="204" t="str">
        <f>IF(B543&lt;&gt;"",IF(AND(B543&gt;=_TM1,B543&lt;=_TM2,OR(TH!L543="1111",TH!M543="1111")),TH!D543,""),"")</f>
        <v/>
      </c>
      <c r="B543" s="36">
        <f t="shared" si="107"/>
        <v>2</v>
      </c>
      <c r="C543" s="191">
        <f t="shared" si="111"/>
        <v>41328</v>
      </c>
      <c r="D543" s="184" t="s">
        <v>1060</v>
      </c>
      <c r="E543" s="191">
        <v>41328</v>
      </c>
      <c r="F543" s="192" t="s">
        <v>764</v>
      </c>
      <c r="G543" s="192" t="s">
        <v>765</v>
      </c>
      <c r="H543" s="193" t="s">
        <v>1110</v>
      </c>
      <c r="I543" s="256">
        <v>610</v>
      </c>
      <c r="J543" s="256">
        <v>6990</v>
      </c>
      <c r="K543" s="38">
        <f>ROUND(I543*J543,0)</f>
        <v>4263900</v>
      </c>
      <c r="L543" s="194" t="s">
        <v>265</v>
      </c>
      <c r="M543" s="194" t="s">
        <v>175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50"/>
      <c r="AB543" s="211"/>
      <c r="AD543" s="198"/>
    </row>
    <row r="544" spans="1:30" s="594" customFormat="1" ht="15.75" customHeight="1">
      <c r="A544" s="204" t="str">
        <f>IF(B544&lt;&gt;"",IF(AND(B544&gt;=_TM1,B544&lt;=_TM2,OR(TH!L544="1111",TH!M544="1111")),TH!D544,""),"")</f>
        <v/>
      </c>
      <c r="B544" s="36">
        <f t="shared" si="107"/>
        <v>2</v>
      </c>
      <c r="C544" s="191">
        <f t="shared" si="111"/>
        <v>41328</v>
      </c>
      <c r="D544" s="184" t="s">
        <v>1060</v>
      </c>
      <c r="E544" s="191">
        <v>41328</v>
      </c>
      <c r="F544" s="192" t="s">
        <v>724</v>
      </c>
      <c r="G544" s="192" t="s">
        <v>765</v>
      </c>
      <c r="H544" s="193" t="s">
        <v>1110</v>
      </c>
      <c r="I544" s="256"/>
      <c r="J544" s="256"/>
      <c r="K544" s="38">
        <v>426390</v>
      </c>
      <c r="L544" s="194" t="s">
        <v>265</v>
      </c>
      <c r="M544" s="194" t="s">
        <v>429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50"/>
      <c r="AB544" s="211"/>
      <c r="AC544" s="594" t="str">
        <f t="shared" si="105"/>
        <v/>
      </c>
      <c r="AD544" s="198"/>
    </row>
    <row r="545" spans="1:30" s="594" customFormat="1" ht="15.75" customHeight="1">
      <c r="A545" s="204" t="str">
        <f>IF(B545&lt;&gt;"",IF(AND(B545&gt;=_TM1,B545&lt;=_TM2,OR(TH!L545="1111",TH!M545="1111")),TH!D545,""),"")</f>
        <v/>
      </c>
      <c r="B545" s="36">
        <f t="shared" ref="B545" si="140">IF(C545&lt;&gt;"",MONTH(C545),"")</f>
        <v>2</v>
      </c>
      <c r="C545" s="191">
        <f t="shared" ref="C545" si="141">E545</f>
        <v>41328</v>
      </c>
      <c r="D545" s="184" t="s">
        <v>1060</v>
      </c>
      <c r="E545" s="191">
        <v>41328</v>
      </c>
      <c r="F545" s="189" t="s">
        <v>341</v>
      </c>
      <c r="G545" s="192" t="s">
        <v>765</v>
      </c>
      <c r="H545" s="193" t="s">
        <v>1110</v>
      </c>
      <c r="I545" s="256"/>
      <c r="J545" s="256"/>
      <c r="K545" s="38">
        <v>4690290</v>
      </c>
      <c r="L545" s="194" t="s">
        <v>47</v>
      </c>
      <c r="M545" s="194" t="s">
        <v>265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>x</v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50"/>
      <c r="AB545" s="211"/>
      <c r="AC545" s="594" t="str">
        <f t="shared" ref="AC545" si="142">IF(VLOOKUP(H545,DS_131,1,0)&lt;&gt;"","","x")</f>
        <v/>
      </c>
      <c r="AD545" s="198"/>
    </row>
    <row r="546" spans="1:30" s="594" customFormat="1" ht="15.75" customHeight="1">
      <c r="A546" s="204" t="str">
        <f>IF(B546&lt;&gt;"",IF(AND(B546&gt;=_TM1,B546&lt;=_TM2,OR(TH!L546="1111",TH!M546="1111")),TH!D546,""),"")</f>
        <v/>
      </c>
      <c r="B546" s="36">
        <f t="shared" si="107"/>
        <v>3</v>
      </c>
      <c r="C546" s="191">
        <f t="shared" si="111"/>
        <v>41337</v>
      </c>
      <c r="D546" s="184" t="s">
        <v>1061</v>
      </c>
      <c r="E546" s="191">
        <v>41337</v>
      </c>
      <c r="F546" s="192" t="s">
        <v>766</v>
      </c>
      <c r="G546" s="192" t="s">
        <v>767</v>
      </c>
      <c r="H546" s="210" t="s">
        <v>741</v>
      </c>
      <c r="I546" s="256">
        <v>620</v>
      </c>
      <c r="J546" s="256">
        <v>11000</v>
      </c>
      <c r="K546" s="38">
        <f>ROUND(I546*J546,0)</f>
        <v>6820000</v>
      </c>
      <c r="L546" s="194" t="s">
        <v>265</v>
      </c>
      <c r="M546" s="194" t="s">
        <v>175</v>
      </c>
      <c r="N546" s="52" t="str">
        <f>IF(AND('331-CT'!$E$7=TH!H546,OR(L546="331",M546="331")),"331",IF(AND(OR(L546="131",M546="131"),H546='131-CT'!$E$7),"131",""))</f>
        <v>131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50"/>
      <c r="AB546" s="211"/>
      <c r="AD546" s="198"/>
    </row>
    <row r="547" spans="1:30" s="594" customFormat="1" ht="15.75" customHeight="1">
      <c r="A547" s="204" t="str">
        <f>IF(B547&lt;&gt;"",IF(AND(B547&gt;=_TM1,B547&lt;=_TM2,OR(TH!L547="1111",TH!M547="1111")),TH!D547,""),"")</f>
        <v/>
      </c>
      <c r="B547" s="36">
        <f t="shared" si="107"/>
        <v>3</v>
      </c>
      <c r="C547" s="191">
        <f t="shared" si="111"/>
        <v>41337</v>
      </c>
      <c r="D547" s="184" t="s">
        <v>1061</v>
      </c>
      <c r="E547" s="191">
        <v>41337</v>
      </c>
      <c r="F547" s="192" t="s">
        <v>724</v>
      </c>
      <c r="G547" s="192" t="s">
        <v>767</v>
      </c>
      <c r="H547" s="193" t="s">
        <v>741</v>
      </c>
      <c r="I547" s="256"/>
      <c r="J547" s="256"/>
      <c r="K547" s="38">
        <v>682000</v>
      </c>
      <c r="L547" s="194" t="s">
        <v>265</v>
      </c>
      <c r="M547" s="194" t="s">
        <v>429</v>
      </c>
      <c r="N547" s="52" t="str">
        <f>IF(AND('331-CT'!$E$7=TH!H547,OR(L547="331",M547="331")),"331",IF(AND(OR(L547="131",M547="131"),H547='131-CT'!$E$7),"131",""))</f>
        <v>131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50"/>
      <c r="AB547" s="211"/>
      <c r="AC547" s="594" t="str">
        <f t="shared" si="105"/>
        <v/>
      </c>
      <c r="AD547" s="198"/>
    </row>
    <row r="548" spans="1:30" s="594" customFormat="1" ht="15.75" customHeight="1">
      <c r="A548" s="204" t="str">
        <f>IF(B548&lt;&gt;"",IF(AND(B548&gt;=_TM1,B548&lt;=_TM2,OR(TH!L548="1111",TH!M548="1111")),TH!D548,""),"")</f>
        <v/>
      </c>
      <c r="B548" s="36">
        <f t="shared" ref="B548" si="143">IF(C548&lt;&gt;"",MONTH(C548),"")</f>
        <v>3</v>
      </c>
      <c r="C548" s="191">
        <f t="shared" ref="C548" si="144">E548</f>
        <v>41337</v>
      </c>
      <c r="D548" s="184" t="s">
        <v>1061</v>
      </c>
      <c r="E548" s="191">
        <v>41337</v>
      </c>
      <c r="F548" s="189" t="s">
        <v>341</v>
      </c>
      <c r="G548" s="192" t="s">
        <v>767</v>
      </c>
      <c r="H548" s="193" t="s">
        <v>741</v>
      </c>
      <c r="I548" s="256"/>
      <c r="J548" s="256"/>
      <c r="K548" s="38">
        <v>7502000</v>
      </c>
      <c r="L548" s="194" t="s">
        <v>47</v>
      </c>
      <c r="M548" s="194" t="s">
        <v>265</v>
      </c>
      <c r="N548" s="52" t="str">
        <f>IF(AND('331-CT'!$E$7=TH!H548,OR(L548="331",M548="331")),"331",IF(AND(OR(L548="131",M548="131"),H548='131-CT'!$E$7),"131",""))</f>
        <v>131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>x</v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50"/>
      <c r="AB548" s="211"/>
      <c r="AC548" s="594" t="str">
        <f t="shared" ref="AC548" si="145">IF(VLOOKUP(H548,DS_131,1,0)&lt;&gt;"","","x")</f>
        <v/>
      </c>
      <c r="AD548" s="198"/>
    </row>
    <row r="549" spans="1:30" s="594" customFormat="1" ht="15.75" customHeight="1">
      <c r="A549" s="204" t="str">
        <f>IF(B549&lt;&gt;"",IF(AND(B549&gt;=_TM1,B549&lt;=_TM2,OR(TH!L549="1111",TH!M549="1111")),TH!D549,""),"")</f>
        <v/>
      </c>
      <c r="B549" s="36">
        <f t="shared" si="107"/>
        <v>3</v>
      </c>
      <c r="C549" s="191">
        <f t="shared" si="111"/>
        <v>41337</v>
      </c>
      <c r="D549" s="184" t="s">
        <v>1062</v>
      </c>
      <c r="E549" s="191">
        <v>41337</v>
      </c>
      <c r="F549" s="192" t="s">
        <v>747</v>
      </c>
      <c r="G549" s="192" t="s">
        <v>768</v>
      </c>
      <c r="H549" s="210" t="s">
        <v>499</v>
      </c>
      <c r="I549" s="257">
        <v>1963</v>
      </c>
      <c r="J549" s="257">
        <v>5400</v>
      </c>
      <c r="K549" s="38">
        <f t="shared" ref="K549:K551" si="146">ROUND(I549*J549,0)</f>
        <v>10600200</v>
      </c>
      <c r="L549" s="194" t="s">
        <v>265</v>
      </c>
      <c r="M549" s="194" t="s">
        <v>175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50"/>
      <c r="AB549" s="211"/>
      <c r="AD549" s="198"/>
    </row>
    <row r="550" spans="1:30" s="594" customFormat="1" ht="15.75" customHeight="1">
      <c r="A550" s="204" t="str">
        <f>IF(B550&lt;&gt;"",IF(AND(B550&gt;=_TM1,B550&lt;=_TM2,OR(TH!L550="1111",TH!M550="1111")),TH!D550,""),"")</f>
        <v/>
      </c>
      <c r="B550" s="36">
        <f t="shared" si="107"/>
        <v>3</v>
      </c>
      <c r="C550" s="191">
        <f t="shared" si="111"/>
        <v>41337</v>
      </c>
      <c r="D550" s="184" t="s">
        <v>1062</v>
      </c>
      <c r="E550" s="191">
        <v>41337</v>
      </c>
      <c r="F550" s="192" t="s">
        <v>723</v>
      </c>
      <c r="G550" s="192" t="s">
        <v>768</v>
      </c>
      <c r="H550" s="193" t="s">
        <v>499</v>
      </c>
      <c r="I550" s="256">
        <v>559</v>
      </c>
      <c r="J550" s="256">
        <v>4800</v>
      </c>
      <c r="K550" s="38">
        <f t="shared" si="146"/>
        <v>2683200</v>
      </c>
      <c r="L550" s="194" t="s">
        <v>265</v>
      </c>
      <c r="M550" s="194" t="s">
        <v>175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50"/>
      <c r="AB550" s="211"/>
      <c r="AD550" s="198"/>
    </row>
    <row r="551" spans="1:30" s="594" customFormat="1" ht="15.75" customHeight="1">
      <c r="A551" s="204" t="str">
        <f>IF(B551&lt;&gt;"",IF(AND(B551&gt;=_TM1,B551&lt;=_TM2,OR(TH!L551="1111",TH!M551="1111")),TH!D551,""),"")</f>
        <v/>
      </c>
      <c r="B551" s="36">
        <f t="shared" si="107"/>
        <v>3</v>
      </c>
      <c r="C551" s="191">
        <f t="shared" si="111"/>
        <v>41337</v>
      </c>
      <c r="D551" s="184" t="s">
        <v>1062</v>
      </c>
      <c r="E551" s="191">
        <v>41337</v>
      </c>
      <c r="F551" s="192" t="s">
        <v>769</v>
      </c>
      <c r="G551" s="192" t="s">
        <v>768</v>
      </c>
      <c r="H551" s="193" t="s">
        <v>499</v>
      </c>
      <c r="I551" s="256">
        <v>617</v>
      </c>
      <c r="J551" s="256">
        <v>10300</v>
      </c>
      <c r="K551" s="38">
        <f t="shared" si="146"/>
        <v>6355100</v>
      </c>
      <c r="L551" s="194" t="s">
        <v>265</v>
      </c>
      <c r="M551" s="194" t="s">
        <v>175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50"/>
      <c r="AB551" s="211"/>
      <c r="AD551" s="198"/>
    </row>
    <row r="552" spans="1:30" s="594" customFormat="1" ht="15.75" customHeight="1">
      <c r="A552" s="204" t="str">
        <f>IF(B552&lt;&gt;"",IF(AND(B552&gt;=_TM1,B552&lt;=_TM2,OR(TH!L552="1111",TH!M552="1111")),TH!D552,""),"")</f>
        <v/>
      </c>
      <c r="B552" s="36">
        <f t="shared" si="107"/>
        <v>3</v>
      </c>
      <c r="C552" s="191">
        <f t="shared" si="111"/>
        <v>41337</v>
      </c>
      <c r="D552" s="184" t="s">
        <v>1062</v>
      </c>
      <c r="E552" s="191">
        <v>41337</v>
      </c>
      <c r="F552" s="192" t="s">
        <v>724</v>
      </c>
      <c r="G552" s="192" t="s">
        <v>768</v>
      </c>
      <c r="H552" s="193" t="s">
        <v>499</v>
      </c>
      <c r="I552" s="256"/>
      <c r="J552" s="256"/>
      <c r="K552" s="38">
        <v>1963850</v>
      </c>
      <c r="L552" s="194" t="s">
        <v>265</v>
      </c>
      <c r="M552" s="194" t="s">
        <v>429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50"/>
      <c r="AB552" s="211"/>
      <c r="AC552" s="594" t="str">
        <f t="shared" si="105"/>
        <v/>
      </c>
      <c r="AD552" s="198"/>
    </row>
    <row r="553" spans="1:30" s="211" customFormat="1" ht="15.75" customHeight="1">
      <c r="A553" s="204" t="str">
        <f>IF(B553&lt;&gt;"",IF(AND(B553&gt;=_TM1,B553&lt;=_TM2,OR(TH!L553="1111",TH!M553="1111")),TH!D553,""),"")</f>
        <v/>
      </c>
      <c r="B553" s="36">
        <f t="shared" si="107"/>
        <v>3</v>
      </c>
      <c r="C553" s="191">
        <f t="shared" si="111"/>
        <v>41345</v>
      </c>
      <c r="D553" s="184" t="s">
        <v>1063</v>
      </c>
      <c r="E553" s="191">
        <v>41345</v>
      </c>
      <c r="F553" s="192" t="s">
        <v>1125</v>
      </c>
      <c r="G553" s="192" t="s">
        <v>770</v>
      </c>
      <c r="H553" s="193" t="s">
        <v>771</v>
      </c>
      <c r="I553" s="256">
        <v>310</v>
      </c>
      <c r="J553" s="256">
        <v>12300</v>
      </c>
      <c r="K553" s="38">
        <f>ROUND(I553*J553,0)</f>
        <v>3813000</v>
      </c>
      <c r="L553" s="194" t="s">
        <v>265</v>
      </c>
      <c r="M553" s="194" t="s">
        <v>175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50"/>
      <c r="AC553" s="594"/>
      <c r="AD553" s="198"/>
    </row>
    <row r="554" spans="1:30" s="211" customFormat="1" ht="15.75" customHeight="1">
      <c r="A554" s="204" t="str">
        <f>IF(B554&lt;&gt;"",IF(AND(B554&gt;=_TM1,B554&lt;=_TM2,OR(TH!L554="1111",TH!M554="1111")),TH!D554,""),"")</f>
        <v/>
      </c>
      <c r="B554" s="36">
        <f t="shared" si="107"/>
        <v>3</v>
      </c>
      <c r="C554" s="191">
        <f t="shared" si="111"/>
        <v>41345</v>
      </c>
      <c r="D554" s="184" t="s">
        <v>1063</v>
      </c>
      <c r="E554" s="191">
        <v>41345</v>
      </c>
      <c r="F554" s="192" t="s">
        <v>724</v>
      </c>
      <c r="G554" s="192" t="s">
        <v>770</v>
      </c>
      <c r="H554" s="193" t="s">
        <v>771</v>
      </c>
      <c r="I554" s="256"/>
      <c r="J554" s="256"/>
      <c r="K554" s="38">
        <v>381300</v>
      </c>
      <c r="L554" s="194" t="s">
        <v>265</v>
      </c>
      <c r="M554" s="194" t="s">
        <v>429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50"/>
      <c r="AC554" s="594" t="str">
        <f t="shared" si="105"/>
        <v/>
      </c>
      <c r="AD554" s="198"/>
    </row>
    <row r="555" spans="1:30" s="211" customFormat="1" ht="15.75" customHeight="1">
      <c r="A555" s="204" t="str">
        <f>IF(B555&lt;&gt;"",IF(AND(B555&gt;=_TM1,B555&lt;=_TM2,OR(TH!L555="1111",TH!M555="1111")),TH!D555,""),"")</f>
        <v/>
      </c>
      <c r="B555" s="36">
        <f t="shared" ref="B555" si="147">IF(C555&lt;&gt;"",MONTH(C555),"")</f>
        <v>3</v>
      </c>
      <c r="C555" s="191">
        <f t="shared" ref="C555" si="148">E555</f>
        <v>41345</v>
      </c>
      <c r="D555" s="184" t="s">
        <v>1063</v>
      </c>
      <c r="E555" s="191">
        <v>41345</v>
      </c>
      <c r="F555" s="189" t="s">
        <v>341</v>
      </c>
      <c r="G555" s="192" t="s">
        <v>770</v>
      </c>
      <c r="H555" s="193" t="s">
        <v>771</v>
      </c>
      <c r="I555" s="256"/>
      <c r="J555" s="256"/>
      <c r="K555" s="38">
        <v>4194300</v>
      </c>
      <c r="L555" s="194" t="s">
        <v>47</v>
      </c>
      <c r="M555" s="194" t="s">
        <v>265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>x</v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50"/>
      <c r="AC555" s="594" t="str">
        <f t="shared" ref="AC555" si="149">IF(VLOOKUP(H555,DS_131,1,0)&lt;&gt;"","","x")</f>
        <v/>
      </c>
      <c r="AD555" s="198"/>
    </row>
    <row r="556" spans="1:30" s="594" customFormat="1" ht="15.75" customHeight="1">
      <c r="A556" s="204" t="str">
        <f>IF(B556&lt;&gt;"",IF(AND(B556&gt;=_TM1,B556&lt;=_TM2,OR(TH!L556="1111",TH!M556="1111")),TH!D556,""),"")</f>
        <v/>
      </c>
      <c r="B556" s="36">
        <f t="shared" si="107"/>
        <v>3</v>
      </c>
      <c r="C556" s="191">
        <f t="shared" si="111"/>
        <v>41345</v>
      </c>
      <c r="D556" s="184" t="s">
        <v>1064</v>
      </c>
      <c r="E556" s="191">
        <v>41345</v>
      </c>
      <c r="F556" s="192" t="s">
        <v>739</v>
      </c>
      <c r="G556" s="192" t="s">
        <v>772</v>
      </c>
      <c r="H556" s="193" t="s">
        <v>741</v>
      </c>
      <c r="I556" s="256">
        <v>500</v>
      </c>
      <c r="J556" s="256">
        <v>8000</v>
      </c>
      <c r="K556" s="38">
        <f t="shared" ref="K556:K557" si="150">ROUND(I556*J556,0)</f>
        <v>4000000</v>
      </c>
      <c r="L556" s="194" t="s">
        <v>265</v>
      </c>
      <c r="M556" s="194" t="s">
        <v>175</v>
      </c>
      <c r="N556" s="52" t="str">
        <f>IF(AND('331-CT'!$E$7=TH!H556,OR(L556="331",M556="331")),"331",IF(AND(OR(L556="131",M556="131"),H556='131-CT'!$E$7),"131",""))</f>
        <v>131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50"/>
      <c r="AB556" s="211"/>
      <c r="AD556" s="198"/>
    </row>
    <row r="557" spans="1:30" s="594" customFormat="1" ht="15.75" customHeight="1">
      <c r="A557" s="204" t="str">
        <f>IF(B557&lt;&gt;"",IF(AND(B557&gt;=_TM1,B557&lt;=_TM2,OR(TH!L557="1111",TH!M557="1111")),TH!D557,""),"")</f>
        <v/>
      </c>
      <c r="B557" s="36">
        <f t="shared" si="107"/>
        <v>3</v>
      </c>
      <c r="C557" s="191">
        <f t="shared" si="111"/>
        <v>41345</v>
      </c>
      <c r="D557" s="184" t="s">
        <v>1064</v>
      </c>
      <c r="E557" s="191">
        <v>41345</v>
      </c>
      <c r="F557" s="192" t="s">
        <v>758</v>
      </c>
      <c r="G557" s="192" t="s">
        <v>772</v>
      </c>
      <c r="H557" s="7" t="s">
        <v>741</v>
      </c>
      <c r="I557" s="256">
        <v>300</v>
      </c>
      <c r="J557" s="256">
        <v>9450</v>
      </c>
      <c r="K557" s="38">
        <f t="shared" si="150"/>
        <v>2835000</v>
      </c>
      <c r="L557" s="194" t="s">
        <v>265</v>
      </c>
      <c r="M557" s="194" t="s">
        <v>175</v>
      </c>
      <c r="N557" s="52" t="str">
        <f>IF(AND('331-CT'!$E$7=TH!H557,OR(L557="331",M557="331")),"331",IF(AND(OR(L557="131",M557="131"),H557='131-CT'!$E$7),"131",""))</f>
        <v>131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50"/>
      <c r="AB557" s="211"/>
      <c r="AD557" s="198"/>
    </row>
    <row r="558" spans="1:30" s="594" customFormat="1" ht="15.75" customHeight="1">
      <c r="A558" s="204" t="str">
        <f>IF(B558&lt;&gt;"",IF(AND(B558&gt;=_TM1,B558&lt;=_TM2,OR(TH!L558="1111",TH!M558="1111")),TH!D558,""),"")</f>
        <v/>
      </c>
      <c r="B558" s="36">
        <f t="shared" si="107"/>
        <v>3</v>
      </c>
      <c r="C558" s="191">
        <f t="shared" si="111"/>
        <v>41345</v>
      </c>
      <c r="D558" s="184" t="s">
        <v>1064</v>
      </c>
      <c r="E558" s="191">
        <v>41345</v>
      </c>
      <c r="F558" s="192" t="s">
        <v>724</v>
      </c>
      <c r="G558" s="192" t="s">
        <v>772</v>
      </c>
      <c r="H558" s="7" t="s">
        <v>741</v>
      </c>
      <c r="I558" s="256"/>
      <c r="J558" s="256"/>
      <c r="K558" s="38">
        <v>683500</v>
      </c>
      <c r="L558" s="194" t="s">
        <v>265</v>
      </c>
      <c r="M558" s="194" t="s">
        <v>429</v>
      </c>
      <c r="N558" s="52" t="str">
        <f>IF(AND('331-CT'!$E$7=TH!H558,OR(L558="331",M558="331")),"331",IF(AND(OR(L558="131",M558="131"),H558='131-CT'!$E$7),"131",""))</f>
        <v>131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50"/>
      <c r="AB558" s="211"/>
      <c r="AC558" s="594" t="str">
        <f t="shared" si="105"/>
        <v/>
      </c>
      <c r="AD558" s="198"/>
    </row>
    <row r="559" spans="1:30" s="594" customFormat="1" ht="15.75" customHeight="1">
      <c r="A559" s="204" t="str">
        <f>IF(B559&lt;&gt;"",IF(AND(B559&gt;=_TM1,B559&lt;=_TM2,OR(TH!L559="1111",TH!M559="1111")),TH!D559,""),"")</f>
        <v/>
      </c>
      <c r="B559" s="36">
        <f t="shared" ref="B559" si="151">IF(C559&lt;&gt;"",MONTH(C559),"")</f>
        <v>3</v>
      </c>
      <c r="C559" s="191">
        <f t="shared" ref="C559" si="152">E559</f>
        <v>41345</v>
      </c>
      <c r="D559" s="184" t="s">
        <v>1064</v>
      </c>
      <c r="E559" s="191">
        <v>41345</v>
      </c>
      <c r="F559" s="189" t="s">
        <v>341</v>
      </c>
      <c r="G559" s="192" t="s">
        <v>772</v>
      </c>
      <c r="H559" s="7" t="s">
        <v>741</v>
      </c>
      <c r="I559" s="256"/>
      <c r="J559" s="256"/>
      <c r="K559" s="38">
        <v>7518500</v>
      </c>
      <c r="L559" s="194" t="s">
        <v>47</v>
      </c>
      <c r="M559" s="194" t="s">
        <v>265</v>
      </c>
      <c r="N559" s="52" t="str">
        <f>IF(AND('331-CT'!$E$7=TH!H559,OR(L559="331",M559="331")),"331",IF(AND(OR(L559="131",M559="131"),H559='131-CT'!$E$7),"131",""))</f>
        <v>131</v>
      </c>
      <c r="O559" s="52" t="str">
        <f>IF(AND($B559&gt;='111'!$N$11,$B559&lt;='111'!$O$11,OR($L559=$O$7,$M559=$O$7)),"x","")</f>
        <v/>
      </c>
      <c r="P559" s="52" t="str">
        <f>IF(AND($L559=$O$7,$B559&lt;'111'!$N$11),"x","")</f>
        <v>x</v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50"/>
      <c r="AB559" s="211"/>
      <c r="AC559" s="594" t="str">
        <f t="shared" ref="AC559" si="153">IF(VLOOKUP(H559,DS_131,1,0)&lt;&gt;"","","x")</f>
        <v/>
      </c>
      <c r="AD559" s="198"/>
    </row>
    <row r="560" spans="1:30" s="594" customFormat="1" ht="15.75" customHeight="1">
      <c r="A560" s="204" t="str">
        <f>IF(B560&lt;&gt;"",IF(AND(B560&gt;=_TM1,B560&lt;=_TM2,OR(TH!L560="1111",TH!M560="1111")),TH!D560,""),"")</f>
        <v/>
      </c>
      <c r="B560" s="36">
        <f t="shared" si="107"/>
        <v>3</v>
      </c>
      <c r="C560" s="191">
        <f t="shared" si="111"/>
        <v>41346</v>
      </c>
      <c r="D560" s="184" t="s">
        <v>1065</v>
      </c>
      <c r="E560" s="191">
        <v>41346</v>
      </c>
      <c r="F560" s="192" t="s">
        <v>773</v>
      </c>
      <c r="G560" s="192" t="s">
        <v>494</v>
      </c>
      <c r="H560" s="7" t="s">
        <v>580</v>
      </c>
      <c r="I560" s="256">
        <v>512</v>
      </c>
      <c r="J560" s="256">
        <v>22950</v>
      </c>
      <c r="K560" s="38">
        <f>ROUND(I560*J560,0)</f>
        <v>11750400</v>
      </c>
      <c r="L560" s="194" t="s">
        <v>265</v>
      </c>
      <c r="M560" s="194" t="s">
        <v>175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50"/>
      <c r="AB560" s="211"/>
      <c r="AD560" s="198"/>
    </row>
    <row r="561" spans="1:30" s="594" customFormat="1" ht="15.75" customHeight="1">
      <c r="A561" s="204" t="str">
        <f>IF(B561&lt;&gt;"",IF(AND(B561&gt;=_TM1,B561&lt;=_TM2,OR(TH!L561="1111",TH!M561="1111")),TH!D561,""),"")</f>
        <v/>
      </c>
      <c r="B561" s="36">
        <f t="shared" si="107"/>
        <v>3</v>
      </c>
      <c r="C561" s="191">
        <f t="shared" si="111"/>
        <v>41346</v>
      </c>
      <c r="D561" s="184" t="s">
        <v>1065</v>
      </c>
      <c r="E561" s="191">
        <v>41346</v>
      </c>
      <c r="F561" s="192" t="s">
        <v>724</v>
      </c>
      <c r="G561" s="487" t="s">
        <v>494</v>
      </c>
      <c r="H561" s="7" t="s">
        <v>580</v>
      </c>
      <c r="I561" s="256"/>
      <c r="J561" s="256"/>
      <c r="K561" s="38">
        <v>1175040</v>
      </c>
      <c r="L561" s="194" t="s">
        <v>265</v>
      </c>
      <c r="M561" s="194" t="s">
        <v>429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50"/>
      <c r="AB561" s="211"/>
      <c r="AC561" s="594" t="str">
        <f t="shared" si="105"/>
        <v/>
      </c>
      <c r="AD561" s="198"/>
    </row>
    <row r="562" spans="1:30" s="594" customFormat="1" ht="15.75" customHeight="1">
      <c r="A562" s="204" t="str">
        <f>IF(B562&lt;&gt;"",IF(AND(B562&gt;=_TM1,B562&lt;=_TM2,OR(TH!L562="1111",TH!M562="1111")),TH!D562,""),"")</f>
        <v/>
      </c>
      <c r="B562" s="36">
        <f t="shared" ref="B562" si="154">IF(C562&lt;&gt;"",MONTH(C562),"")</f>
        <v>3</v>
      </c>
      <c r="C562" s="191">
        <f t="shared" ref="C562" si="155">E562</f>
        <v>41346</v>
      </c>
      <c r="D562" s="184" t="s">
        <v>1065</v>
      </c>
      <c r="E562" s="191">
        <v>41346</v>
      </c>
      <c r="F562" s="189" t="s">
        <v>341</v>
      </c>
      <c r="G562" s="487" t="s">
        <v>494</v>
      </c>
      <c r="H562" s="7" t="s">
        <v>580</v>
      </c>
      <c r="I562" s="256"/>
      <c r="J562" s="256"/>
      <c r="K562" s="38">
        <v>12925440</v>
      </c>
      <c r="L562" s="194" t="s">
        <v>47</v>
      </c>
      <c r="M562" s="194" t="s">
        <v>265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>x</v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50"/>
      <c r="AB562" s="211"/>
      <c r="AC562" s="594" t="str">
        <f t="shared" ref="AC562" si="156">IF(VLOOKUP(H562,DS_131,1,0)&lt;&gt;"","","x")</f>
        <v/>
      </c>
      <c r="AD562" s="198"/>
    </row>
    <row r="563" spans="1:30" s="211" customFormat="1" ht="15.75" customHeight="1">
      <c r="A563" s="204" t="str">
        <f>IF(B563&lt;&gt;"",IF(AND(B563&gt;=_TM1,B563&lt;=_TM2,OR(TH!L563="1111",TH!M563="1111")),TH!D563,""),"")</f>
        <v/>
      </c>
      <c r="B563" s="36">
        <f t="shared" si="107"/>
        <v>3</v>
      </c>
      <c r="C563" s="191">
        <f t="shared" si="111"/>
        <v>41346</v>
      </c>
      <c r="D563" s="184" t="s">
        <v>1066</v>
      </c>
      <c r="E563" s="191">
        <v>41346</v>
      </c>
      <c r="F563" s="192" t="s">
        <v>1126</v>
      </c>
      <c r="G563" s="487" t="s">
        <v>774</v>
      </c>
      <c r="H563" s="193" t="s">
        <v>775</v>
      </c>
      <c r="I563" s="256">
        <v>500</v>
      </c>
      <c r="J563" s="256">
        <v>12000</v>
      </c>
      <c r="K563" s="38">
        <f>ROUND(I563*J563,0)</f>
        <v>6000000</v>
      </c>
      <c r="L563" s="194" t="s">
        <v>265</v>
      </c>
      <c r="M563" s="194" t="s">
        <v>175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50"/>
      <c r="AC563" s="594"/>
      <c r="AD563" s="198"/>
    </row>
    <row r="564" spans="1:30" s="211" customFormat="1" ht="15.75" customHeight="1">
      <c r="A564" s="204" t="str">
        <f>IF(B564&lt;&gt;"",IF(AND(B564&gt;=_TM1,B564&lt;=_TM2,OR(TH!L564="1111",TH!M564="1111")),TH!D564,""),"")</f>
        <v/>
      </c>
      <c r="B564" s="36">
        <f t="shared" si="107"/>
        <v>3</v>
      </c>
      <c r="C564" s="191">
        <f t="shared" si="111"/>
        <v>41346</v>
      </c>
      <c r="D564" s="184" t="s">
        <v>1066</v>
      </c>
      <c r="E564" s="191">
        <v>41346</v>
      </c>
      <c r="F564" s="192" t="s">
        <v>724</v>
      </c>
      <c r="G564" s="192" t="s">
        <v>774</v>
      </c>
      <c r="H564" s="192" t="s">
        <v>775</v>
      </c>
      <c r="I564" s="256"/>
      <c r="J564" s="256"/>
      <c r="K564" s="38">
        <v>600000</v>
      </c>
      <c r="L564" s="194" t="s">
        <v>265</v>
      </c>
      <c r="M564" s="194" t="s">
        <v>429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50"/>
      <c r="AC564" s="594" t="str">
        <f t="shared" si="105"/>
        <v/>
      </c>
      <c r="AD564" s="198"/>
    </row>
    <row r="565" spans="1:30" s="211" customFormat="1" ht="15.75" customHeight="1">
      <c r="A565" s="204" t="str">
        <f>IF(B565&lt;&gt;"",IF(AND(B565&gt;=_TM1,B565&lt;=_TM2,OR(TH!L565="1111",TH!M565="1111")),TH!D565,""),"")</f>
        <v/>
      </c>
      <c r="B565" s="36">
        <f t="shared" ref="B565" si="157">IF(C565&lt;&gt;"",MONTH(C565),"")</f>
        <v>3</v>
      </c>
      <c r="C565" s="191">
        <f t="shared" ref="C565" si="158">E565</f>
        <v>41346</v>
      </c>
      <c r="D565" s="184" t="s">
        <v>1066</v>
      </c>
      <c r="E565" s="191">
        <v>41346</v>
      </c>
      <c r="F565" s="189" t="s">
        <v>341</v>
      </c>
      <c r="G565" s="192" t="s">
        <v>774</v>
      </c>
      <c r="H565" s="192" t="s">
        <v>775</v>
      </c>
      <c r="I565" s="256"/>
      <c r="J565" s="256"/>
      <c r="K565" s="38">
        <v>6600000</v>
      </c>
      <c r="L565" s="194" t="s">
        <v>47</v>
      </c>
      <c r="M565" s="194" t="s">
        <v>265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>x</v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50"/>
      <c r="AC565" s="594" t="str">
        <f t="shared" ref="AC565" si="159">IF(VLOOKUP(H565,DS_131,1,0)&lt;&gt;"","","x")</f>
        <v/>
      </c>
      <c r="AD565" s="198"/>
    </row>
    <row r="566" spans="1:30" s="211" customFormat="1" ht="15.75" customHeight="1">
      <c r="A566" s="204" t="str">
        <f>IF(B566&lt;&gt;"",IF(AND(B566&gt;=_TM1,B566&lt;=_TM2,OR(TH!L566="1111",TH!M566="1111")),TH!D566,""),"")</f>
        <v/>
      </c>
      <c r="B566" s="36">
        <f t="shared" si="107"/>
        <v>3</v>
      </c>
      <c r="C566" s="191">
        <f t="shared" si="111"/>
        <v>41351</v>
      </c>
      <c r="D566" s="184" t="s">
        <v>1067</v>
      </c>
      <c r="E566" s="191">
        <v>41351</v>
      </c>
      <c r="F566" s="192" t="s">
        <v>776</v>
      </c>
      <c r="G566" s="192" t="s">
        <v>777</v>
      </c>
      <c r="H566" s="7" t="s">
        <v>580</v>
      </c>
      <c r="I566" s="256">
        <v>105</v>
      </c>
      <c r="J566" s="256">
        <v>26000</v>
      </c>
      <c r="K566" s="38">
        <f>ROUND(I566*J566,0)</f>
        <v>2730000</v>
      </c>
      <c r="L566" s="194" t="s">
        <v>265</v>
      </c>
      <c r="M566" s="194" t="s">
        <v>175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50"/>
      <c r="AC566" s="594"/>
      <c r="AD566" s="198"/>
    </row>
    <row r="567" spans="1:30" s="211" customFormat="1" ht="15.75" customHeight="1">
      <c r="A567" s="204" t="str">
        <f>IF(B567&lt;&gt;"",IF(AND(B567&gt;=_TM1,B567&lt;=_TM2,OR(TH!L567="1111",TH!M567="1111")),TH!D567,""),"")</f>
        <v/>
      </c>
      <c r="B567" s="36">
        <f t="shared" si="107"/>
        <v>3</v>
      </c>
      <c r="C567" s="191">
        <f t="shared" si="111"/>
        <v>41351</v>
      </c>
      <c r="D567" s="184" t="s">
        <v>1067</v>
      </c>
      <c r="E567" s="191">
        <v>41351</v>
      </c>
      <c r="F567" s="192" t="s">
        <v>724</v>
      </c>
      <c r="G567" s="192" t="s">
        <v>777</v>
      </c>
      <c r="H567" s="7" t="s">
        <v>580</v>
      </c>
      <c r="I567" s="256"/>
      <c r="J567" s="256"/>
      <c r="K567" s="38">
        <v>273000</v>
      </c>
      <c r="L567" s="194" t="s">
        <v>265</v>
      </c>
      <c r="M567" s="194" t="s">
        <v>429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50"/>
      <c r="AC567" s="594" t="str">
        <f t="shared" si="105"/>
        <v/>
      </c>
      <c r="AD567" s="198"/>
    </row>
    <row r="568" spans="1:30" s="211" customFormat="1" ht="15.75" customHeight="1">
      <c r="A568" s="204" t="str">
        <f>IF(B568&lt;&gt;"",IF(AND(B568&gt;=_TM1,B568&lt;=_TM2,OR(TH!L568="1111",TH!M568="1111")),TH!D568,""),"")</f>
        <v/>
      </c>
      <c r="B568" s="36">
        <f t="shared" ref="B568" si="160">IF(C568&lt;&gt;"",MONTH(C568),"")</f>
        <v>3</v>
      </c>
      <c r="C568" s="191">
        <f t="shared" ref="C568" si="161">E568</f>
        <v>41351</v>
      </c>
      <c r="D568" s="184" t="s">
        <v>1067</v>
      </c>
      <c r="E568" s="191">
        <v>41351</v>
      </c>
      <c r="F568" s="189" t="s">
        <v>341</v>
      </c>
      <c r="G568" s="192" t="s">
        <v>777</v>
      </c>
      <c r="H568" s="7" t="s">
        <v>580</v>
      </c>
      <c r="I568" s="256"/>
      <c r="J568" s="256"/>
      <c r="K568" s="38">
        <v>3003000</v>
      </c>
      <c r="L568" s="194" t="s">
        <v>47</v>
      </c>
      <c r="M568" s="194" t="s">
        <v>265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>x</v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50"/>
      <c r="AC568" s="594" t="str">
        <f t="shared" ref="AC568" si="162">IF(VLOOKUP(H568,DS_131,1,0)&lt;&gt;"","","x")</f>
        <v/>
      </c>
      <c r="AD568" s="198"/>
    </row>
    <row r="569" spans="1:30" s="594" customFormat="1" ht="15.75" customHeight="1">
      <c r="A569" s="204" t="str">
        <f>IF(B569&lt;&gt;"",IF(AND(B569&gt;=_TM1,B569&lt;=_TM2,OR(TH!L569="1111",TH!M569="1111")),TH!D569,""),"")</f>
        <v/>
      </c>
      <c r="B569" s="36">
        <f t="shared" si="107"/>
        <v>3</v>
      </c>
      <c r="C569" s="191">
        <f t="shared" si="111"/>
        <v>41359</v>
      </c>
      <c r="D569" s="184" t="s">
        <v>1068</v>
      </c>
      <c r="E569" s="191">
        <v>41359</v>
      </c>
      <c r="F569" s="192" t="s">
        <v>778</v>
      </c>
      <c r="G569" s="192" t="s">
        <v>779</v>
      </c>
      <c r="H569" s="7" t="s">
        <v>1111</v>
      </c>
      <c r="I569" s="256">
        <v>513</v>
      </c>
      <c r="J569" s="256">
        <v>18300</v>
      </c>
      <c r="K569" s="38">
        <f t="shared" ref="K569:K570" si="163">ROUND(I569*J569,0)</f>
        <v>9387900</v>
      </c>
      <c r="L569" s="194" t="s">
        <v>265</v>
      </c>
      <c r="M569" s="194" t="s">
        <v>175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50"/>
      <c r="AB569" s="211"/>
      <c r="AD569" s="198"/>
    </row>
    <row r="570" spans="1:30" s="594" customFormat="1" ht="15.75" customHeight="1">
      <c r="A570" s="204" t="str">
        <f>IF(B570&lt;&gt;"",IF(AND(B570&gt;=_TM1,B570&lt;=_TM2,OR(TH!L570="1111",TH!M570="1111")),TH!D570,""),"")</f>
        <v/>
      </c>
      <c r="B570" s="36">
        <f t="shared" si="107"/>
        <v>3</v>
      </c>
      <c r="C570" s="191">
        <f t="shared" si="111"/>
        <v>41359</v>
      </c>
      <c r="D570" s="184" t="s">
        <v>1068</v>
      </c>
      <c r="E570" s="191">
        <v>41359</v>
      </c>
      <c r="F570" s="192" t="s">
        <v>817</v>
      </c>
      <c r="G570" s="192" t="s">
        <v>779</v>
      </c>
      <c r="H570" s="7" t="s">
        <v>1111</v>
      </c>
      <c r="I570" s="256">
        <v>1100</v>
      </c>
      <c r="J570" s="256">
        <v>1500</v>
      </c>
      <c r="K570" s="38">
        <f t="shared" si="163"/>
        <v>1650000</v>
      </c>
      <c r="L570" s="194" t="s">
        <v>265</v>
      </c>
      <c r="M570" s="194" t="s">
        <v>175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50"/>
      <c r="AB570" s="211"/>
      <c r="AD570" s="198"/>
    </row>
    <row r="571" spans="1:30" s="594" customFormat="1" ht="15.75" customHeight="1">
      <c r="A571" s="204" t="str">
        <f>IF(B571&lt;&gt;"",IF(AND(B571&gt;=_TM1,B571&lt;=_TM2,OR(TH!L571="1111",TH!M571="1111")),TH!D571,""),"")</f>
        <v/>
      </c>
      <c r="B571" s="36">
        <f t="shared" si="107"/>
        <v>3</v>
      </c>
      <c r="C571" s="191">
        <f t="shared" si="111"/>
        <v>41359</v>
      </c>
      <c r="D571" s="184" t="s">
        <v>1068</v>
      </c>
      <c r="E571" s="191">
        <v>41359</v>
      </c>
      <c r="F571" s="192" t="s">
        <v>724</v>
      </c>
      <c r="G571" s="192" t="s">
        <v>779</v>
      </c>
      <c r="H571" s="7" t="s">
        <v>1111</v>
      </c>
      <c r="I571" s="256"/>
      <c r="J571" s="256"/>
      <c r="K571" s="38">
        <v>1103790</v>
      </c>
      <c r="L571" s="194" t="s">
        <v>265</v>
      </c>
      <c r="M571" s="194" t="s">
        <v>429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50"/>
      <c r="AB571" s="211"/>
      <c r="AC571" s="594" t="str">
        <f t="shared" ref="AC571:AC640" si="164">IF(VLOOKUP(H571,DS_131,1,0)&lt;&gt;"","","x")</f>
        <v/>
      </c>
      <c r="AD571" s="198"/>
    </row>
    <row r="572" spans="1:30" s="594" customFormat="1" ht="15.75" customHeight="1">
      <c r="A572" s="204" t="str">
        <f>IF(B572&lt;&gt;"",IF(AND(B572&gt;=_TM1,B572&lt;=_TM2,OR(TH!L572="1111",TH!M572="1111")),TH!D572,""),"")</f>
        <v/>
      </c>
      <c r="B572" s="36">
        <f t="shared" si="107"/>
        <v>3</v>
      </c>
      <c r="C572" s="191">
        <f t="shared" si="111"/>
        <v>41361</v>
      </c>
      <c r="D572" s="184" t="s">
        <v>1069</v>
      </c>
      <c r="E572" s="191">
        <v>41361</v>
      </c>
      <c r="F572" s="192" t="s">
        <v>776</v>
      </c>
      <c r="G572" s="192" t="s">
        <v>780</v>
      </c>
      <c r="H572" s="7" t="s">
        <v>580</v>
      </c>
      <c r="I572" s="256">
        <v>60</v>
      </c>
      <c r="J572" s="256">
        <v>26000</v>
      </c>
      <c r="K572" s="38">
        <f>ROUND(I572*J572,0)</f>
        <v>1560000</v>
      </c>
      <c r="L572" s="194" t="s">
        <v>265</v>
      </c>
      <c r="M572" s="194" t="s">
        <v>175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50"/>
      <c r="AB572" s="211"/>
      <c r="AD572" s="198"/>
    </row>
    <row r="573" spans="1:30" s="594" customFormat="1" ht="15.75" customHeight="1">
      <c r="A573" s="204" t="str">
        <f>IF(B573&lt;&gt;"",IF(AND(B573&gt;=_TM1,B573&lt;=_TM2,OR(TH!L573="1111",TH!M573="1111")),TH!D573,""),"")</f>
        <v/>
      </c>
      <c r="B573" s="36">
        <f t="shared" si="107"/>
        <v>3</v>
      </c>
      <c r="C573" s="191">
        <f t="shared" si="111"/>
        <v>41361</v>
      </c>
      <c r="D573" s="184" t="s">
        <v>1069</v>
      </c>
      <c r="E573" s="191">
        <v>41361</v>
      </c>
      <c r="F573" s="192" t="s">
        <v>724</v>
      </c>
      <c r="G573" s="487" t="s">
        <v>780</v>
      </c>
      <c r="H573" s="7" t="s">
        <v>580</v>
      </c>
      <c r="I573" s="256"/>
      <c r="J573" s="256"/>
      <c r="K573" s="38">
        <v>156000</v>
      </c>
      <c r="L573" s="194" t="s">
        <v>265</v>
      </c>
      <c r="M573" s="194" t="s">
        <v>429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50"/>
      <c r="AB573" s="211"/>
      <c r="AC573" s="594" t="str">
        <f t="shared" si="164"/>
        <v/>
      </c>
      <c r="AD573" s="198"/>
    </row>
    <row r="574" spans="1:30" s="594" customFormat="1" ht="15.75" customHeight="1">
      <c r="A574" s="204" t="str">
        <f>IF(B574&lt;&gt;"",IF(AND(B574&gt;=_TM1,B574&lt;=_TM2,OR(TH!L574="1111",TH!M574="1111")),TH!D574,""),"")</f>
        <v/>
      </c>
      <c r="B574" s="36">
        <f t="shared" ref="B574" si="165">IF(C574&lt;&gt;"",MONTH(C574),"")</f>
        <v>3</v>
      </c>
      <c r="C574" s="191">
        <f t="shared" ref="C574" si="166">E574</f>
        <v>41361</v>
      </c>
      <c r="D574" s="184" t="s">
        <v>1069</v>
      </c>
      <c r="E574" s="191">
        <v>41361</v>
      </c>
      <c r="F574" s="189" t="s">
        <v>341</v>
      </c>
      <c r="G574" s="487" t="s">
        <v>780</v>
      </c>
      <c r="H574" s="7" t="s">
        <v>580</v>
      </c>
      <c r="I574" s="256"/>
      <c r="J574" s="256"/>
      <c r="K574" s="38">
        <v>1716000</v>
      </c>
      <c r="L574" s="194" t="s">
        <v>47</v>
      </c>
      <c r="M574" s="194" t="s">
        <v>265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>x</v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50"/>
      <c r="AB574" s="211"/>
      <c r="AC574" s="594" t="str">
        <f t="shared" ref="AC574" si="167">IF(VLOOKUP(H574,DS_131,1,0)&lt;&gt;"","","x")</f>
        <v/>
      </c>
      <c r="AD574" s="198"/>
    </row>
    <row r="575" spans="1:30" s="594" customFormat="1" ht="15.75" customHeight="1">
      <c r="A575" s="204" t="str">
        <f>IF(B575&lt;&gt;"",IF(AND(B575&gt;=_TM1,B575&lt;=_TM2,OR(TH!L575="1111",TH!M575="1111")),TH!D575,""),"")</f>
        <v/>
      </c>
      <c r="B575" s="36">
        <f t="shared" si="107"/>
        <v>3</v>
      </c>
      <c r="C575" s="191">
        <f t="shared" si="111"/>
        <v>41361</v>
      </c>
      <c r="D575" s="184" t="s">
        <v>1070</v>
      </c>
      <c r="E575" s="191">
        <v>41361</v>
      </c>
      <c r="F575" s="192" t="s">
        <v>754</v>
      </c>
      <c r="G575" s="192" t="s">
        <v>781</v>
      </c>
      <c r="H575" s="193" t="s">
        <v>503</v>
      </c>
      <c r="I575" s="256">
        <v>505</v>
      </c>
      <c r="J575" s="256">
        <v>12000</v>
      </c>
      <c r="K575" s="38">
        <f t="shared" ref="K575:K579" si="168">ROUND(I575*J575,0)</f>
        <v>6060000</v>
      </c>
      <c r="L575" s="194" t="s">
        <v>265</v>
      </c>
      <c r="M575" s="194" t="s">
        <v>175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50"/>
      <c r="AB575" s="211"/>
      <c r="AD575" s="198"/>
    </row>
    <row r="576" spans="1:30" s="594" customFormat="1" ht="15.75" customHeight="1">
      <c r="A576" s="204" t="str">
        <f>IF(B576&lt;&gt;"",IF(AND(B576&gt;=_TM1,B576&lt;=_TM2,OR(TH!L576="1111",TH!M576="1111")),TH!D576,""),"")</f>
        <v/>
      </c>
      <c r="B576" s="36">
        <f t="shared" si="107"/>
        <v>3</v>
      </c>
      <c r="C576" s="191">
        <f t="shared" si="111"/>
        <v>41361</v>
      </c>
      <c r="D576" s="184" t="s">
        <v>1070</v>
      </c>
      <c r="E576" s="191">
        <v>41361</v>
      </c>
      <c r="F576" s="192" t="s">
        <v>782</v>
      </c>
      <c r="G576" s="192" t="s">
        <v>781</v>
      </c>
      <c r="H576" s="193" t="s">
        <v>503</v>
      </c>
      <c r="I576" s="256">
        <v>1990</v>
      </c>
      <c r="J576" s="256">
        <v>7500</v>
      </c>
      <c r="K576" s="38">
        <f t="shared" si="168"/>
        <v>14925000</v>
      </c>
      <c r="L576" s="194" t="s">
        <v>265</v>
      </c>
      <c r="M576" s="194" t="s">
        <v>175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50"/>
      <c r="AB576" s="211"/>
      <c r="AD576" s="198"/>
    </row>
    <row r="577" spans="1:30" s="594" customFormat="1" ht="15.75" customHeight="1">
      <c r="A577" s="204" t="str">
        <f>IF(B577&lt;&gt;"",IF(AND(B577&gt;=_TM1,B577&lt;=_TM2,OR(TH!L577="1111",TH!M577="1111")),TH!D577,""),"")</f>
        <v/>
      </c>
      <c r="B577" s="36">
        <f t="shared" ref="B577:B650" si="169">IF(C577&lt;&gt;"",MONTH(C577),"")</f>
        <v>3</v>
      </c>
      <c r="C577" s="191">
        <f t="shared" si="111"/>
        <v>41361</v>
      </c>
      <c r="D577" s="184" t="s">
        <v>1070</v>
      </c>
      <c r="E577" s="191">
        <v>41361</v>
      </c>
      <c r="F577" s="192" t="s">
        <v>783</v>
      </c>
      <c r="G577" s="192" t="s">
        <v>781</v>
      </c>
      <c r="H577" s="193" t="s">
        <v>503</v>
      </c>
      <c r="I577" s="256">
        <v>310</v>
      </c>
      <c r="J577" s="256">
        <v>5200</v>
      </c>
      <c r="K577" s="38">
        <f t="shared" si="168"/>
        <v>1612000</v>
      </c>
      <c r="L577" s="194" t="s">
        <v>265</v>
      </c>
      <c r="M577" s="194" t="s">
        <v>175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50"/>
      <c r="AB577" s="211"/>
      <c r="AD577" s="198"/>
    </row>
    <row r="578" spans="1:30" s="594" customFormat="1" ht="15.75" customHeight="1">
      <c r="A578" s="204" t="str">
        <f>IF(B578&lt;&gt;"",IF(AND(B578&gt;=_TM1,B578&lt;=_TM2,OR(TH!L578="1111",TH!M578="1111")),TH!D578,""),"")</f>
        <v/>
      </c>
      <c r="B578" s="36">
        <f t="shared" si="169"/>
        <v>3</v>
      </c>
      <c r="C578" s="191">
        <f t="shared" si="111"/>
        <v>41361</v>
      </c>
      <c r="D578" s="184" t="s">
        <v>1070</v>
      </c>
      <c r="E578" s="191">
        <v>41361</v>
      </c>
      <c r="F578" s="192" t="s">
        <v>784</v>
      </c>
      <c r="G578" s="192" t="s">
        <v>781</v>
      </c>
      <c r="H578" s="7" t="s">
        <v>503</v>
      </c>
      <c r="I578" s="256">
        <v>305</v>
      </c>
      <c r="J578" s="256">
        <v>4600</v>
      </c>
      <c r="K578" s="38">
        <f t="shared" si="168"/>
        <v>1403000</v>
      </c>
      <c r="L578" s="194" t="s">
        <v>265</v>
      </c>
      <c r="M578" s="194" t="s">
        <v>175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50"/>
      <c r="AB578" s="211"/>
      <c r="AD578" s="198"/>
    </row>
    <row r="579" spans="1:30" s="594" customFormat="1" ht="15.75" customHeight="1">
      <c r="A579" s="204" t="str">
        <f>IF(B579&lt;&gt;"",IF(AND(B579&gt;=_TM1,B579&lt;=_TM2,OR(TH!L579="1111",TH!M579="1111")),TH!D579,""),"")</f>
        <v/>
      </c>
      <c r="B579" s="36">
        <f t="shared" si="169"/>
        <v>3</v>
      </c>
      <c r="C579" s="191">
        <f t="shared" si="111"/>
        <v>41361</v>
      </c>
      <c r="D579" s="184" t="s">
        <v>1070</v>
      </c>
      <c r="E579" s="191">
        <v>41361</v>
      </c>
      <c r="F579" s="192" t="s">
        <v>752</v>
      </c>
      <c r="G579" s="192" t="s">
        <v>781</v>
      </c>
      <c r="H579" s="7" t="s">
        <v>503</v>
      </c>
      <c r="I579" s="256">
        <v>500</v>
      </c>
      <c r="J579" s="256">
        <v>10600</v>
      </c>
      <c r="K579" s="38">
        <f t="shared" si="168"/>
        <v>5300000</v>
      </c>
      <c r="L579" s="194" t="s">
        <v>265</v>
      </c>
      <c r="M579" s="194" t="s">
        <v>175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50"/>
      <c r="AB579" s="211"/>
      <c r="AD579" s="198"/>
    </row>
    <row r="580" spans="1:30" s="594" customFormat="1" ht="15.75" customHeight="1">
      <c r="A580" s="204" t="str">
        <f>IF(B580&lt;&gt;"",IF(AND(B580&gt;=_TM1,B580&lt;=_TM2,OR(TH!L580="1111",TH!M580="1111")),TH!D580,""),"")</f>
        <v/>
      </c>
      <c r="B580" s="36">
        <f t="shared" si="169"/>
        <v>3</v>
      </c>
      <c r="C580" s="191">
        <f t="shared" ref="C580:C654" si="170">E580</f>
        <v>41361</v>
      </c>
      <c r="D580" s="184" t="s">
        <v>1070</v>
      </c>
      <c r="E580" s="191">
        <v>41361</v>
      </c>
      <c r="F580" s="192" t="s">
        <v>724</v>
      </c>
      <c r="G580" s="192" t="s">
        <v>781</v>
      </c>
      <c r="H580" s="7" t="s">
        <v>503</v>
      </c>
      <c r="I580" s="256"/>
      <c r="J580" s="256"/>
      <c r="K580" s="38">
        <v>2930000</v>
      </c>
      <c r="L580" s="194" t="s">
        <v>265</v>
      </c>
      <c r="M580" s="194" t="s">
        <v>429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50"/>
      <c r="AB580" s="211"/>
      <c r="AC580" s="594" t="str">
        <f t="shared" si="164"/>
        <v/>
      </c>
      <c r="AD580" s="198"/>
    </row>
    <row r="581" spans="1:30" s="594" customFormat="1" ht="15.75" customHeight="1">
      <c r="A581" s="204" t="str">
        <f>IF(B581&lt;&gt;"",IF(AND(B581&gt;=_TM1,B581&lt;=_TM2,OR(TH!L581="1111",TH!M581="1111")),TH!D581,""),"")</f>
        <v/>
      </c>
      <c r="B581" s="36">
        <f t="shared" si="169"/>
        <v>3</v>
      </c>
      <c r="C581" s="191">
        <f t="shared" si="170"/>
        <v>41363</v>
      </c>
      <c r="D581" s="184" t="s">
        <v>1071</v>
      </c>
      <c r="E581" s="191">
        <v>41363</v>
      </c>
      <c r="F581" s="192" t="s">
        <v>721</v>
      </c>
      <c r="G581" s="192" t="s">
        <v>785</v>
      </c>
      <c r="H581" s="7" t="s">
        <v>499</v>
      </c>
      <c r="I581" s="256">
        <v>1280</v>
      </c>
      <c r="J581" s="256">
        <v>6000</v>
      </c>
      <c r="K581" s="38">
        <f>ROUND(I581*J581,0)</f>
        <v>7680000</v>
      </c>
      <c r="L581" s="194" t="s">
        <v>265</v>
      </c>
      <c r="M581" s="194" t="s">
        <v>175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50"/>
      <c r="AB581" s="211"/>
      <c r="AD581" s="198"/>
    </row>
    <row r="582" spans="1:30" s="594" customFormat="1" ht="15.75" customHeight="1">
      <c r="A582" s="204" t="str">
        <f>IF(B582&lt;&gt;"",IF(AND(B582&gt;=_TM1,B582&lt;=_TM2,OR(TH!L582="1111",TH!M582="1111")),TH!D582,""),"")</f>
        <v/>
      </c>
      <c r="B582" s="36">
        <f t="shared" si="169"/>
        <v>3</v>
      </c>
      <c r="C582" s="191">
        <f t="shared" si="170"/>
        <v>41363</v>
      </c>
      <c r="D582" s="184" t="s">
        <v>1071</v>
      </c>
      <c r="E582" s="191">
        <v>41363</v>
      </c>
      <c r="F582" s="192" t="s">
        <v>724</v>
      </c>
      <c r="G582" s="192" t="s">
        <v>785</v>
      </c>
      <c r="H582" s="7" t="s">
        <v>499</v>
      </c>
      <c r="I582" s="256"/>
      <c r="J582" s="256"/>
      <c r="K582" s="38">
        <v>768000</v>
      </c>
      <c r="L582" s="194" t="s">
        <v>265</v>
      </c>
      <c r="M582" s="194" t="s">
        <v>429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50"/>
      <c r="AB582" s="211"/>
      <c r="AC582" s="594" t="str">
        <f t="shared" si="164"/>
        <v/>
      </c>
      <c r="AD582" s="198"/>
    </row>
    <row r="583" spans="1:30" s="594" customFormat="1" ht="15.75" customHeight="1">
      <c r="A583" s="204" t="str">
        <f>IF(B583&lt;&gt;"",IF(AND(B583&gt;=_TM1,B583&lt;=_TM2,OR(TH!L583="1111",TH!M583="1111")),TH!D583,""),"")</f>
        <v/>
      </c>
      <c r="B583" s="36">
        <f t="shared" si="169"/>
        <v>3</v>
      </c>
      <c r="C583" s="191">
        <f t="shared" si="170"/>
        <v>41363</v>
      </c>
      <c r="D583" s="184" t="s">
        <v>1072</v>
      </c>
      <c r="E583" s="191">
        <v>41363</v>
      </c>
      <c r="F583" s="192" t="s">
        <v>1135</v>
      </c>
      <c r="G583" s="192" t="s">
        <v>786</v>
      </c>
      <c r="H583" s="7" t="s">
        <v>431</v>
      </c>
      <c r="I583" s="256">
        <v>1200</v>
      </c>
      <c r="J583" s="256">
        <v>6350</v>
      </c>
      <c r="K583" s="38">
        <f>ROUND(I583*J583,0)</f>
        <v>7620000</v>
      </c>
      <c r="L583" s="194" t="s">
        <v>265</v>
      </c>
      <c r="M583" s="194" t="s">
        <v>175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50"/>
      <c r="AB583" s="211"/>
      <c r="AD583" s="198"/>
    </row>
    <row r="584" spans="1:30" s="594" customFormat="1" ht="15.75" customHeight="1">
      <c r="A584" s="204" t="str">
        <f>IF(B584&lt;&gt;"",IF(AND(B584&gt;=_TM1,B584&lt;=_TM2,OR(TH!L584="1111",TH!M584="1111")),TH!D584,""),"")</f>
        <v/>
      </c>
      <c r="B584" s="36">
        <f t="shared" si="169"/>
        <v>3</v>
      </c>
      <c r="C584" s="191">
        <f t="shared" si="170"/>
        <v>41363</v>
      </c>
      <c r="D584" s="184" t="s">
        <v>1072</v>
      </c>
      <c r="E584" s="191">
        <v>41363</v>
      </c>
      <c r="F584" s="192" t="s">
        <v>724</v>
      </c>
      <c r="G584" s="192" t="s">
        <v>786</v>
      </c>
      <c r="H584" s="7" t="s">
        <v>431</v>
      </c>
      <c r="I584" s="256"/>
      <c r="J584" s="256"/>
      <c r="K584" s="38">
        <v>762000</v>
      </c>
      <c r="L584" s="194" t="s">
        <v>265</v>
      </c>
      <c r="M584" s="194" t="s">
        <v>429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50"/>
      <c r="AB584" s="211"/>
      <c r="AC584" s="594" t="str">
        <f t="shared" si="164"/>
        <v/>
      </c>
      <c r="AD584" s="198"/>
    </row>
    <row r="585" spans="1:30" s="594" customFormat="1" ht="15.75" customHeight="1">
      <c r="A585" s="204" t="str">
        <f>IF(B585&lt;&gt;"",IF(AND(B585&gt;=_TM1,B585&lt;=_TM2,OR(TH!L585="1111",TH!M585="1111")),TH!D585,""),"")</f>
        <v/>
      </c>
      <c r="B585" s="36">
        <f t="shared" si="169"/>
        <v>4</v>
      </c>
      <c r="C585" s="191">
        <f t="shared" si="170"/>
        <v>41367</v>
      </c>
      <c r="D585" s="184" t="s">
        <v>1045</v>
      </c>
      <c r="E585" s="191">
        <v>41367</v>
      </c>
      <c r="F585" s="192" t="s">
        <v>1127</v>
      </c>
      <c r="G585" s="192" t="s">
        <v>787</v>
      </c>
      <c r="H585" s="7" t="s">
        <v>788</v>
      </c>
      <c r="I585" s="256">
        <v>515</v>
      </c>
      <c r="J585" s="256">
        <v>16380</v>
      </c>
      <c r="K585" s="38">
        <f>ROUND(I585*J585,0)</f>
        <v>8435700</v>
      </c>
      <c r="L585" s="194" t="s">
        <v>265</v>
      </c>
      <c r="M585" s="194" t="s">
        <v>175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50"/>
      <c r="AB585" s="211"/>
      <c r="AD585" s="198"/>
    </row>
    <row r="586" spans="1:30" s="594" customFormat="1" ht="15.75" customHeight="1">
      <c r="A586" s="204" t="str">
        <f>IF(B586&lt;&gt;"",IF(AND(B586&gt;=_TM1,B586&lt;=_TM2,OR(TH!L586="1111",TH!M586="1111")),TH!D586,""),"")</f>
        <v/>
      </c>
      <c r="B586" s="36">
        <f t="shared" si="169"/>
        <v>4</v>
      </c>
      <c r="C586" s="191">
        <f t="shared" si="170"/>
        <v>41367</v>
      </c>
      <c r="D586" s="184" t="s">
        <v>1045</v>
      </c>
      <c r="E586" s="191">
        <v>41367</v>
      </c>
      <c r="F586" s="192" t="s">
        <v>724</v>
      </c>
      <c r="G586" s="192" t="s">
        <v>787</v>
      </c>
      <c r="H586" s="7" t="s">
        <v>788</v>
      </c>
      <c r="I586" s="257"/>
      <c r="J586" s="257"/>
      <c r="K586" s="38">
        <v>843570</v>
      </c>
      <c r="L586" s="194" t="s">
        <v>265</v>
      </c>
      <c r="M586" s="194" t="s">
        <v>429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50"/>
      <c r="AB586" s="211"/>
      <c r="AC586" s="594" t="str">
        <f t="shared" si="164"/>
        <v/>
      </c>
      <c r="AD586" s="198"/>
    </row>
    <row r="587" spans="1:30" s="594" customFormat="1" ht="15.75" customHeight="1">
      <c r="A587" s="204" t="str">
        <f>IF(B587&lt;&gt;"",IF(AND(B587&gt;=_TM1,B587&lt;=_TM2,OR(TH!L587="1111",TH!M587="1111")),TH!D587,""),"")</f>
        <v/>
      </c>
      <c r="B587" s="36">
        <f t="shared" si="169"/>
        <v>4</v>
      </c>
      <c r="C587" s="191">
        <f t="shared" si="170"/>
        <v>41368</v>
      </c>
      <c r="D587" s="184" t="s">
        <v>1046</v>
      </c>
      <c r="E587" s="191">
        <v>41368</v>
      </c>
      <c r="F587" s="192" t="s">
        <v>739</v>
      </c>
      <c r="G587" s="487" t="s">
        <v>789</v>
      </c>
      <c r="H587" s="193" t="s">
        <v>741</v>
      </c>
      <c r="I587" s="256">
        <v>500</v>
      </c>
      <c r="J587" s="256">
        <v>8000</v>
      </c>
      <c r="K587" s="38">
        <f>ROUND(I587*J587,0)</f>
        <v>4000000</v>
      </c>
      <c r="L587" s="194" t="s">
        <v>265</v>
      </c>
      <c r="M587" s="194" t="s">
        <v>175</v>
      </c>
      <c r="N587" s="52" t="str">
        <f>IF(AND('331-CT'!$E$7=TH!H587,OR(L587="331",M587="331")),"331",IF(AND(OR(L587="131",M587="131"),H587='131-CT'!$E$7),"131",""))</f>
        <v>131</v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50"/>
      <c r="AB587" s="211"/>
      <c r="AD587" s="198"/>
    </row>
    <row r="588" spans="1:30" s="594" customFormat="1" ht="15.75" customHeight="1">
      <c r="A588" s="204" t="str">
        <f>IF(B588&lt;&gt;"",IF(AND(B588&gt;=_TM1,B588&lt;=_TM2,OR(TH!L588="1111",TH!M588="1111")),TH!D588,""),"")</f>
        <v/>
      </c>
      <c r="B588" s="36">
        <f t="shared" si="169"/>
        <v>4</v>
      </c>
      <c r="C588" s="191">
        <f t="shared" si="170"/>
        <v>41368</v>
      </c>
      <c r="D588" s="184" t="s">
        <v>1046</v>
      </c>
      <c r="E588" s="191">
        <v>41368</v>
      </c>
      <c r="F588" s="192" t="s">
        <v>724</v>
      </c>
      <c r="G588" s="487" t="s">
        <v>789</v>
      </c>
      <c r="H588" s="193" t="s">
        <v>741</v>
      </c>
      <c r="I588" s="256"/>
      <c r="J588" s="256"/>
      <c r="K588" s="38">
        <v>400000</v>
      </c>
      <c r="L588" s="194" t="s">
        <v>265</v>
      </c>
      <c r="M588" s="194" t="s">
        <v>429</v>
      </c>
      <c r="N588" s="52" t="str">
        <f>IF(AND('331-CT'!$E$7=TH!H588,OR(L588="331",M588="331")),"331",IF(AND(OR(L588="131",M588="131"),H588='131-CT'!$E$7),"131",""))</f>
        <v>131</v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50"/>
      <c r="AB588" s="211"/>
      <c r="AC588" s="594" t="str">
        <f t="shared" si="164"/>
        <v/>
      </c>
      <c r="AD588" s="198"/>
    </row>
    <row r="589" spans="1:30" s="594" customFormat="1" ht="15.75" customHeight="1">
      <c r="A589" s="204" t="str">
        <f>IF(B589&lt;&gt;"",IF(AND(B589&gt;=_TM1,B589&lt;=_TM2,OR(TH!L589="1111",TH!M589="1111")),TH!D589,""),"")</f>
        <v/>
      </c>
      <c r="B589" s="36">
        <f t="shared" ref="B589" si="171">IF(C589&lt;&gt;"",MONTH(C589),"")</f>
        <v>4</v>
      </c>
      <c r="C589" s="191">
        <f t="shared" ref="C589" si="172">E589</f>
        <v>41368</v>
      </c>
      <c r="D589" s="184" t="s">
        <v>1046</v>
      </c>
      <c r="E589" s="191">
        <v>41368</v>
      </c>
      <c r="F589" s="192" t="s">
        <v>724</v>
      </c>
      <c r="G589" s="487" t="s">
        <v>789</v>
      </c>
      <c r="H589" s="193" t="s">
        <v>741</v>
      </c>
      <c r="I589" s="256"/>
      <c r="J589" s="256"/>
      <c r="K589" s="38">
        <v>4400000</v>
      </c>
      <c r="L589" s="194" t="s">
        <v>47</v>
      </c>
      <c r="M589" s="194" t="s">
        <v>265</v>
      </c>
      <c r="N589" s="52" t="str">
        <f>IF(AND('331-CT'!$E$7=TH!H589,OR(L589="331",M589="331")),"331",IF(AND(OR(L589="131",M589="131"),H589='131-CT'!$E$7),"131",""))</f>
        <v>131</v>
      </c>
      <c r="O589" s="52" t="str">
        <f>IF(AND($B589&gt;='111'!$N$11,$B589&lt;='111'!$O$11,OR($L589=$O$7,$M589=$O$7)),"x","")</f>
        <v/>
      </c>
      <c r="P589" s="52" t="str">
        <f>IF(AND($L589=$O$7,$B589&lt;'111'!$N$11),"x","")</f>
        <v>x</v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50"/>
      <c r="AB589" s="211"/>
      <c r="AC589" s="594" t="str">
        <f t="shared" ref="AC589" si="173">IF(VLOOKUP(H589,DS_131,1,0)&lt;&gt;"","","x")</f>
        <v/>
      </c>
      <c r="AD589" s="198"/>
    </row>
    <row r="590" spans="1:30" s="594" customFormat="1" ht="15.75" customHeight="1">
      <c r="A590" s="204" t="str">
        <f>IF(B590&lt;&gt;"",IF(AND(B590&gt;=_TM1,B590&lt;=_TM2,OR(TH!L590="1111",TH!M590="1111")),TH!D590,""),"")</f>
        <v/>
      </c>
      <c r="B590" s="36">
        <f t="shared" si="169"/>
        <v>4</v>
      </c>
      <c r="C590" s="191">
        <f t="shared" si="170"/>
        <v>41368</v>
      </c>
      <c r="D590" s="184" t="s">
        <v>1047</v>
      </c>
      <c r="E590" s="191">
        <v>41368</v>
      </c>
      <c r="F590" s="192" t="s">
        <v>481</v>
      </c>
      <c r="G590" s="487" t="s">
        <v>790</v>
      </c>
      <c r="H590" s="7" t="s">
        <v>791</v>
      </c>
      <c r="I590" s="256">
        <v>400</v>
      </c>
      <c r="J590" s="256">
        <v>12000</v>
      </c>
      <c r="K590" s="38">
        <f>ROUND(I590*J590,0)</f>
        <v>4800000</v>
      </c>
      <c r="L590" s="194" t="s">
        <v>265</v>
      </c>
      <c r="M590" s="194" t="s">
        <v>175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50"/>
      <c r="AB590" s="211"/>
      <c r="AD590" s="198"/>
    </row>
    <row r="591" spans="1:30" s="594" customFormat="1" ht="15.75" customHeight="1">
      <c r="A591" s="204" t="str">
        <f>IF(B591&lt;&gt;"",IF(AND(B591&gt;=_TM1,B591&lt;=_TM2,OR(TH!L591="1111",TH!M591="1111")),TH!D591,""),"")</f>
        <v/>
      </c>
      <c r="B591" s="36">
        <f t="shared" si="169"/>
        <v>4</v>
      </c>
      <c r="C591" s="191">
        <f t="shared" si="170"/>
        <v>41368</v>
      </c>
      <c r="D591" s="184" t="s">
        <v>1047</v>
      </c>
      <c r="E591" s="191">
        <v>41368</v>
      </c>
      <c r="F591" s="192" t="s">
        <v>724</v>
      </c>
      <c r="G591" s="487" t="s">
        <v>790</v>
      </c>
      <c r="H591" s="7" t="s">
        <v>791</v>
      </c>
      <c r="I591" s="256"/>
      <c r="J591" s="256"/>
      <c r="K591" s="38">
        <v>480000</v>
      </c>
      <c r="L591" s="194" t="s">
        <v>265</v>
      </c>
      <c r="M591" s="194" t="s">
        <v>429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50"/>
      <c r="AB591" s="211"/>
      <c r="AC591" s="594" t="str">
        <f t="shared" si="164"/>
        <v/>
      </c>
      <c r="AD591" s="198"/>
    </row>
    <row r="592" spans="1:30" s="594" customFormat="1" ht="15.75" customHeight="1">
      <c r="A592" s="204" t="str">
        <f>IF(B592&lt;&gt;"",IF(AND(B592&gt;=_TM1,B592&lt;=_TM2,OR(TH!L592="1111",TH!M592="1111")),TH!D592,""),"")</f>
        <v/>
      </c>
      <c r="B592" s="36">
        <f t="shared" ref="B592" si="174">IF(C592&lt;&gt;"",MONTH(C592),"")</f>
        <v>4</v>
      </c>
      <c r="C592" s="191">
        <f t="shared" ref="C592" si="175">E592</f>
        <v>41368</v>
      </c>
      <c r="D592" s="184" t="s">
        <v>1047</v>
      </c>
      <c r="E592" s="191">
        <v>41368</v>
      </c>
      <c r="F592" s="189" t="s">
        <v>341</v>
      </c>
      <c r="G592" s="487" t="s">
        <v>790</v>
      </c>
      <c r="H592" s="7" t="s">
        <v>791</v>
      </c>
      <c r="I592" s="256"/>
      <c r="J592" s="256"/>
      <c r="K592" s="38">
        <v>5280000</v>
      </c>
      <c r="L592" s="194" t="s">
        <v>47</v>
      </c>
      <c r="M592" s="194" t="s">
        <v>265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>x</v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50"/>
      <c r="AB592" s="211"/>
      <c r="AC592" s="594" t="str">
        <f t="shared" ref="AC592" si="176">IF(VLOOKUP(H592,DS_131,1,0)&lt;&gt;"","","x")</f>
        <v/>
      </c>
      <c r="AD592" s="198"/>
    </row>
    <row r="593" spans="1:30" s="594" customFormat="1" ht="15.75" customHeight="1">
      <c r="A593" s="204" t="str">
        <f>IF(B593&lt;&gt;"",IF(AND(B593&gt;=_TM1,B593&lt;=_TM2,OR(TH!L593="1111",TH!M593="1111")),TH!D593,""),"")</f>
        <v/>
      </c>
      <c r="B593" s="36">
        <f t="shared" si="169"/>
        <v>4</v>
      </c>
      <c r="C593" s="191">
        <f t="shared" si="170"/>
        <v>41369</v>
      </c>
      <c r="D593" s="184" t="s">
        <v>1048</v>
      </c>
      <c r="E593" s="191">
        <v>41369</v>
      </c>
      <c r="F593" s="192" t="s">
        <v>481</v>
      </c>
      <c r="G593" s="192" t="s">
        <v>577</v>
      </c>
      <c r="H593" s="7" t="s">
        <v>792</v>
      </c>
      <c r="I593" s="256">
        <v>500</v>
      </c>
      <c r="J593" s="256">
        <v>12000</v>
      </c>
      <c r="K593" s="38">
        <f>ROUND(I593*J593,0)</f>
        <v>6000000</v>
      </c>
      <c r="L593" s="194" t="s">
        <v>265</v>
      </c>
      <c r="M593" s="194" t="s">
        <v>175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50"/>
      <c r="AB593" s="211"/>
      <c r="AD593" s="198"/>
    </row>
    <row r="594" spans="1:30" s="594" customFormat="1" ht="15.75" customHeight="1">
      <c r="A594" s="204" t="str">
        <f>IF(B594&lt;&gt;"",IF(AND(B594&gt;=_TM1,B594&lt;=_TM2,OR(TH!L594="1111",TH!M594="1111")),TH!D594,""),"")</f>
        <v/>
      </c>
      <c r="B594" s="36">
        <f t="shared" si="169"/>
        <v>4</v>
      </c>
      <c r="C594" s="191">
        <f t="shared" si="170"/>
        <v>41369</v>
      </c>
      <c r="D594" s="184" t="s">
        <v>1048</v>
      </c>
      <c r="E594" s="191">
        <v>41369</v>
      </c>
      <c r="F594" s="192" t="s">
        <v>724</v>
      </c>
      <c r="G594" s="192" t="s">
        <v>577</v>
      </c>
      <c r="H594" s="7" t="s">
        <v>792</v>
      </c>
      <c r="I594" s="256"/>
      <c r="J594" s="256"/>
      <c r="K594" s="38">
        <v>600000</v>
      </c>
      <c r="L594" s="194" t="s">
        <v>265</v>
      </c>
      <c r="M594" s="194" t="s">
        <v>429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50"/>
      <c r="AB594" s="211"/>
      <c r="AC594" s="594" t="str">
        <f t="shared" si="164"/>
        <v/>
      </c>
      <c r="AD594" s="198"/>
    </row>
    <row r="595" spans="1:30" s="594" customFormat="1" ht="15.75" customHeight="1">
      <c r="A595" s="204" t="str">
        <f>IF(B595&lt;&gt;"",IF(AND(B595&gt;=_TM1,B595&lt;=_TM2,OR(TH!L595="1111",TH!M595="1111")),TH!D595,""),"")</f>
        <v/>
      </c>
      <c r="B595" s="36">
        <f t="shared" ref="B595" si="177">IF(C595&lt;&gt;"",MONTH(C595),"")</f>
        <v>4</v>
      </c>
      <c r="C595" s="191">
        <f t="shared" ref="C595" si="178">E595</f>
        <v>41369</v>
      </c>
      <c r="D595" s="184" t="s">
        <v>1048</v>
      </c>
      <c r="E595" s="191">
        <v>41369</v>
      </c>
      <c r="F595" s="189" t="s">
        <v>341</v>
      </c>
      <c r="G595" s="192" t="s">
        <v>577</v>
      </c>
      <c r="H595" s="7" t="s">
        <v>792</v>
      </c>
      <c r="I595" s="256"/>
      <c r="J595" s="256"/>
      <c r="K595" s="38">
        <v>6600000</v>
      </c>
      <c r="L595" s="194" t="s">
        <v>47</v>
      </c>
      <c r="M595" s="194" t="s">
        <v>265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>x</v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50"/>
      <c r="AB595" s="211"/>
      <c r="AC595" s="594" t="str">
        <f t="shared" ref="AC595" si="179">IF(VLOOKUP(H595,DS_131,1,0)&lt;&gt;"","","x")</f>
        <v/>
      </c>
      <c r="AD595" s="198"/>
    </row>
    <row r="596" spans="1:30" s="594" customFormat="1" ht="15.75" customHeight="1">
      <c r="A596" s="204" t="str">
        <f>IF(B596&lt;&gt;"",IF(AND(B596&gt;=_TM1,B596&lt;=_TM2,OR(TH!L596="1111",TH!M596="1111")),TH!D596,""),"")</f>
        <v/>
      </c>
      <c r="B596" s="36">
        <f t="shared" si="169"/>
        <v>4</v>
      </c>
      <c r="C596" s="191">
        <f t="shared" si="170"/>
        <v>41369</v>
      </c>
      <c r="D596" s="184" t="s">
        <v>1049</v>
      </c>
      <c r="E596" s="191">
        <v>41369</v>
      </c>
      <c r="F596" s="192" t="s">
        <v>793</v>
      </c>
      <c r="G596" s="487" t="s">
        <v>794</v>
      </c>
      <c r="H596" s="7" t="s">
        <v>508</v>
      </c>
      <c r="I596" s="256">
        <v>1000</v>
      </c>
      <c r="J596" s="256">
        <v>12800</v>
      </c>
      <c r="K596" s="38">
        <f>ROUND(I596*J596,0)</f>
        <v>12800000</v>
      </c>
      <c r="L596" s="194" t="s">
        <v>265</v>
      </c>
      <c r="M596" s="194" t="s">
        <v>175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50"/>
      <c r="AB596" s="211"/>
      <c r="AD596" s="198"/>
    </row>
    <row r="597" spans="1:30" s="594" customFormat="1" ht="15.75" customHeight="1">
      <c r="A597" s="204" t="str">
        <f>IF(B597&lt;&gt;"",IF(AND(B597&gt;=_TM1,B597&lt;=_TM2,OR(TH!L597="1111",TH!M597="1111")),TH!D597,""),"")</f>
        <v/>
      </c>
      <c r="B597" s="36">
        <f t="shared" si="169"/>
        <v>4</v>
      </c>
      <c r="C597" s="191">
        <f t="shared" si="170"/>
        <v>41369</v>
      </c>
      <c r="D597" s="184" t="s">
        <v>1049</v>
      </c>
      <c r="E597" s="191">
        <v>41369</v>
      </c>
      <c r="F597" s="192" t="s">
        <v>724</v>
      </c>
      <c r="G597" s="487" t="s">
        <v>794</v>
      </c>
      <c r="H597" s="7" t="s">
        <v>508</v>
      </c>
      <c r="I597" s="256"/>
      <c r="J597" s="256"/>
      <c r="K597" s="38">
        <v>1280000</v>
      </c>
      <c r="L597" s="194" t="s">
        <v>265</v>
      </c>
      <c r="M597" s="194" t="s">
        <v>429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850"/>
      <c r="AB597" s="211"/>
      <c r="AC597" s="594" t="str">
        <f t="shared" si="164"/>
        <v/>
      </c>
      <c r="AD597" s="198"/>
    </row>
    <row r="598" spans="1:30" s="594" customFormat="1" ht="15.75" customHeight="1">
      <c r="A598" s="204" t="str">
        <f>IF(B598&lt;&gt;"",IF(AND(B598&gt;=_TM1,B598&lt;=_TM2,OR(TH!L598="1111",TH!M598="1111")),TH!D598,""),"")</f>
        <v/>
      </c>
      <c r="B598" s="36">
        <f t="shared" si="169"/>
        <v>4</v>
      </c>
      <c r="C598" s="191">
        <f t="shared" si="170"/>
        <v>41370</v>
      </c>
      <c r="D598" s="184" t="s">
        <v>1050</v>
      </c>
      <c r="E598" s="191">
        <v>41370</v>
      </c>
      <c r="F598" s="192" t="s">
        <v>795</v>
      </c>
      <c r="G598" s="487" t="s">
        <v>796</v>
      </c>
      <c r="H598" s="7" t="s">
        <v>508</v>
      </c>
      <c r="I598" s="256">
        <v>500</v>
      </c>
      <c r="J598" s="256">
        <v>12800</v>
      </c>
      <c r="K598" s="38">
        <f t="shared" ref="K598:K599" si="180">ROUND(I598*J598,0)</f>
        <v>6400000</v>
      </c>
      <c r="L598" s="194" t="s">
        <v>265</v>
      </c>
      <c r="M598" s="194" t="s">
        <v>175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850"/>
      <c r="AB598" s="211"/>
      <c r="AD598" s="198"/>
    </row>
    <row r="599" spans="1:30" s="594" customFormat="1" ht="15.75" customHeight="1">
      <c r="A599" s="204" t="str">
        <f>IF(B599&lt;&gt;"",IF(AND(B599&gt;=_TM1,B599&lt;=_TM2,OR(TH!L599="1111",TH!M599="1111")),TH!D599,""),"")</f>
        <v/>
      </c>
      <c r="B599" s="36">
        <f t="shared" si="169"/>
        <v>4</v>
      </c>
      <c r="C599" s="191">
        <f t="shared" si="170"/>
        <v>41370</v>
      </c>
      <c r="D599" s="184" t="s">
        <v>1050</v>
      </c>
      <c r="E599" s="191">
        <v>41370</v>
      </c>
      <c r="F599" s="192" t="s">
        <v>795</v>
      </c>
      <c r="G599" s="487" t="s">
        <v>796</v>
      </c>
      <c r="H599" s="7" t="s">
        <v>508</v>
      </c>
      <c r="I599" s="256">
        <v>100</v>
      </c>
      <c r="J599" s="256">
        <v>12800</v>
      </c>
      <c r="K599" s="38">
        <f t="shared" si="180"/>
        <v>1280000</v>
      </c>
      <c r="L599" s="194" t="s">
        <v>265</v>
      </c>
      <c r="M599" s="194" t="s">
        <v>175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850"/>
      <c r="AB599" s="211"/>
      <c r="AD599" s="198"/>
    </row>
    <row r="600" spans="1:30" s="594" customFormat="1" ht="15.75" customHeight="1">
      <c r="A600" s="204" t="str">
        <f>IF(B600&lt;&gt;"",IF(AND(B600&gt;=_TM1,B600&lt;=_TM2,OR(TH!L600="1111",TH!M600="1111")),TH!D600,""),"")</f>
        <v/>
      </c>
      <c r="B600" s="36">
        <f t="shared" si="169"/>
        <v>4</v>
      </c>
      <c r="C600" s="191">
        <f t="shared" si="170"/>
        <v>41370</v>
      </c>
      <c r="D600" s="184" t="s">
        <v>1050</v>
      </c>
      <c r="E600" s="191">
        <v>41370</v>
      </c>
      <c r="F600" s="192" t="s">
        <v>724</v>
      </c>
      <c r="G600" s="487" t="s">
        <v>796</v>
      </c>
      <c r="H600" s="7" t="s">
        <v>508</v>
      </c>
      <c r="I600" s="256"/>
      <c r="J600" s="256"/>
      <c r="K600" s="38">
        <v>768000</v>
      </c>
      <c r="L600" s="194" t="s">
        <v>265</v>
      </c>
      <c r="M600" s="194" t="s">
        <v>429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850"/>
      <c r="AB600" s="211"/>
      <c r="AC600" s="594" t="str">
        <f t="shared" si="164"/>
        <v/>
      </c>
      <c r="AD600" s="198"/>
    </row>
    <row r="601" spans="1:30" s="594" customFormat="1" ht="15.75" customHeight="1">
      <c r="A601" s="204" t="str">
        <f>IF(B601&lt;&gt;"",IF(AND(B601&gt;=_TM1,B601&lt;=_TM2,OR(TH!L601="1111",TH!M601="1111")),TH!D601,""),"")</f>
        <v/>
      </c>
      <c r="B601" s="36">
        <f t="shared" ref="B601" si="181">IF(C601&lt;&gt;"",MONTH(C601),"")</f>
        <v>4</v>
      </c>
      <c r="C601" s="191">
        <f t="shared" ref="C601" si="182">E601</f>
        <v>41370</v>
      </c>
      <c r="D601" s="184" t="s">
        <v>1050</v>
      </c>
      <c r="E601" s="191">
        <v>41370</v>
      </c>
      <c r="F601" s="189" t="s">
        <v>341</v>
      </c>
      <c r="G601" s="487" t="s">
        <v>796</v>
      </c>
      <c r="H601" s="7" t="s">
        <v>508</v>
      </c>
      <c r="I601" s="256"/>
      <c r="J601" s="256"/>
      <c r="K601" s="38">
        <v>5528000</v>
      </c>
      <c r="L601" s="194" t="s">
        <v>47</v>
      </c>
      <c r="M601" s="194" t="s">
        <v>265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>x</v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850"/>
      <c r="AB601" s="211"/>
      <c r="AC601" s="594" t="str">
        <f t="shared" ref="AC601" si="183">IF(VLOOKUP(H601,DS_131,1,0)&lt;&gt;"","","x")</f>
        <v/>
      </c>
      <c r="AD601" s="198"/>
    </row>
    <row r="602" spans="1:30" s="594" customFormat="1" ht="15.75" customHeight="1">
      <c r="A602" s="204" t="str">
        <f>IF(B602&lt;&gt;"",IF(AND(B602&gt;=_TM1,B602&lt;=_TM2,OR(TH!L602="1111",TH!M602="1111")),TH!D602,""),"")</f>
        <v/>
      </c>
      <c r="B602" s="36">
        <f t="shared" si="169"/>
        <v>4</v>
      </c>
      <c r="C602" s="191">
        <f t="shared" si="170"/>
        <v>41375</v>
      </c>
      <c r="D602" s="184" t="s">
        <v>1051</v>
      </c>
      <c r="E602" s="191">
        <v>41375</v>
      </c>
      <c r="F602" s="192" t="s">
        <v>1161</v>
      </c>
      <c r="G602" s="487" t="s">
        <v>797</v>
      </c>
      <c r="H602" s="7" t="s">
        <v>431</v>
      </c>
      <c r="I602" s="256">
        <v>3990</v>
      </c>
      <c r="J602" s="256">
        <v>5200</v>
      </c>
      <c r="K602" s="38">
        <f t="shared" ref="K602:K603" si="184">ROUND(I602*J602,0)</f>
        <v>20748000</v>
      </c>
      <c r="L602" s="194" t="s">
        <v>265</v>
      </c>
      <c r="M602" s="194" t="s">
        <v>175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850"/>
      <c r="AB602" s="211"/>
      <c r="AD602" s="198"/>
    </row>
    <row r="603" spans="1:30" s="594" customFormat="1" ht="15.75" customHeight="1">
      <c r="A603" s="204" t="str">
        <f>IF(B603&lt;&gt;"",IF(AND(B603&gt;=_TM1,B603&lt;=_TM2,OR(TH!L603="1111",TH!M603="1111")),TH!D603,""),"")</f>
        <v/>
      </c>
      <c r="B603" s="36">
        <f t="shared" si="169"/>
        <v>4</v>
      </c>
      <c r="C603" s="191">
        <f t="shared" si="170"/>
        <v>41375</v>
      </c>
      <c r="D603" s="184" t="s">
        <v>1051</v>
      </c>
      <c r="E603" s="191">
        <v>41375</v>
      </c>
      <c r="F603" s="192" t="s">
        <v>1135</v>
      </c>
      <c r="G603" s="192" t="s">
        <v>797</v>
      </c>
      <c r="H603" s="7" t="s">
        <v>431</v>
      </c>
      <c r="I603" s="256">
        <v>2763</v>
      </c>
      <c r="J603" s="256">
        <v>6350</v>
      </c>
      <c r="K603" s="38">
        <f t="shared" si="184"/>
        <v>17545050</v>
      </c>
      <c r="L603" s="194" t="s">
        <v>265</v>
      </c>
      <c r="M603" s="194" t="s">
        <v>175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850"/>
      <c r="AB603" s="211"/>
      <c r="AD603" s="198"/>
    </row>
    <row r="604" spans="1:30" s="594" customFormat="1" ht="15.75" customHeight="1">
      <c r="A604" s="204" t="str">
        <f>IF(B604&lt;&gt;"",IF(AND(B604&gt;=_TM1,B604&lt;=_TM2,OR(TH!L604="1111",TH!M604="1111")),TH!D604,""),"")</f>
        <v/>
      </c>
      <c r="B604" s="36">
        <f t="shared" si="169"/>
        <v>4</v>
      </c>
      <c r="C604" s="191">
        <f t="shared" si="170"/>
        <v>41375</v>
      </c>
      <c r="D604" s="184" t="s">
        <v>1051</v>
      </c>
      <c r="E604" s="191">
        <v>41375</v>
      </c>
      <c r="F604" s="192" t="s">
        <v>724</v>
      </c>
      <c r="G604" s="487" t="s">
        <v>797</v>
      </c>
      <c r="H604" s="7" t="s">
        <v>431</v>
      </c>
      <c r="I604" s="256"/>
      <c r="J604" s="256"/>
      <c r="K604" s="38">
        <v>3829305</v>
      </c>
      <c r="L604" s="194" t="s">
        <v>265</v>
      </c>
      <c r="M604" s="194" t="s">
        <v>429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850"/>
      <c r="AB604" s="211"/>
      <c r="AC604" s="594" t="str">
        <f t="shared" si="164"/>
        <v/>
      </c>
      <c r="AD604" s="198"/>
    </row>
    <row r="605" spans="1:30" s="594" customFormat="1" ht="15.75" customHeight="1">
      <c r="A605" s="204" t="str">
        <f>IF(B605&lt;&gt;"",IF(AND(B605&gt;=_TM1,B605&lt;=_TM2,OR(TH!L605="1111",TH!M605="1111")),TH!D605,""),"")</f>
        <v/>
      </c>
      <c r="B605" s="36">
        <f t="shared" si="169"/>
        <v>4</v>
      </c>
      <c r="C605" s="191">
        <f t="shared" si="170"/>
        <v>41375</v>
      </c>
      <c r="D605" s="184" t="s">
        <v>1052</v>
      </c>
      <c r="E605" s="191">
        <v>41375</v>
      </c>
      <c r="F605" s="192" t="s">
        <v>1142</v>
      </c>
      <c r="G605" s="487" t="s">
        <v>798</v>
      </c>
      <c r="H605" s="193" t="s">
        <v>788</v>
      </c>
      <c r="I605" s="256">
        <v>103</v>
      </c>
      <c r="J605" s="256">
        <v>17820</v>
      </c>
      <c r="K605" s="38">
        <f t="shared" ref="K605:K607" si="185">ROUND(I605*J605,0)</f>
        <v>1835460</v>
      </c>
      <c r="L605" s="194" t="s">
        <v>265</v>
      </c>
      <c r="M605" s="194" t="s">
        <v>175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850"/>
      <c r="AB605" s="211"/>
      <c r="AD605" s="198"/>
    </row>
    <row r="606" spans="1:30" s="594" customFormat="1" ht="15.75" customHeight="1">
      <c r="A606" s="204" t="str">
        <f>IF(B606&lt;&gt;"",IF(AND(B606&gt;=_TM1,B606&lt;=_TM2,OR(TH!L606="1111",TH!M606="1111")),TH!D606,""),"")</f>
        <v/>
      </c>
      <c r="B606" s="36">
        <f t="shared" si="169"/>
        <v>4</v>
      </c>
      <c r="C606" s="191">
        <f t="shared" si="170"/>
        <v>41375</v>
      </c>
      <c r="D606" s="184" t="s">
        <v>1052</v>
      </c>
      <c r="E606" s="191">
        <v>41375</v>
      </c>
      <c r="F606" s="192" t="s">
        <v>799</v>
      </c>
      <c r="G606" s="487" t="s">
        <v>798</v>
      </c>
      <c r="H606" s="193" t="s">
        <v>788</v>
      </c>
      <c r="I606" s="256">
        <v>200</v>
      </c>
      <c r="J606" s="256">
        <v>1540</v>
      </c>
      <c r="K606" s="38">
        <f t="shared" si="185"/>
        <v>308000</v>
      </c>
      <c r="L606" s="194" t="s">
        <v>265</v>
      </c>
      <c r="M606" s="194" t="s">
        <v>175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850"/>
      <c r="AB606" s="211"/>
      <c r="AD606" s="198"/>
    </row>
    <row r="607" spans="1:30" s="808" customFormat="1" ht="15.75" customHeight="1">
      <c r="A607" s="204" t="str">
        <f>IF(B607&lt;&gt;"",IF(AND(B607&gt;=_TM1,B607&lt;=_TM2,OR(TH!L607="1111",TH!M607="1111")),TH!D607,""),"")</f>
        <v/>
      </c>
      <c r="B607" s="36">
        <f t="shared" si="169"/>
        <v>4</v>
      </c>
      <c r="C607" s="191">
        <f t="shared" si="170"/>
        <v>41375</v>
      </c>
      <c r="D607" s="184" t="s">
        <v>1052</v>
      </c>
      <c r="E607" s="191">
        <v>41375</v>
      </c>
      <c r="F607" s="189" t="s">
        <v>1140</v>
      </c>
      <c r="G607" s="487" t="s">
        <v>798</v>
      </c>
      <c r="H607" s="193" t="s">
        <v>788</v>
      </c>
      <c r="I607" s="256">
        <v>990</v>
      </c>
      <c r="J607" s="256">
        <v>5455</v>
      </c>
      <c r="K607" s="38">
        <f t="shared" si="185"/>
        <v>5400450</v>
      </c>
      <c r="L607" s="194" t="s">
        <v>265</v>
      </c>
      <c r="M607" s="194" t="s">
        <v>175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850"/>
      <c r="AB607" s="211"/>
      <c r="AC607" s="594"/>
      <c r="AD607" s="198"/>
    </row>
    <row r="608" spans="1:30" s="808" customFormat="1" ht="15.75" customHeight="1">
      <c r="A608" s="204" t="str">
        <f>IF(B608&lt;&gt;"",IF(AND(B608&gt;=_TM1,B608&lt;=_TM2,OR(TH!L608="1111",TH!M608="1111")),TH!D608,""),"")</f>
        <v/>
      </c>
      <c r="B608" s="36">
        <f t="shared" si="169"/>
        <v>4</v>
      </c>
      <c r="C608" s="191">
        <f t="shared" si="170"/>
        <v>41375</v>
      </c>
      <c r="D608" s="184" t="s">
        <v>1052</v>
      </c>
      <c r="E608" s="191">
        <v>41375</v>
      </c>
      <c r="F608" s="192" t="s">
        <v>724</v>
      </c>
      <c r="G608" s="192" t="s">
        <v>798</v>
      </c>
      <c r="H608" s="210" t="s">
        <v>788</v>
      </c>
      <c r="I608" s="256"/>
      <c r="J608" s="256"/>
      <c r="K608" s="38">
        <v>754391</v>
      </c>
      <c r="L608" s="194" t="s">
        <v>265</v>
      </c>
      <c r="M608" s="194" t="s">
        <v>429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850"/>
      <c r="AB608" s="211"/>
      <c r="AC608" s="594" t="str">
        <f t="shared" si="164"/>
        <v/>
      </c>
      <c r="AD608" s="198"/>
    </row>
    <row r="609" spans="1:30" s="808" customFormat="1" ht="15.75" customHeight="1">
      <c r="A609" s="204" t="str">
        <f>IF(B609&lt;&gt;"",IF(AND(B609&gt;=_TM1,B609&lt;=_TM2,OR(TH!L609="1111",TH!M609="1111")),TH!D609,""),"")</f>
        <v/>
      </c>
      <c r="B609" s="36">
        <f t="shared" si="169"/>
        <v>4</v>
      </c>
      <c r="C609" s="191">
        <f t="shared" si="170"/>
        <v>41376</v>
      </c>
      <c r="D609" s="184" t="s">
        <v>1053</v>
      </c>
      <c r="E609" s="191">
        <v>41376</v>
      </c>
      <c r="F609" s="192" t="s">
        <v>753</v>
      </c>
      <c r="G609" s="192" t="s">
        <v>800</v>
      </c>
      <c r="H609" s="7" t="s">
        <v>503</v>
      </c>
      <c r="I609" s="256">
        <v>1095</v>
      </c>
      <c r="J609" s="256">
        <v>13700</v>
      </c>
      <c r="K609" s="38">
        <f t="shared" ref="K609:K610" si="186">ROUND(I609*J609,0)</f>
        <v>15001500</v>
      </c>
      <c r="L609" s="194" t="s">
        <v>265</v>
      </c>
      <c r="M609" s="194" t="s">
        <v>175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850"/>
      <c r="AB609" s="211"/>
      <c r="AC609" s="594"/>
      <c r="AD609" s="198"/>
    </row>
    <row r="610" spans="1:30" s="808" customFormat="1" ht="15.75" customHeight="1">
      <c r="A610" s="204" t="str">
        <f>IF(B610&lt;&gt;"",IF(AND(B610&gt;=_TM1,B610&lt;=_TM2,OR(TH!L610="1111",TH!M610="1111")),TH!D610,""),"")</f>
        <v/>
      </c>
      <c r="B610" s="36">
        <f t="shared" si="169"/>
        <v>4</v>
      </c>
      <c r="C610" s="191">
        <f t="shared" si="170"/>
        <v>41376</v>
      </c>
      <c r="D610" s="184" t="s">
        <v>1053</v>
      </c>
      <c r="E610" s="191">
        <v>41376</v>
      </c>
      <c r="F610" s="192" t="s">
        <v>750</v>
      </c>
      <c r="G610" s="192" t="s">
        <v>800</v>
      </c>
      <c r="H610" s="7" t="s">
        <v>503</v>
      </c>
      <c r="I610" s="256">
        <v>360</v>
      </c>
      <c r="J610" s="256">
        <v>12600</v>
      </c>
      <c r="K610" s="38">
        <f t="shared" si="186"/>
        <v>4536000</v>
      </c>
      <c r="L610" s="194" t="s">
        <v>265</v>
      </c>
      <c r="M610" s="194" t="s">
        <v>175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850"/>
      <c r="AB610" s="211"/>
      <c r="AC610" s="594"/>
      <c r="AD610" s="198"/>
    </row>
    <row r="611" spans="1:30" s="808" customFormat="1" ht="15.75" customHeight="1">
      <c r="A611" s="204" t="str">
        <f>IF(B611&lt;&gt;"",IF(AND(B611&gt;=_TM1,B611&lt;=_TM2,OR(TH!L611="1111",TH!M611="1111")),TH!D611,""),"")</f>
        <v/>
      </c>
      <c r="B611" s="36">
        <f t="shared" si="169"/>
        <v>4</v>
      </c>
      <c r="C611" s="191">
        <f t="shared" si="170"/>
        <v>41376</v>
      </c>
      <c r="D611" s="184" t="s">
        <v>1053</v>
      </c>
      <c r="E611" s="191">
        <v>41376</v>
      </c>
      <c r="F611" s="192" t="s">
        <v>724</v>
      </c>
      <c r="G611" s="487" t="s">
        <v>800</v>
      </c>
      <c r="H611" s="7" t="s">
        <v>503</v>
      </c>
      <c r="I611" s="256"/>
      <c r="J611" s="256"/>
      <c r="K611" s="882">
        <v>1953750</v>
      </c>
      <c r="L611" s="194" t="s">
        <v>265</v>
      </c>
      <c r="M611" s="194" t="s">
        <v>429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850"/>
      <c r="AB611" s="211"/>
      <c r="AC611" s="594" t="str">
        <f t="shared" si="164"/>
        <v/>
      </c>
      <c r="AD611" s="198"/>
    </row>
    <row r="612" spans="1:30" s="808" customFormat="1" ht="15.75" customHeight="1">
      <c r="A612" s="204" t="str">
        <f>IF(B612&lt;&gt;"",IF(AND(B612&gt;=_TM1,B612&lt;=_TM2,OR(TH!L612="1111",TH!M612="1111")),TH!D612,""),"")</f>
        <v/>
      </c>
      <c r="B612" s="36">
        <f t="shared" si="169"/>
        <v>4</v>
      </c>
      <c r="C612" s="191">
        <f t="shared" si="170"/>
        <v>41380</v>
      </c>
      <c r="D612" s="184" t="s">
        <v>1054</v>
      </c>
      <c r="E612" s="191">
        <v>41380</v>
      </c>
      <c r="F612" s="192" t="s">
        <v>1135</v>
      </c>
      <c r="G612" s="487" t="s">
        <v>801</v>
      </c>
      <c r="H612" s="7" t="s">
        <v>431</v>
      </c>
      <c r="I612" s="256">
        <v>3930</v>
      </c>
      <c r="J612" s="256">
        <v>6350</v>
      </c>
      <c r="K612" s="38">
        <f>ROUND(I612*J612,0)</f>
        <v>24955500</v>
      </c>
      <c r="L612" s="194" t="s">
        <v>265</v>
      </c>
      <c r="M612" s="194" t="s">
        <v>175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850"/>
      <c r="AB612" s="211"/>
      <c r="AC612" s="594"/>
      <c r="AD612" s="198"/>
    </row>
    <row r="613" spans="1:30" s="808" customFormat="1" ht="15.75" customHeight="1">
      <c r="A613" s="204" t="str">
        <f>IF(B613&lt;&gt;"",IF(AND(B613&gt;=_TM1,B613&lt;=_TM2,OR(TH!L613="1111",TH!M613="1111")),TH!D613,""),"")</f>
        <v/>
      </c>
      <c r="B613" s="36">
        <f t="shared" si="169"/>
        <v>4</v>
      </c>
      <c r="C613" s="191">
        <f t="shared" si="170"/>
        <v>41380</v>
      </c>
      <c r="D613" s="184" t="s">
        <v>1054</v>
      </c>
      <c r="E613" s="191">
        <v>41380</v>
      </c>
      <c r="F613" s="192" t="s">
        <v>724</v>
      </c>
      <c r="G613" s="487" t="s">
        <v>801</v>
      </c>
      <c r="H613" s="7" t="s">
        <v>431</v>
      </c>
      <c r="I613" s="256"/>
      <c r="J613" s="256"/>
      <c r="K613" s="38">
        <v>2495550</v>
      </c>
      <c r="L613" s="194" t="s">
        <v>265</v>
      </c>
      <c r="M613" s="194" t="s">
        <v>429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850"/>
      <c r="AB613" s="211"/>
      <c r="AC613" s="594" t="str">
        <f t="shared" si="164"/>
        <v/>
      </c>
      <c r="AD613" s="594"/>
    </row>
    <row r="614" spans="1:30" s="808" customFormat="1" ht="15.75" customHeight="1">
      <c r="A614" s="204" t="str">
        <f>IF(B614&lt;&gt;"",IF(AND(B614&gt;=_TM1,B614&lt;=_TM2,OR(TH!L614="1111",TH!M614="1111")),TH!D614,""),"")</f>
        <v/>
      </c>
      <c r="B614" s="36">
        <f t="shared" si="169"/>
        <v>4</v>
      </c>
      <c r="C614" s="191">
        <f t="shared" si="170"/>
        <v>41380</v>
      </c>
      <c r="D614" s="184" t="s">
        <v>1055</v>
      </c>
      <c r="E614" s="191">
        <v>41380</v>
      </c>
      <c r="F614" s="192" t="s">
        <v>838</v>
      </c>
      <c r="G614" s="487" t="s">
        <v>802</v>
      </c>
      <c r="H614" s="7" t="s">
        <v>520</v>
      </c>
      <c r="I614" s="256">
        <v>1040</v>
      </c>
      <c r="J614" s="256">
        <v>6580</v>
      </c>
      <c r="K614" s="38">
        <f>ROUND(I614*J614,0)</f>
        <v>6843200</v>
      </c>
      <c r="L614" s="194" t="s">
        <v>265</v>
      </c>
      <c r="M614" s="194" t="s">
        <v>175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850"/>
      <c r="AB614" s="211"/>
      <c r="AC614" s="594"/>
      <c r="AD614" s="594"/>
    </row>
    <row r="615" spans="1:30" s="808" customFormat="1" ht="15.75" customHeight="1">
      <c r="A615" s="204" t="str">
        <f>IF(B615&lt;&gt;"",IF(AND(B615&gt;=_TM1,B615&lt;=_TM2,OR(TH!L615="1111",TH!M615="1111")),TH!D615,""),"")</f>
        <v/>
      </c>
      <c r="B615" s="36">
        <f t="shared" si="169"/>
        <v>4</v>
      </c>
      <c r="C615" s="191">
        <f t="shared" si="170"/>
        <v>41380</v>
      </c>
      <c r="D615" s="184" t="s">
        <v>1055</v>
      </c>
      <c r="E615" s="191">
        <v>41380</v>
      </c>
      <c r="F615" s="192" t="s">
        <v>724</v>
      </c>
      <c r="G615" s="487" t="s">
        <v>802</v>
      </c>
      <c r="H615" s="193" t="s">
        <v>520</v>
      </c>
      <c r="I615" s="256"/>
      <c r="J615" s="256"/>
      <c r="K615" s="38">
        <v>684320</v>
      </c>
      <c r="L615" s="194" t="s">
        <v>265</v>
      </c>
      <c r="M615" s="194" t="s">
        <v>429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850"/>
      <c r="AB615" s="211"/>
      <c r="AC615" s="594" t="str">
        <f t="shared" si="164"/>
        <v/>
      </c>
      <c r="AD615" s="594"/>
    </row>
    <row r="616" spans="1:30" s="808" customFormat="1" ht="15.75" customHeight="1">
      <c r="A616" s="204" t="str">
        <f>IF(B616&lt;&gt;"",IF(AND(B616&gt;=_TM1,B616&lt;=_TM2,OR(TH!L616="1111",TH!M616="1111")),TH!D616,""),"")</f>
        <v/>
      </c>
      <c r="B616" s="36">
        <f t="shared" ref="B616" si="187">IF(C616&lt;&gt;"",MONTH(C616),"")</f>
        <v>4</v>
      </c>
      <c r="C616" s="191">
        <f t="shared" ref="C616" si="188">E616</f>
        <v>41380</v>
      </c>
      <c r="D616" s="184" t="s">
        <v>1055</v>
      </c>
      <c r="E616" s="191">
        <v>41380</v>
      </c>
      <c r="F616" s="189" t="s">
        <v>341</v>
      </c>
      <c r="G616" s="487" t="s">
        <v>802</v>
      </c>
      <c r="H616" s="193" t="s">
        <v>520</v>
      </c>
      <c r="I616" s="256"/>
      <c r="J616" s="256"/>
      <c r="K616" s="38">
        <v>7527520</v>
      </c>
      <c r="L616" s="194" t="s">
        <v>47</v>
      </c>
      <c r="M616" s="194" t="s">
        <v>265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>x</v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850"/>
      <c r="AB616" s="211"/>
      <c r="AC616" s="594" t="str">
        <f t="shared" ref="AC616" si="189">IF(VLOOKUP(H616,DS_131,1,0)&lt;&gt;"","","x")</f>
        <v/>
      </c>
      <c r="AD616" s="594"/>
    </row>
    <row r="617" spans="1:30" s="808" customFormat="1" ht="15.75" customHeight="1">
      <c r="A617" s="204" t="str">
        <f>IF(B617&lt;&gt;"",IF(AND(B617&gt;=_TM1,B617&lt;=_TM2,OR(TH!L617="1111",TH!M617="1111")),TH!D617,""),"")</f>
        <v/>
      </c>
      <c r="B617" s="36">
        <f t="shared" si="169"/>
        <v>4</v>
      </c>
      <c r="C617" s="191">
        <f t="shared" si="170"/>
        <v>41381</v>
      </c>
      <c r="D617" s="184" t="s">
        <v>1056</v>
      </c>
      <c r="E617" s="191">
        <v>41381</v>
      </c>
      <c r="F617" s="192" t="s">
        <v>739</v>
      </c>
      <c r="G617" s="487" t="s">
        <v>482</v>
      </c>
      <c r="H617" s="193" t="s">
        <v>741</v>
      </c>
      <c r="I617" s="256">
        <v>670</v>
      </c>
      <c r="J617" s="256">
        <v>8000</v>
      </c>
      <c r="K617" s="38">
        <f>ROUND(I617*J617,0)</f>
        <v>5360000</v>
      </c>
      <c r="L617" s="194" t="s">
        <v>265</v>
      </c>
      <c r="M617" s="194" t="s">
        <v>175</v>
      </c>
      <c r="N617" s="52" t="str">
        <f>IF(AND('331-CT'!$E$7=TH!H617,OR(L617="331",M617="331")),"331",IF(AND(OR(L617="131",M617="131"),H617='131-CT'!$E$7),"131",""))</f>
        <v>131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850"/>
      <c r="AB617" s="211"/>
      <c r="AC617" s="594"/>
      <c r="AD617" s="198"/>
    </row>
    <row r="618" spans="1:30" s="808" customFormat="1" ht="15.75" customHeight="1">
      <c r="A618" s="204" t="str">
        <f>IF(B618&lt;&gt;"",IF(AND(B618&gt;=_TM1,B618&lt;=_TM2,OR(TH!L618="1111",TH!M618="1111")),TH!D618,""),"")</f>
        <v/>
      </c>
      <c r="B618" s="36">
        <f t="shared" si="169"/>
        <v>4</v>
      </c>
      <c r="C618" s="191">
        <f t="shared" si="170"/>
        <v>41381</v>
      </c>
      <c r="D618" s="184" t="s">
        <v>1056</v>
      </c>
      <c r="E618" s="191">
        <v>41381</v>
      </c>
      <c r="F618" s="192" t="s">
        <v>724</v>
      </c>
      <c r="G618" s="487" t="s">
        <v>482</v>
      </c>
      <c r="H618" s="193" t="s">
        <v>741</v>
      </c>
      <c r="I618" s="256"/>
      <c r="J618" s="256"/>
      <c r="K618" s="38">
        <v>536000</v>
      </c>
      <c r="L618" s="194" t="s">
        <v>265</v>
      </c>
      <c r="M618" s="194" t="s">
        <v>429</v>
      </c>
      <c r="N618" s="52" t="str">
        <f>IF(AND('331-CT'!$E$7=TH!H618,OR(L618="331",M618="331")),"331",IF(AND(OR(L618="131",M618="131"),H618='131-CT'!$E$7),"131",""))</f>
        <v>131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850"/>
      <c r="AB618" s="211"/>
      <c r="AC618" s="594" t="str">
        <f t="shared" si="164"/>
        <v/>
      </c>
      <c r="AD618" s="198"/>
    </row>
    <row r="619" spans="1:30" s="808" customFormat="1" ht="15.75" customHeight="1">
      <c r="A619" s="204" t="str">
        <f>IF(B619&lt;&gt;"",IF(AND(B619&gt;=_TM1,B619&lt;=_TM2,OR(TH!L619="1111",TH!M619="1111")),TH!D619,""),"")</f>
        <v/>
      </c>
      <c r="B619" s="36">
        <f t="shared" ref="B619" si="190">IF(C619&lt;&gt;"",MONTH(C619),"")</f>
        <v>4</v>
      </c>
      <c r="C619" s="191">
        <f t="shared" ref="C619" si="191">E619</f>
        <v>41381</v>
      </c>
      <c r="D619" s="184" t="s">
        <v>1056</v>
      </c>
      <c r="E619" s="191">
        <v>41381</v>
      </c>
      <c r="F619" s="189" t="s">
        <v>341</v>
      </c>
      <c r="G619" s="487" t="s">
        <v>482</v>
      </c>
      <c r="H619" s="193" t="s">
        <v>741</v>
      </c>
      <c r="I619" s="256"/>
      <c r="J619" s="256"/>
      <c r="K619" s="38">
        <v>5896000</v>
      </c>
      <c r="L619" s="194" t="s">
        <v>47</v>
      </c>
      <c r="M619" s="194" t="s">
        <v>265</v>
      </c>
      <c r="N619" s="52" t="str">
        <f>IF(AND('331-CT'!$E$7=TH!H619,OR(L619="331",M619="331")),"331",IF(AND(OR(L619="131",M619="131"),H619='131-CT'!$E$7),"131",""))</f>
        <v>131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>x</v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50"/>
      <c r="AB619" s="211"/>
      <c r="AC619" s="594" t="str">
        <f t="shared" ref="AC619" si="192">IF(VLOOKUP(H619,DS_131,1,0)&lt;&gt;"","","x")</f>
        <v/>
      </c>
      <c r="AD619" s="198"/>
    </row>
    <row r="620" spans="1:30" s="808" customFormat="1" ht="15.75" customHeight="1">
      <c r="A620" s="204" t="str">
        <f>IF(B620&lt;&gt;"",IF(AND(B620&gt;=_TM1,B620&lt;=_TM2,OR(TH!L620="1111",TH!M620="1111")),TH!D620,""),"")</f>
        <v/>
      </c>
      <c r="B620" s="36">
        <f t="shared" si="169"/>
        <v>4</v>
      </c>
      <c r="C620" s="191">
        <f t="shared" si="170"/>
        <v>41387</v>
      </c>
      <c r="D620" s="184" t="s">
        <v>1057</v>
      </c>
      <c r="E620" s="191">
        <v>41387</v>
      </c>
      <c r="F620" s="192" t="s">
        <v>803</v>
      </c>
      <c r="G620" s="487" t="s">
        <v>804</v>
      </c>
      <c r="H620" s="193" t="s">
        <v>805</v>
      </c>
      <c r="I620" s="256">
        <v>514</v>
      </c>
      <c r="J620" s="256">
        <v>8700</v>
      </c>
      <c r="K620" s="38">
        <f t="shared" ref="K620:K621" si="193">ROUND(I620*J620,0)</f>
        <v>4471800</v>
      </c>
      <c r="L620" s="194" t="s">
        <v>265</v>
      </c>
      <c r="M620" s="194" t="s">
        <v>175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50"/>
      <c r="AB620" s="211"/>
      <c r="AC620" s="594"/>
      <c r="AD620" s="198"/>
    </row>
    <row r="621" spans="1:30" s="808" customFormat="1" ht="15.75" customHeight="1">
      <c r="A621" s="204" t="str">
        <f>IF(B621&lt;&gt;"",IF(AND(B621&gt;=_TM1,B621&lt;=_TM2,OR(TH!L621="1111",TH!M621="1111")),TH!D621,""),"")</f>
        <v/>
      </c>
      <c r="B621" s="36">
        <f t="shared" si="169"/>
        <v>4</v>
      </c>
      <c r="C621" s="191">
        <f t="shared" si="170"/>
        <v>41387</v>
      </c>
      <c r="D621" s="184" t="s">
        <v>1057</v>
      </c>
      <c r="E621" s="191">
        <v>41387</v>
      </c>
      <c r="F621" s="192" t="s">
        <v>806</v>
      </c>
      <c r="G621" s="487" t="s">
        <v>804</v>
      </c>
      <c r="H621" s="193" t="s">
        <v>805</v>
      </c>
      <c r="I621" s="257">
        <v>520</v>
      </c>
      <c r="J621" s="257">
        <v>9100</v>
      </c>
      <c r="K621" s="38">
        <f t="shared" si="193"/>
        <v>4732000</v>
      </c>
      <c r="L621" s="194" t="s">
        <v>265</v>
      </c>
      <c r="M621" s="194" t="s">
        <v>175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50"/>
      <c r="AB621" s="211"/>
      <c r="AC621" s="594"/>
      <c r="AD621" s="198"/>
    </row>
    <row r="622" spans="1:30" s="808" customFormat="1" ht="15.75" customHeight="1">
      <c r="A622" s="204" t="str">
        <f>IF(B622&lt;&gt;"",IF(AND(B622&gt;=_TM1,B622&lt;=_TM2,OR(TH!L622="1111",TH!M622="1111")),TH!D622,""),"")</f>
        <v/>
      </c>
      <c r="B622" s="36">
        <f t="shared" si="169"/>
        <v>4</v>
      </c>
      <c r="C622" s="191">
        <f t="shared" si="170"/>
        <v>41387</v>
      </c>
      <c r="D622" s="184" t="s">
        <v>1057</v>
      </c>
      <c r="E622" s="191">
        <v>41387</v>
      </c>
      <c r="F622" s="192" t="s">
        <v>724</v>
      </c>
      <c r="G622" s="487" t="s">
        <v>804</v>
      </c>
      <c r="H622" s="193" t="s">
        <v>805</v>
      </c>
      <c r="I622" s="256"/>
      <c r="J622" s="256"/>
      <c r="K622" s="38">
        <v>920380</v>
      </c>
      <c r="L622" s="194" t="s">
        <v>265</v>
      </c>
      <c r="M622" s="194" t="s">
        <v>429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850"/>
      <c r="AB622" s="211"/>
      <c r="AC622" s="594" t="str">
        <f t="shared" si="164"/>
        <v/>
      </c>
      <c r="AD622" s="198"/>
    </row>
    <row r="623" spans="1:30" s="808" customFormat="1" ht="15.75" customHeight="1">
      <c r="A623" s="204" t="str">
        <f>IF(B623&lt;&gt;"",IF(AND(B623&gt;=_TM1,B623&lt;=_TM2,OR(TH!L623="1111",TH!M623="1111")),TH!D623,""),"")</f>
        <v/>
      </c>
      <c r="B623" s="36">
        <f t="shared" ref="B623" si="194">IF(C623&lt;&gt;"",MONTH(C623),"")</f>
        <v>4</v>
      </c>
      <c r="C623" s="191">
        <f t="shared" ref="C623" si="195">E623</f>
        <v>41387</v>
      </c>
      <c r="D623" s="184" t="s">
        <v>1057</v>
      </c>
      <c r="E623" s="191">
        <v>41387</v>
      </c>
      <c r="F623" s="189" t="s">
        <v>341</v>
      </c>
      <c r="G623" s="487" t="s">
        <v>804</v>
      </c>
      <c r="H623" s="193" t="s">
        <v>805</v>
      </c>
      <c r="I623" s="256"/>
      <c r="J623" s="256"/>
      <c r="K623" s="38">
        <v>10124180</v>
      </c>
      <c r="L623" s="194" t="s">
        <v>47</v>
      </c>
      <c r="M623" s="194" t="s">
        <v>265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>x</v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850"/>
      <c r="AB623" s="211"/>
      <c r="AC623" s="594" t="str">
        <f t="shared" ref="AC623" si="196">IF(VLOOKUP(H623,DS_131,1,0)&lt;&gt;"","","x")</f>
        <v/>
      </c>
      <c r="AD623" s="198"/>
    </row>
    <row r="624" spans="1:30" s="808" customFormat="1" ht="15.75" customHeight="1">
      <c r="A624" s="204" t="str">
        <f>IF(B624&lt;&gt;"",IF(AND(B624&gt;=_TM1,B624&lt;=_TM2,OR(TH!L624="1111",TH!M624="1111")),TH!D624,""),"")</f>
        <v/>
      </c>
      <c r="B624" s="36">
        <f t="shared" si="169"/>
        <v>4</v>
      </c>
      <c r="C624" s="191">
        <f t="shared" si="170"/>
        <v>41388</v>
      </c>
      <c r="D624" s="184" t="s">
        <v>1058</v>
      </c>
      <c r="E624" s="191">
        <v>41388</v>
      </c>
      <c r="F624" s="192" t="s">
        <v>1139</v>
      </c>
      <c r="G624" s="487" t="s">
        <v>807</v>
      </c>
      <c r="H624" s="7" t="s">
        <v>788</v>
      </c>
      <c r="I624" s="256">
        <v>100</v>
      </c>
      <c r="J624" s="256">
        <v>16610</v>
      </c>
      <c r="K624" s="38">
        <f t="shared" ref="K624:K625" si="197">ROUND(I624*J624,0)</f>
        <v>1661000</v>
      </c>
      <c r="L624" s="194" t="s">
        <v>265</v>
      </c>
      <c r="M624" s="194" t="s">
        <v>175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850"/>
      <c r="AB624" s="211"/>
      <c r="AC624" s="594"/>
      <c r="AD624" s="198"/>
    </row>
    <row r="625" spans="1:30" s="808" customFormat="1" ht="15.75" customHeight="1">
      <c r="A625" s="204" t="str">
        <f>IF(B625&lt;&gt;"",IF(AND(B625&gt;=_TM1,B625&lt;=_TM2,OR(TH!L625="1111",TH!M625="1111")),TH!D625,""),"")</f>
        <v/>
      </c>
      <c r="B625" s="36">
        <f t="shared" si="169"/>
        <v>4</v>
      </c>
      <c r="C625" s="191">
        <f t="shared" si="170"/>
        <v>41388</v>
      </c>
      <c r="D625" s="184" t="s">
        <v>1058</v>
      </c>
      <c r="E625" s="191">
        <v>41388</v>
      </c>
      <c r="F625" s="192" t="s">
        <v>1145</v>
      </c>
      <c r="G625" s="487" t="s">
        <v>807</v>
      </c>
      <c r="H625" s="7" t="s">
        <v>788</v>
      </c>
      <c r="I625" s="256">
        <v>99</v>
      </c>
      <c r="J625" s="256">
        <v>15180</v>
      </c>
      <c r="K625" s="38">
        <f t="shared" si="197"/>
        <v>1502820</v>
      </c>
      <c r="L625" s="194" t="s">
        <v>265</v>
      </c>
      <c r="M625" s="194" t="s">
        <v>175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850"/>
      <c r="AB625" s="211"/>
      <c r="AC625" s="594"/>
      <c r="AD625" s="198"/>
    </row>
    <row r="626" spans="1:30" s="808" customFormat="1" ht="15.75" customHeight="1">
      <c r="A626" s="204" t="str">
        <f>IF(B626&lt;&gt;"",IF(AND(B626&gt;=_TM1,B626&lt;=_TM2,OR(TH!L626="1111",TH!M626="1111")),TH!D626,""),"")</f>
        <v/>
      </c>
      <c r="B626" s="36">
        <f t="shared" si="169"/>
        <v>4</v>
      </c>
      <c r="C626" s="191">
        <f t="shared" si="170"/>
        <v>41388</v>
      </c>
      <c r="D626" s="184" t="s">
        <v>1058</v>
      </c>
      <c r="E626" s="191">
        <v>41388</v>
      </c>
      <c r="F626" s="192" t="s">
        <v>724</v>
      </c>
      <c r="G626" s="487" t="s">
        <v>807</v>
      </c>
      <c r="H626" s="7" t="s">
        <v>788</v>
      </c>
      <c r="I626" s="256"/>
      <c r="J626" s="256"/>
      <c r="K626" s="882">
        <v>316382</v>
      </c>
      <c r="L626" s="194" t="s">
        <v>265</v>
      </c>
      <c r="M626" s="194" t="s">
        <v>429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850"/>
      <c r="AB626" s="211"/>
      <c r="AC626" s="594" t="str">
        <f t="shared" si="164"/>
        <v/>
      </c>
      <c r="AD626" s="198"/>
    </row>
    <row r="627" spans="1:30" s="808" customFormat="1" ht="15.75" customHeight="1">
      <c r="A627" s="204" t="str">
        <f>IF(B627&lt;&gt;"",IF(AND(B627&gt;=_TM1,B627&lt;=_TM2,OR(TH!L627="1111",TH!M627="1111")),TH!D627,""),"")</f>
        <v/>
      </c>
      <c r="B627" s="36">
        <f t="shared" si="169"/>
        <v>4</v>
      </c>
      <c r="C627" s="191">
        <f t="shared" si="170"/>
        <v>41388</v>
      </c>
      <c r="D627" s="184" t="s">
        <v>1059</v>
      </c>
      <c r="E627" s="191">
        <v>41388</v>
      </c>
      <c r="F627" s="192" t="s">
        <v>808</v>
      </c>
      <c r="G627" s="487" t="s">
        <v>809</v>
      </c>
      <c r="H627" s="7" t="s">
        <v>530</v>
      </c>
      <c r="I627" s="256">
        <v>200</v>
      </c>
      <c r="J627" s="256">
        <v>6665</v>
      </c>
      <c r="K627" s="38">
        <f t="shared" ref="K627:K628" si="198">ROUND(I627*J627,0)</f>
        <v>1333000</v>
      </c>
      <c r="L627" s="194" t="s">
        <v>265</v>
      </c>
      <c r="M627" s="194" t="s">
        <v>175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850"/>
      <c r="AB627" s="211"/>
      <c r="AC627" s="594"/>
      <c r="AD627" s="198"/>
    </row>
    <row r="628" spans="1:30" s="808" customFormat="1" ht="15.75" customHeight="1">
      <c r="A628" s="204" t="str">
        <f>IF(B628&lt;&gt;"",IF(AND(B628&gt;=_TM1,B628&lt;=_TM2,OR(TH!L628="1111",TH!M628="1111")),TH!D628,""),"")</f>
        <v/>
      </c>
      <c r="B628" s="36">
        <f t="shared" si="169"/>
        <v>4</v>
      </c>
      <c r="C628" s="191">
        <f t="shared" si="170"/>
        <v>41388</v>
      </c>
      <c r="D628" s="184" t="s">
        <v>1059</v>
      </c>
      <c r="E628" s="191">
        <v>41388</v>
      </c>
      <c r="F628" s="192" t="s">
        <v>810</v>
      </c>
      <c r="G628" s="487" t="s">
        <v>809</v>
      </c>
      <c r="H628" s="7" t="s">
        <v>530</v>
      </c>
      <c r="I628" s="257">
        <v>204</v>
      </c>
      <c r="J628" s="257">
        <v>5685</v>
      </c>
      <c r="K628" s="38">
        <f t="shared" si="198"/>
        <v>1159740</v>
      </c>
      <c r="L628" s="194" t="s">
        <v>265</v>
      </c>
      <c r="M628" s="194" t="s">
        <v>175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850"/>
      <c r="AB628" s="211"/>
      <c r="AC628" s="594"/>
      <c r="AD628" s="198"/>
    </row>
    <row r="629" spans="1:30" s="808" customFormat="1" ht="15.75" customHeight="1">
      <c r="A629" s="204" t="str">
        <f>IF(B629&lt;&gt;"",IF(AND(B629&gt;=_TM1,B629&lt;=_TM2,OR(TH!L629="1111",TH!M629="1111")),TH!D629,""),"")</f>
        <v/>
      </c>
      <c r="B629" s="36">
        <f t="shared" si="169"/>
        <v>4</v>
      </c>
      <c r="C629" s="191">
        <f t="shared" si="170"/>
        <v>41388</v>
      </c>
      <c r="D629" s="184" t="s">
        <v>1059</v>
      </c>
      <c r="E629" s="191">
        <v>41388</v>
      </c>
      <c r="F629" s="192" t="s">
        <v>724</v>
      </c>
      <c r="G629" s="487" t="s">
        <v>809</v>
      </c>
      <c r="H629" s="7" t="s">
        <v>530</v>
      </c>
      <c r="I629" s="256"/>
      <c r="J629" s="256"/>
      <c r="K629" s="38">
        <v>249274</v>
      </c>
      <c r="L629" s="194" t="s">
        <v>265</v>
      </c>
      <c r="M629" s="194" t="s">
        <v>429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850"/>
      <c r="AB629" s="211"/>
      <c r="AC629" s="594" t="str">
        <f t="shared" si="164"/>
        <v/>
      </c>
      <c r="AD629" s="198"/>
    </row>
    <row r="630" spans="1:30" s="808" customFormat="1" ht="15.75" customHeight="1">
      <c r="A630" s="204" t="str">
        <f>IF(B630&lt;&gt;"",IF(AND(B630&gt;=_TM1,B630&lt;=_TM2,OR(TH!L630="1111",TH!M630="1111")),TH!D630,""),"")</f>
        <v/>
      </c>
      <c r="B630" s="36">
        <f t="shared" ref="B630" si="199">IF(C630&lt;&gt;"",MONTH(C630),"")</f>
        <v>4</v>
      </c>
      <c r="C630" s="191">
        <f t="shared" ref="C630" si="200">E630</f>
        <v>41388</v>
      </c>
      <c r="D630" s="184" t="s">
        <v>1059</v>
      </c>
      <c r="E630" s="191">
        <v>41388</v>
      </c>
      <c r="F630" s="189" t="s">
        <v>341</v>
      </c>
      <c r="G630" s="487" t="s">
        <v>809</v>
      </c>
      <c r="H630" s="7" t="s">
        <v>530</v>
      </c>
      <c r="I630" s="256"/>
      <c r="J630" s="256"/>
      <c r="K630" s="38">
        <v>2742014</v>
      </c>
      <c r="L630" s="194" t="s">
        <v>47</v>
      </c>
      <c r="M630" s="194" t="s">
        <v>265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>x</v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850"/>
      <c r="AB630" s="211"/>
      <c r="AC630" s="594" t="str">
        <f t="shared" ref="AC630" si="201">IF(VLOOKUP(H630,DS_131,1,0)&lt;&gt;"","","x")</f>
        <v/>
      </c>
      <c r="AD630" s="198"/>
    </row>
    <row r="631" spans="1:30" s="808" customFormat="1" ht="15.75" customHeight="1">
      <c r="A631" s="204" t="str">
        <f>IF(B631&lt;&gt;"",IF(AND(B631&gt;=_TM1,B631&lt;=_TM2,OR(TH!L631="1111",TH!M631="1111")),TH!D631,""),"")</f>
        <v/>
      </c>
      <c r="B631" s="36">
        <f t="shared" si="169"/>
        <v>4</v>
      </c>
      <c r="C631" s="191">
        <f t="shared" si="170"/>
        <v>41389</v>
      </c>
      <c r="D631" s="184" t="s">
        <v>1060</v>
      </c>
      <c r="E631" s="191">
        <v>41389</v>
      </c>
      <c r="F631" s="192" t="s">
        <v>1135</v>
      </c>
      <c r="G631" s="192" t="s">
        <v>811</v>
      </c>
      <c r="H631" s="7" t="s">
        <v>431</v>
      </c>
      <c r="I631" s="256">
        <v>4080</v>
      </c>
      <c r="J631" s="256">
        <v>6350</v>
      </c>
      <c r="K631" s="38">
        <f>ROUND(I631*J631,0)</f>
        <v>25908000</v>
      </c>
      <c r="L631" s="194" t="s">
        <v>265</v>
      </c>
      <c r="M631" s="194" t="s">
        <v>175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850"/>
      <c r="AB631" s="211"/>
      <c r="AC631" s="594"/>
      <c r="AD631" s="198"/>
    </row>
    <row r="632" spans="1:30" s="808" customFormat="1" ht="15.75" customHeight="1">
      <c r="A632" s="204" t="str">
        <f>IF(B632&lt;&gt;"",IF(AND(B632&gt;=_TM1,B632&lt;=_TM2,OR(TH!L632="1111",TH!M632="1111")),TH!D632,""),"")</f>
        <v/>
      </c>
      <c r="B632" s="36">
        <f t="shared" si="169"/>
        <v>4</v>
      </c>
      <c r="C632" s="191">
        <f t="shared" si="170"/>
        <v>41389</v>
      </c>
      <c r="D632" s="184" t="s">
        <v>1060</v>
      </c>
      <c r="E632" s="191">
        <v>41389</v>
      </c>
      <c r="F632" s="192" t="s">
        <v>724</v>
      </c>
      <c r="G632" s="192" t="s">
        <v>811</v>
      </c>
      <c r="H632" s="7" t="s">
        <v>431</v>
      </c>
      <c r="I632" s="256"/>
      <c r="J632" s="256"/>
      <c r="K632" s="38">
        <v>2590800</v>
      </c>
      <c r="L632" s="194" t="s">
        <v>265</v>
      </c>
      <c r="M632" s="194" t="s">
        <v>429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850"/>
      <c r="AB632" s="211"/>
      <c r="AC632" s="594" t="str">
        <f t="shared" si="164"/>
        <v/>
      </c>
      <c r="AD632" s="198"/>
    </row>
    <row r="633" spans="1:30" s="808" customFormat="1" ht="15.75" customHeight="1">
      <c r="A633" s="204" t="str">
        <f>IF(B633&lt;&gt;"",IF(AND(B633&gt;=_TM1,B633&lt;=_TM2,OR(TH!L633="1111",TH!M633="1111")),TH!D633,""),"")</f>
        <v/>
      </c>
      <c r="B633" s="36">
        <f t="shared" si="169"/>
        <v>4</v>
      </c>
      <c r="C633" s="191">
        <f t="shared" si="170"/>
        <v>41391</v>
      </c>
      <c r="D633" s="184" t="s">
        <v>1061</v>
      </c>
      <c r="E633" s="191">
        <v>41391</v>
      </c>
      <c r="F633" s="192" t="s">
        <v>812</v>
      </c>
      <c r="G633" s="192" t="s">
        <v>813</v>
      </c>
      <c r="H633" s="7" t="s">
        <v>541</v>
      </c>
      <c r="I633" s="256">
        <v>310</v>
      </c>
      <c r="J633" s="256">
        <v>10300</v>
      </c>
      <c r="K633" s="38">
        <f t="shared" ref="K633:K634" si="202">ROUND(I633*J633,0)</f>
        <v>3193000</v>
      </c>
      <c r="L633" s="194" t="s">
        <v>265</v>
      </c>
      <c r="M633" s="194" t="s">
        <v>175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850"/>
      <c r="AB633" s="211"/>
      <c r="AC633" s="594"/>
      <c r="AD633" s="198"/>
    </row>
    <row r="634" spans="1:30" s="808" customFormat="1" ht="15.75" customHeight="1">
      <c r="A634" s="204" t="str">
        <f>IF(B634&lt;&gt;"",IF(AND(B634&gt;=_TM1,B634&lt;=_TM2,OR(TH!L634="1111",TH!M634="1111")),TH!D634,""),"")</f>
        <v/>
      </c>
      <c r="B634" s="36">
        <f t="shared" si="169"/>
        <v>4</v>
      </c>
      <c r="C634" s="191">
        <f t="shared" si="170"/>
        <v>41391</v>
      </c>
      <c r="D634" s="184" t="s">
        <v>1061</v>
      </c>
      <c r="E634" s="191">
        <v>41391</v>
      </c>
      <c r="F634" s="192" t="s">
        <v>814</v>
      </c>
      <c r="G634" s="192" t="s">
        <v>813</v>
      </c>
      <c r="H634" s="7" t="s">
        <v>541</v>
      </c>
      <c r="I634" s="256">
        <v>225</v>
      </c>
      <c r="J634" s="256">
        <v>8800</v>
      </c>
      <c r="K634" s="38">
        <f t="shared" si="202"/>
        <v>1980000</v>
      </c>
      <c r="L634" s="194" t="s">
        <v>265</v>
      </c>
      <c r="M634" s="194" t="s">
        <v>175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850"/>
      <c r="AB634" s="211"/>
      <c r="AC634" s="594"/>
      <c r="AD634" s="198"/>
    </row>
    <row r="635" spans="1:30" s="808" customFormat="1" ht="15.75" customHeight="1">
      <c r="A635" s="204" t="str">
        <f>IF(B635&lt;&gt;"",IF(AND(B635&gt;=_TM1,B635&lt;=_TM2,OR(TH!L635="1111",TH!M635="1111")),TH!D635,""),"")</f>
        <v/>
      </c>
      <c r="B635" s="36">
        <f t="shared" si="169"/>
        <v>4</v>
      </c>
      <c r="C635" s="191">
        <f t="shared" si="170"/>
        <v>41391</v>
      </c>
      <c r="D635" s="184" t="s">
        <v>1061</v>
      </c>
      <c r="E635" s="191">
        <v>41391</v>
      </c>
      <c r="F635" s="192" t="s">
        <v>724</v>
      </c>
      <c r="G635" s="192" t="s">
        <v>813</v>
      </c>
      <c r="H635" s="7" t="s">
        <v>541</v>
      </c>
      <c r="I635" s="256"/>
      <c r="J635" s="256"/>
      <c r="K635" s="38">
        <v>517300</v>
      </c>
      <c r="L635" s="194" t="s">
        <v>265</v>
      </c>
      <c r="M635" s="194" t="s">
        <v>429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850"/>
      <c r="AB635" s="211"/>
      <c r="AC635" s="594" t="str">
        <f t="shared" si="164"/>
        <v/>
      </c>
      <c r="AD635" s="198"/>
    </row>
    <row r="636" spans="1:30" s="808" customFormat="1" ht="15.75" customHeight="1">
      <c r="A636" s="204" t="str">
        <f>IF(B636&lt;&gt;"",IF(AND(B636&gt;=_TM1,B636&lt;=_TM2,OR(TH!L636="1111",TH!M636="1111")),TH!D636,""),"")</f>
        <v/>
      </c>
      <c r="B636" s="36">
        <f t="shared" si="169"/>
        <v>5</v>
      </c>
      <c r="C636" s="191">
        <f t="shared" si="170"/>
        <v>41400</v>
      </c>
      <c r="D636" s="184" t="s">
        <v>1061</v>
      </c>
      <c r="E636" s="191">
        <v>41400</v>
      </c>
      <c r="F636" s="192" t="s">
        <v>815</v>
      </c>
      <c r="G636" s="192" t="s">
        <v>816</v>
      </c>
      <c r="H636" s="7" t="s">
        <v>1111</v>
      </c>
      <c r="I636" s="256">
        <v>514</v>
      </c>
      <c r="J636" s="256">
        <v>17300</v>
      </c>
      <c r="K636" s="38">
        <f t="shared" ref="K636:K637" si="203">ROUND(I636*J636,0)</f>
        <v>8892200</v>
      </c>
      <c r="L636" s="194" t="s">
        <v>265</v>
      </c>
      <c r="M636" s="194" t="s">
        <v>175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850"/>
      <c r="AB636" s="211"/>
      <c r="AC636" s="594"/>
      <c r="AD636" s="198"/>
    </row>
    <row r="637" spans="1:30" s="808" customFormat="1" ht="15.75" customHeight="1">
      <c r="A637" s="204" t="str">
        <f>IF(B637&lt;&gt;"",IF(AND(B637&gt;=_TM1,B637&lt;=_TM2,OR(TH!L637="1111",TH!M637="1111")),TH!D637,""),"")</f>
        <v/>
      </c>
      <c r="B637" s="809">
        <f t="shared" si="169"/>
        <v>5</v>
      </c>
      <c r="C637" s="191">
        <f t="shared" si="170"/>
        <v>41400</v>
      </c>
      <c r="D637" s="184" t="s">
        <v>1061</v>
      </c>
      <c r="E637" s="191">
        <v>41400</v>
      </c>
      <c r="F637" s="192" t="s">
        <v>817</v>
      </c>
      <c r="G637" s="192" t="s">
        <v>816</v>
      </c>
      <c r="H637" s="7" t="s">
        <v>1111</v>
      </c>
      <c r="I637" s="256">
        <v>1000</v>
      </c>
      <c r="J637" s="256">
        <v>1500</v>
      </c>
      <c r="K637" s="38">
        <f t="shared" si="203"/>
        <v>1500000</v>
      </c>
      <c r="L637" s="194" t="s">
        <v>265</v>
      </c>
      <c r="M637" s="194" t="s">
        <v>175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850"/>
      <c r="AB637" s="211"/>
      <c r="AC637" s="594"/>
      <c r="AD637" s="810"/>
    </row>
    <row r="638" spans="1:30" s="808" customFormat="1" ht="15.75" customHeight="1">
      <c r="A638" s="204" t="str">
        <f>IF(B638&lt;&gt;"",IF(AND(B638&gt;=_TM1,B638&lt;=_TM2,OR(TH!L638="1111",TH!M638="1111")),TH!D638,""),"")</f>
        <v/>
      </c>
      <c r="B638" s="36">
        <f t="shared" si="169"/>
        <v>5</v>
      </c>
      <c r="C638" s="191">
        <f t="shared" si="170"/>
        <v>41400</v>
      </c>
      <c r="D638" s="184" t="s">
        <v>1061</v>
      </c>
      <c r="E638" s="191">
        <v>41400</v>
      </c>
      <c r="F638" s="192" t="s">
        <v>724</v>
      </c>
      <c r="G638" s="192" t="s">
        <v>816</v>
      </c>
      <c r="H638" s="7" t="s">
        <v>1111</v>
      </c>
      <c r="I638" s="256"/>
      <c r="J638" s="256"/>
      <c r="K638" s="38">
        <v>1039220</v>
      </c>
      <c r="L638" s="194" t="s">
        <v>265</v>
      </c>
      <c r="M638" s="194" t="s">
        <v>429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850"/>
      <c r="AB638" s="211"/>
      <c r="AC638" s="594" t="str">
        <f t="shared" si="164"/>
        <v/>
      </c>
      <c r="AD638" s="198"/>
    </row>
    <row r="639" spans="1:30" s="808" customFormat="1" ht="15.75" customHeight="1">
      <c r="A639" s="204" t="str">
        <f>IF(B639&lt;&gt;"",IF(AND(B639&gt;=_TM1,B639&lt;=_TM2,OR(TH!L639="1111",TH!M639="1111")),TH!D639,""),"")</f>
        <v/>
      </c>
      <c r="B639" s="36">
        <f t="shared" si="169"/>
        <v>5</v>
      </c>
      <c r="C639" s="191">
        <f t="shared" si="170"/>
        <v>41401</v>
      </c>
      <c r="D639" s="184" t="s">
        <v>1062</v>
      </c>
      <c r="E639" s="191">
        <v>41401</v>
      </c>
      <c r="F639" s="192" t="s">
        <v>818</v>
      </c>
      <c r="G639" s="192" t="s">
        <v>819</v>
      </c>
      <c r="H639" s="7" t="s">
        <v>530</v>
      </c>
      <c r="I639" s="256">
        <v>500</v>
      </c>
      <c r="J639" s="256">
        <v>9260</v>
      </c>
      <c r="K639" s="38">
        <f>ROUND(I639*J639,0)</f>
        <v>4630000</v>
      </c>
      <c r="L639" s="194" t="s">
        <v>265</v>
      </c>
      <c r="M639" s="194" t="s">
        <v>175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850"/>
      <c r="AB639" s="211"/>
      <c r="AC639" s="594"/>
      <c r="AD639" s="198"/>
    </row>
    <row r="640" spans="1:30" s="808" customFormat="1" ht="15.75" customHeight="1">
      <c r="A640" s="204" t="str">
        <f>IF(B640&lt;&gt;"",IF(AND(B640&gt;=_TM1,B640&lt;=_TM2,OR(TH!L640="1111",TH!M640="1111")),TH!D640,""),"")</f>
        <v/>
      </c>
      <c r="B640" s="36">
        <f t="shared" si="169"/>
        <v>5</v>
      </c>
      <c r="C640" s="191">
        <f t="shared" si="170"/>
        <v>41401</v>
      </c>
      <c r="D640" s="184" t="s">
        <v>1062</v>
      </c>
      <c r="E640" s="191">
        <v>41401</v>
      </c>
      <c r="F640" s="192" t="s">
        <v>724</v>
      </c>
      <c r="G640" s="192" t="s">
        <v>819</v>
      </c>
      <c r="H640" s="7" t="s">
        <v>530</v>
      </c>
      <c r="I640" s="256"/>
      <c r="J640" s="256"/>
      <c r="K640" s="38">
        <v>460300</v>
      </c>
      <c r="L640" s="194" t="s">
        <v>265</v>
      </c>
      <c r="M640" s="194" t="s">
        <v>429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850"/>
      <c r="AB640" s="211"/>
      <c r="AC640" s="594" t="str">
        <f t="shared" si="164"/>
        <v/>
      </c>
      <c r="AD640" s="198"/>
    </row>
    <row r="641" spans="1:30" s="808" customFormat="1" ht="15.75" customHeight="1">
      <c r="A641" s="204" t="str">
        <f>IF(B641&lt;&gt;"",IF(AND(B641&gt;=_TM1,B641&lt;=_TM2,OR(TH!L641="1111",TH!M641="1111")),TH!D641,""),"")</f>
        <v/>
      </c>
      <c r="B641" s="36">
        <f t="shared" ref="B641" si="204">IF(C641&lt;&gt;"",MONTH(C641),"")</f>
        <v>5</v>
      </c>
      <c r="C641" s="191">
        <f t="shared" ref="C641" si="205">E641</f>
        <v>41401</v>
      </c>
      <c r="D641" s="184" t="s">
        <v>1062</v>
      </c>
      <c r="E641" s="191">
        <v>41401</v>
      </c>
      <c r="F641" s="189" t="s">
        <v>341</v>
      </c>
      <c r="G641" s="192" t="s">
        <v>819</v>
      </c>
      <c r="H641" s="7" t="s">
        <v>530</v>
      </c>
      <c r="I641" s="256"/>
      <c r="J641" s="256"/>
      <c r="K641" s="38">
        <v>5090300</v>
      </c>
      <c r="L641" s="194" t="s">
        <v>47</v>
      </c>
      <c r="M641" s="194" t="s">
        <v>265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>x</v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850"/>
      <c r="AB641" s="211"/>
      <c r="AC641" s="594" t="str">
        <f t="shared" ref="AC641" si="206">IF(VLOOKUP(H641,DS_131,1,0)&lt;&gt;"","","x")</f>
        <v/>
      </c>
      <c r="AD641" s="198"/>
    </row>
    <row r="642" spans="1:30" s="808" customFormat="1" ht="15.75" customHeight="1">
      <c r="A642" s="204" t="str">
        <f>IF(B642&lt;&gt;"",IF(AND(B642&gt;=_TM1,B642&lt;=_TM2,OR(TH!L642="1111",TH!M642="1111")),TH!D642,""),"")</f>
        <v/>
      </c>
      <c r="B642" s="36">
        <f t="shared" si="169"/>
        <v>5</v>
      </c>
      <c r="C642" s="191">
        <f t="shared" si="170"/>
        <v>41409</v>
      </c>
      <c r="D642" s="184" t="s">
        <v>1063</v>
      </c>
      <c r="E642" s="191">
        <v>41409</v>
      </c>
      <c r="F642" s="192" t="s">
        <v>812</v>
      </c>
      <c r="G642" s="192" t="s">
        <v>820</v>
      </c>
      <c r="H642" s="7" t="s">
        <v>541</v>
      </c>
      <c r="I642" s="256">
        <v>113</v>
      </c>
      <c r="J642" s="256">
        <v>10300</v>
      </c>
      <c r="K642" s="38">
        <f t="shared" ref="K642:K645" si="207">ROUND(I642*J642,0)</f>
        <v>1163900</v>
      </c>
      <c r="L642" s="194" t="s">
        <v>265</v>
      </c>
      <c r="M642" s="194" t="s">
        <v>175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850"/>
      <c r="AB642" s="211"/>
      <c r="AC642" s="594"/>
      <c r="AD642" s="594"/>
    </row>
    <row r="643" spans="1:30" s="808" customFormat="1" ht="15.75" customHeight="1">
      <c r="A643" s="204" t="str">
        <f>IF(B643&lt;&gt;"",IF(AND(B643&gt;=_TM1,B643&lt;=_TM2,OR(TH!L643="1111",TH!M643="1111")),TH!D643,""),"")</f>
        <v/>
      </c>
      <c r="B643" s="36">
        <f t="shared" si="169"/>
        <v>5</v>
      </c>
      <c r="C643" s="191">
        <f t="shared" si="170"/>
        <v>41409</v>
      </c>
      <c r="D643" s="184" t="s">
        <v>1063</v>
      </c>
      <c r="E643" s="191">
        <v>41409</v>
      </c>
      <c r="F643" s="192" t="s">
        <v>1129</v>
      </c>
      <c r="G643" s="192" t="s">
        <v>820</v>
      </c>
      <c r="H643" s="7" t="s">
        <v>541</v>
      </c>
      <c r="I643" s="256">
        <v>198</v>
      </c>
      <c r="J643" s="256">
        <v>6850</v>
      </c>
      <c r="K643" s="38">
        <f t="shared" si="207"/>
        <v>1356300</v>
      </c>
      <c r="L643" s="194" t="s">
        <v>265</v>
      </c>
      <c r="M643" s="194" t="s">
        <v>175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850"/>
      <c r="AB643" s="211"/>
      <c r="AC643" s="594"/>
      <c r="AD643" s="594"/>
    </row>
    <row r="644" spans="1:30" s="808" customFormat="1" ht="15.75" customHeight="1">
      <c r="A644" s="204" t="str">
        <f>IF(B644&lt;&gt;"",IF(AND(B644&gt;=_TM1,B644&lt;=_TM2,OR(TH!L644="1111",TH!M644="1111")),TH!D644,""),"")</f>
        <v/>
      </c>
      <c r="B644" s="36">
        <f t="shared" si="169"/>
        <v>5</v>
      </c>
      <c r="C644" s="191">
        <f t="shared" si="170"/>
        <v>41409</v>
      </c>
      <c r="D644" s="184" t="s">
        <v>1063</v>
      </c>
      <c r="E644" s="191">
        <v>41409</v>
      </c>
      <c r="F644" s="192" t="s">
        <v>1128</v>
      </c>
      <c r="G644" s="192" t="s">
        <v>820</v>
      </c>
      <c r="H644" s="7" t="s">
        <v>541</v>
      </c>
      <c r="I644" s="256">
        <v>104</v>
      </c>
      <c r="J644" s="256">
        <v>14100</v>
      </c>
      <c r="K644" s="38">
        <f t="shared" si="207"/>
        <v>1466400</v>
      </c>
      <c r="L644" s="194" t="s">
        <v>265</v>
      </c>
      <c r="M644" s="194" t="s">
        <v>175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850"/>
      <c r="AB644" s="211"/>
      <c r="AC644" s="594"/>
      <c r="AD644" s="198"/>
    </row>
    <row r="645" spans="1:30" s="808" customFormat="1" ht="15.75" customHeight="1">
      <c r="A645" s="204" t="str">
        <f>IF(B645&lt;&gt;"",IF(AND(B645&gt;=_TM1,B645&lt;=_TM2,OR(TH!L645="1111",TH!M645="1111")),TH!D645,""),"")</f>
        <v/>
      </c>
      <c r="B645" s="36">
        <f t="shared" si="169"/>
        <v>5</v>
      </c>
      <c r="C645" s="191">
        <f t="shared" si="170"/>
        <v>41409</v>
      </c>
      <c r="D645" s="184" t="s">
        <v>1063</v>
      </c>
      <c r="E645" s="191">
        <v>41409</v>
      </c>
      <c r="F645" s="192" t="s">
        <v>814</v>
      </c>
      <c r="G645" s="192" t="s">
        <v>820</v>
      </c>
      <c r="H645" s="7" t="s">
        <v>541</v>
      </c>
      <c r="I645" s="256">
        <v>211</v>
      </c>
      <c r="J645" s="256">
        <v>8800</v>
      </c>
      <c r="K645" s="38">
        <f t="shared" si="207"/>
        <v>1856800</v>
      </c>
      <c r="L645" s="194" t="s">
        <v>265</v>
      </c>
      <c r="M645" s="194" t="s">
        <v>175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850"/>
      <c r="AB645" s="211"/>
      <c r="AC645" s="594"/>
      <c r="AD645" s="198"/>
    </row>
    <row r="646" spans="1:30" s="808" customFormat="1" ht="15.75" customHeight="1">
      <c r="A646" s="204" t="str">
        <f>IF(B646&lt;&gt;"",IF(AND(B646&gt;=_TM1,B646&lt;=_TM2,OR(TH!L646="1111",TH!M646="1111")),TH!D646,""),"")</f>
        <v/>
      </c>
      <c r="B646" s="36">
        <f t="shared" si="169"/>
        <v>5</v>
      </c>
      <c r="C646" s="191">
        <f t="shared" si="170"/>
        <v>41409</v>
      </c>
      <c r="D646" s="184" t="s">
        <v>1063</v>
      </c>
      <c r="E646" s="191">
        <v>41409</v>
      </c>
      <c r="F646" s="192" t="s">
        <v>724</v>
      </c>
      <c r="G646" s="192" t="s">
        <v>820</v>
      </c>
      <c r="H646" s="7" t="s">
        <v>541</v>
      </c>
      <c r="I646" s="256"/>
      <c r="J646" s="256"/>
      <c r="K646" s="38">
        <v>584340</v>
      </c>
      <c r="L646" s="194" t="s">
        <v>265</v>
      </c>
      <c r="M646" s="194" t="s">
        <v>429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850"/>
      <c r="AB646" s="211"/>
      <c r="AC646" s="594" t="str">
        <f t="shared" ref="AC646:AC715" si="208">IF(VLOOKUP(H646,DS_131,1,0)&lt;&gt;"","","x")</f>
        <v/>
      </c>
      <c r="AD646" s="198"/>
    </row>
    <row r="647" spans="1:30" s="808" customFormat="1" ht="15.75" customHeight="1">
      <c r="A647" s="204" t="str">
        <f>IF(B647&lt;&gt;"",IF(AND(B647&gt;=_TM1,B647&lt;=_TM2,OR(TH!L647="1111",TH!M647="1111")),TH!D647,""),"")</f>
        <v/>
      </c>
      <c r="B647" s="36">
        <f t="shared" si="169"/>
        <v>5</v>
      </c>
      <c r="C647" s="191">
        <f t="shared" si="170"/>
        <v>41409</v>
      </c>
      <c r="D647" s="184" t="s">
        <v>1064</v>
      </c>
      <c r="E647" s="191">
        <v>41409</v>
      </c>
      <c r="F647" s="192" t="s">
        <v>481</v>
      </c>
      <c r="G647" s="487" t="s">
        <v>821</v>
      </c>
      <c r="H647" s="7" t="s">
        <v>822</v>
      </c>
      <c r="I647" s="256">
        <v>2000</v>
      </c>
      <c r="J647" s="256">
        <v>9000</v>
      </c>
      <c r="K647" s="38">
        <f>ROUND(I647*J647,0)</f>
        <v>18000000</v>
      </c>
      <c r="L647" s="194" t="s">
        <v>265</v>
      </c>
      <c r="M647" s="194" t="s">
        <v>175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850"/>
      <c r="AB647" s="211"/>
      <c r="AC647" s="594"/>
      <c r="AD647" s="198"/>
    </row>
    <row r="648" spans="1:30" s="808" customFormat="1" ht="15.75" customHeight="1">
      <c r="A648" s="204" t="str">
        <f>IF(B648&lt;&gt;"",IF(AND(B648&gt;=_TM1,B648&lt;=_TM2,OR(TH!L648="1111",TH!M648="1111")),TH!D648,""),"")</f>
        <v/>
      </c>
      <c r="B648" s="36">
        <f t="shared" si="169"/>
        <v>5</v>
      </c>
      <c r="C648" s="191">
        <f t="shared" si="170"/>
        <v>41409</v>
      </c>
      <c r="D648" s="184" t="s">
        <v>1064</v>
      </c>
      <c r="E648" s="191">
        <v>41409</v>
      </c>
      <c r="F648" s="192" t="s">
        <v>724</v>
      </c>
      <c r="G648" s="487" t="s">
        <v>821</v>
      </c>
      <c r="H648" s="7" t="s">
        <v>822</v>
      </c>
      <c r="I648" s="256"/>
      <c r="J648" s="256"/>
      <c r="K648" s="38">
        <v>1800000</v>
      </c>
      <c r="L648" s="194" t="s">
        <v>265</v>
      </c>
      <c r="M648" s="194" t="s">
        <v>429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850"/>
      <c r="AB648" s="211"/>
      <c r="AC648" s="594" t="str">
        <f t="shared" si="208"/>
        <v/>
      </c>
      <c r="AD648" s="198"/>
    </row>
    <row r="649" spans="1:30" s="808" customFormat="1" ht="15.75" customHeight="1">
      <c r="A649" s="204" t="str">
        <f>IF(B649&lt;&gt;"",IF(AND(B649&gt;=_TM1,B649&lt;=_TM2,OR(TH!L649="1111",TH!M649="1111")),TH!D649,""),"")</f>
        <v/>
      </c>
      <c r="B649" s="36">
        <f t="shared" ref="B649" si="209">IF(C649&lt;&gt;"",MONTH(C649),"")</f>
        <v>5</v>
      </c>
      <c r="C649" s="191">
        <f t="shared" ref="C649" si="210">E649</f>
        <v>41409</v>
      </c>
      <c r="D649" s="184" t="s">
        <v>1064</v>
      </c>
      <c r="E649" s="191">
        <v>41409</v>
      </c>
      <c r="F649" s="189" t="s">
        <v>341</v>
      </c>
      <c r="G649" s="487" t="s">
        <v>821</v>
      </c>
      <c r="H649" s="7" t="s">
        <v>822</v>
      </c>
      <c r="I649" s="256"/>
      <c r="J649" s="256"/>
      <c r="K649" s="38">
        <v>19800000</v>
      </c>
      <c r="L649" s="194" t="s">
        <v>47</v>
      </c>
      <c r="M649" s="194" t="s">
        <v>265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>x</v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850"/>
      <c r="AB649" s="211"/>
      <c r="AC649" s="594" t="str">
        <f t="shared" ref="AC649" si="211">IF(VLOOKUP(H649,DS_131,1,0)&lt;&gt;"","","x")</f>
        <v/>
      </c>
      <c r="AD649" s="198"/>
    </row>
    <row r="650" spans="1:30" s="808" customFormat="1" ht="15.75" customHeight="1">
      <c r="A650" s="204" t="str">
        <f>IF(B650&lt;&gt;"",IF(AND(B650&gt;=_TM1,B650&lt;=_TM2,OR(TH!L650="1111",TH!M650="1111")),TH!D650,""),"")</f>
        <v/>
      </c>
      <c r="B650" s="36">
        <f t="shared" si="169"/>
        <v>5</v>
      </c>
      <c r="C650" s="191">
        <f t="shared" si="170"/>
        <v>41410</v>
      </c>
      <c r="D650" s="184" t="s">
        <v>1065</v>
      </c>
      <c r="E650" s="191">
        <v>41410</v>
      </c>
      <c r="F650" s="192" t="s">
        <v>481</v>
      </c>
      <c r="G650" s="192" t="s">
        <v>823</v>
      </c>
      <c r="H650" s="7" t="s">
        <v>822</v>
      </c>
      <c r="I650" s="256">
        <v>2500</v>
      </c>
      <c r="J650" s="256">
        <v>7000</v>
      </c>
      <c r="K650" s="38">
        <f>ROUND(I650*J650,0)</f>
        <v>17500000</v>
      </c>
      <c r="L650" s="194" t="s">
        <v>265</v>
      </c>
      <c r="M650" s="194" t="s">
        <v>175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850"/>
      <c r="AB650" s="211"/>
      <c r="AC650" s="594"/>
      <c r="AD650" s="198"/>
    </row>
    <row r="651" spans="1:30" s="808" customFormat="1" ht="15.75" customHeight="1">
      <c r="A651" s="204" t="str">
        <f>IF(B651&lt;&gt;"",IF(AND(B651&gt;=_TM1,B651&lt;=_TM2,OR(TH!L651="1111",TH!M651="1111")),TH!D651,""),"")</f>
        <v/>
      </c>
      <c r="B651" s="36">
        <f t="shared" ref="B651:B721" si="212">IF(C651&lt;&gt;"",MONTH(C651),"")</f>
        <v>5</v>
      </c>
      <c r="C651" s="191">
        <f t="shared" si="170"/>
        <v>41410</v>
      </c>
      <c r="D651" s="184" t="s">
        <v>1065</v>
      </c>
      <c r="E651" s="191">
        <v>41410</v>
      </c>
      <c r="F651" s="192" t="s">
        <v>724</v>
      </c>
      <c r="G651" s="192" t="s">
        <v>823</v>
      </c>
      <c r="H651" s="7" t="s">
        <v>822</v>
      </c>
      <c r="I651" s="256"/>
      <c r="J651" s="256"/>
      <c r="K651" s="38">
        <v>1750000</v>
      </c>
      <c r="L651" s="194" t="s">
        <v>265</v>
      </c>
      <c r="M651" s="194" t="s">
        <v>429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850"/>
      <c r="AB651" s="211"/>
      <c r="AC651" s="594" t="str">
        <f t="shared" si="208"/>
        <v/>
      </c>
      <c r="AD651" s="198"/>
    </row>
    <row r="652" spans="1:30" s="808" customFormat="1" ht="15.75" customHeight="1">
      <c r="A652" s="204" t="str">
        <f>IF(B652&lt;&gt;"",IF(AND(B652&gt;=_TM1,B652&lt;=_TM2,OR(TH!L652="1111",TH!M652="1111")),TH!D652,""),"")</f>
        <v/>
      </c>
      <c r="B652" s="36">
        <f t="shared" ref="B652" si="213">IF(C652&lt;&gt;"",MONTH(C652),"")</f>
        <v>5</v>
      </c>
      <c r="C652" s="191">
        <f t="shared" ref="C652" si="214">E652</f>
        <v>41410</v>
      </c>
      <c r="D652" s="184" t="s">
        <v>1065</v>
      </c>
      <c r="E652" s="191">
        <v>41410</v>
      </c>
      <c r="F652" s="189" t="s">
        <v>341</v>
      </c>
      <c r="G652" s="192" t="s">
        <v>823</v>
      </c>
      <c r="H652" s="7" t="s">
        <v>822</v>
      </c>
      <c r="I652" s="256"/>
      <c r="J652" s="256"/>
      <c r="K652" s="38">
        <v>19250000</v>
      </c>
      <c r="L652" s="194" t="s">
        <v>47</v>
      </c>
      <c r="M652" s="194" t="s">
        <v>265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>x</v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850"/>
      <c r="AB652" s="211"/>
      <c r="AC652" s="594" t="str">
        <f t="shared" ref="AC652" si="215">IF(VLOOKUP(H652,DS_131,1,0)&lt;&gt;"","","x")</f>
        <v/>
      </c>
      <c r="AD652" s="198"/>
    </row>
    <row r="653" spans="1:30" s="808" customFormat="1" ht="15.75" customHeight="1">
      <c r="A653" s="204" t="str">
        <f>IF(B653&lt;&gt;"",IF(AND(B653&gt;=_TM1,B653&lt;=_TM2,OR(TH!L653="1111",TH!M653="1111")),TH!D653,""),"")</f>
        <v/>
      </c>
      <c r="B653" s="36">
        <f t="shared" si="212"/>
        <v>5</v>
      </c>
      <c r="C653" s="191">
        <f t="shared" si="170"/>
        <v>41410</v>
      </c>
      <c r="D653" s="184" t="s">
        <v>1066</v>
      </c>
      <c r="E653" s="191">
        <v>41410</v>
      </c>
      <c r="F653" s="192" t="s">
        <v>729</v>
      </c>
      <c r="G653" s="192" t="s">
        <v>824</v>
      </c>
      <c r="H653" s="7" t="s">
        <v>501</v>
      </c>
      <c r="I653" s="256">
        <v>1035</v>
      </c>
      <c r="J653" s="256">
        <v>8740</v>
      </c>
      <c r="K653" s="38">
        <f>ROUND(I653*J653,0)</f>
        <v>9045900</v>
      </c>
      <c r="L653" s="194" t="s">
        <v>265</v>
      </c>
      <c r="M653" s="194" t="s">
        <v>175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850"/>
      <c r="AB653" s="211"/>
      <c r="AC653" s="594"/>
      <c r="AD653" s="198"/>
    </row>
    <row r="654" spans="1:30" s="808" customFormat="1" ht="15.75" customHeight="1">
      <c r="A654" s="204" t="str">
        <f>IF(B654&lt;&gt;"",IF(AND(B654&gt;=_TM1,B654&lt;=_TM2,OR(TH!L654="1111",TH!M654="1111")),TH!D654,""),"")</f>
        <v/>
      </c>
      <c r="B654" s="36">
        <f t="shared" si="212"/>
        <v>5</v>
      </c>
      <c r="C654" s="191">
        <f t="shared" si="170"/>
        <v>41410</v>
      </c>
      <c r="D654" s="184" t="s">
        <v>1066</v>
      </c>
      <c r="E654" s="191">
        <v>41410</v>
      </c>
      <c r="F654" s="192" t="s">
        <v>724</v>
      </c>
      <c r="G654" s="192" t="s">
        <v>824</v>
      </c>
      <c r="H654" s="7" t="s">
        <v>501</v>
      </c>
      <c r="I654" s="256"/>
      <c r="J654" s="256"/>
      <c r="K654" s="38">
        <v>904590</v>
      </c>
      <c r="L654" s="194" t="s">
        <v>265</v>
      </c>
      <c r="M654" s="194" t="s">
        <v>429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850"/>
      <c r="AB654" s="211"/>
      <c r="AC654" s="594" t="str">
        <f t="shared" si="208"/>
        <v/>
      </c>
      <c r="AD654" s="198"/>
    </row>
    <row r="655" spans="1:30" s="808" customFormat="1" ht="15.75" customHeight="1">
      <c r="A655" s="204" t="str">
        <f>IF(B655&lt;&gt;"",IF(AND(B655&gt;=_TM1,B655&lt;=_TM2,OR(TH!L655="1111",TH!M655="1111")),TH!D655,""),"")</f>
        <v/>
      </c>
      <c r="B655" s="36">
        <f t="shared" si="212"/>
        <v>5</v>
      </c>
      <c r="C655" s="191">
        <f t="shared" ref="C655:C725" si="216">E655</f>
        <v>41410</v>
      </c>
      <c r="D655" s="184" t="s">
        <v>1067</v>
      </c>
      <c r="E655" s="191">
        <v>41410</v>
      </c>
      <c r="F655" s="192" t="s">
        <v>825</v>
      </c>
      <c r="G655" s="192" t="s">
        <v>826</v>
      </c>
      <c r="H655" s="7" t="s">
        <v>827</v>
      </c>
      <c r="I655" s="256">
        <v>553</v>
      </c>
      <c r="J655" s="256">
        <v>9170</v>
      </c>
      <c r="K655" s="38">
        <f>ROUND(I655*J655,0)</f>
        <v>5071010</v>
      </c>
      <c r="L655" s="194" t="s">
        <v>265</v>
      </c>
      <c r="M655" s="194" t="s">
        <v>175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850"/>
      <c r="AB655" s="211"/>
      <c r="AC655" s="594"/>
      <c r="AD655" s="594"/>
    </row>
    <row r="656" spans="1:30" s="808" customFormat="1" ht="15.75" customHeight="1">
      <c r="A656" s="204" t="str">
        <f>IF(B656&lt;&gt;"",IF(AND(B656&gt;=_TM1,B656&lt;=_TM2,OR(TH!L656="1111",TH!M656="1111")),TH!D656,""),"")</f>
        <v/>
      </c>
      <c r="B656" s="36">
        <f t="shared" si="212"/>
        <v>5</v>
      </c>
      <c r="C656" s="191">
        <f t="shared" si="216"/>
        <v>41410</v>
      </c>
      <c r="D656" s="184" t="s">
        <v>1067</v>
      </c>
      <c r="E656" s="191">
        <v>41410</v>
      </c>
      <c r="F656" s="192" t="s">
        <v>724</v>
      </c>
      <c r="G656" s="192" t="s">
        <v>826</v>
      </c>
      <c r="H656" s="7" t="s">
        <v>827</v>
      </c>
      <c r="I656" s="256"/>
      <c r="J656" s="256"/>
      <c r="K656" s="38">
        <v>507101</v>
      </c>
      <c r="L656" s="194" t="s">
        <v>265</v>
      </c>
      <c r="M656" s="194" t="s">
        <v>429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850"/>
      <c r="AB656" s="211"/>
      <c r="AC656" s="594" t="str">
        <f t="shared" si="208"/>
        <v/>
      </c>
      <c r="AD656" s="594"/>
    </row>
    <row r="657" spans="1:30" s="808" customFormat="1" ht="15.75" customHeight="1">
      <c r="A657" s="204" t="str">
        <f>IF(B657&lt;&gt;"",IF(AND(B657&gt;=_TM1,B657&lt;=_TM2,OR(TH!L657="1111",TH!M657="1111")),TH!D657,""),"")</f>
        <v/>
      </c>
      <c r="B657" s="36">
        <f t="shared" ref="B657" si="217">IF(C657&lt;&gt;"",MONTH(C657),"")</f>
        <v>5</v>
      </c>
      <c r="C657" s="191">
        <f t="shared" ref="C657" si="218">E657</f>
        <v>41410</v>
      </c>
      <c r="D657" s="184" t="s">
        <v>1067</v>
      </c>
      <c r="E657" s="191">
        <v>41410</v>
      </c>
      <c r="F657" s="189" t="s">
        <v>341</v>
      </c>
      <c r="G657" s="192" t="s">
        <v>826</v>
      </c>
      <c r="H657" s="7" t="s">
        <v>827</v>
      </c>
      <c r="I657" s="256"/>
      <c r="J657" s="256"/>
      <c r="K657" s="38">
        <v>5578111</v>
      </c>
      <c r="L657" s="194" t="s">
        <v>47</v>
      </c>
      <c r="M657" s="194" t="s">
        <v>265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>x</v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850"/>
      <c r="AB657" s="211"/>
      <c r="AC657" s="594" t="str">
        <f t="shared" ref="AC657" si="219">IF(VLOOKUP(H657,DS_131,1,0)&lt;&gt;"","","x")</f>
        <v/>
      </c>
      <c r="AD657" s="594"/>
    </row>
    <row r="658" spans="1:30" s="808" customFormat="1" ht="15.75" customHeight="1">
      <c r="A658" s="204" t="str">
        <f>IF(B658&lt;&gt;"",IF(AND(B658&gt;=_TM1,B658&lt;=_TM2,OR(TH!L658="1111",TH!M658="1111")),TH!D658,""),"")</f>
        <v/>
      </c>
      <c r="B658" s="36">
        <f t="shared" si="212"/>
        <v>5</v>
      </c>
      <c r="C658" s="191">
        <f t="shared" si="216"/>
        <v>41411</v>
      </c>
      <c r="D658" s="184" t="s">
        <v>1068</v>
      </c>
      <c r="E658" s="191">
        <v>41411</v>
      </c>
      <c r="F658" s="192" t="s">
        <v>812</v>
      </c>
      <c r="G658" s="192" t="s">
        <v>828</v>
      </c>
      <c r="H658" s="7" t="s">
        <v>541</v>
      </c>
      <c r="I658" s="256">
        <v>297</v>
      </c>
      <c r="J658" s="256">
        <v>9350</v>
      </c>
      <c r="K658" s="38">
        <f>ROUND(I658*J658,0)</f>
        <v>2776950</v>
      </c>
      <c r="L658" s="194" t="s">
        <v>265</v>
      </c>
      <c r="M658" s="194" t="s">
        <v>175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850"/>
      <c r="AB658" s="211"/>
      <c r="AC658" s="594"/>
      <c r="AD658" s="594"/>
    </row>
    <row r="659" spans="1:30" s="808" customFormat="1" ht="15.75" customHeight="1">
      <c r="A659" s="204" t="str">
        <f>IF(B659&lt;&gt;"",IF(AND(B659&gt;=_TM1,B659&lt;=_TM2,OR(TH!L659="1111",TH!M659="1111")),TH!D659,""),"")</f>
        <v/>
      </c>
      <c r="B659" s="36">
        <f t="shared" si="212"/>
        <v>5</v>
      </c>
      <c r="C659" s="191">
        <f t="shared" si="216"/>
        <v>41411</v>
      </c>
      <c r="D659" s="184" t="s">
        <v>1068</v>
      </c>
      <c r="E659" s="191">
        <v>41411</v>
      </c>
      <c r="F659" s="192" t="s">
        <v>724</v>
      </c>
      <c r="G659" s="192" t="s">
        <v>828</v>
      </c>
      <c r="H659" s="7" t="s">
        <v>541</v>
      </c>
      <c r="I659" s="256"/>
      <c r="J659" s="256"/>
      <c r="K659" s="38">
        <v>277695</v>
      </c>
      <c r="L659" s="194" t="s">
        <v>265</v>
      </c>
      <c r="M659" s="194" t="s">
        <v>429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850"/>
      <c r="AB659" s="211"/>
      <c r="AC659" s="594" t="str">
        <f t="shared" si="208"/>
        <v/>
      </c>
      <c r="AD659" s="594"/>
    </row>
    <row r="660" spans="1:30" s="808" customFormat="1" ht="15.75" customHeight="1">
      <c r="A660" s="204" t="str">
        <f>IF(B660&lt;&gt;"",IF(AND(B660&gt;=_TM1,B660&lt;=_TM2,OR(TH!L660="1111",TH!M660="1111")),TH!D660,""),"")</f>
        <v/>
      </c>
      <c r="B660" s="36">
        <f t="shared" si="212"/>
        <v>5</v>
      </c>
      <c r="C660" s="191">
        <f t="shared" si="216"/>
        <v>41415</v>
      </c>
      <c r="D660" s="184" t="s">
        <v>1069</v>
      </c>
      <c r="E660" s="191">
        <v>41415</v>
      </c>
      <c r="F660" s="192" t="s">
        <v>829</v>
      </c>
      <c r="G660" s="192" t="s">
        <v>830</v>
      </c>
      <c r="H660" s="7" t="s">
        <v>530</v>
      </c>
      <c r="I660" s="256">
        <v>303</v>
      </c>
      <c r="J660" s="256">
        <v>5210</v>
      </c>
      <c r="K660" s="38">
        <f t="shared" ref="K660:K664" si="220">ROUND(I660*J660,0)</f>
        <v>1578630</v>
      </c>
      <c r="L660" s="194" t="s">
        <v>265</v>
      </c>
      <c r="M660" s="194" t="s">
        <v>175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850"/>
      <c r="AB660" s="211"/>
      <c r="AC660" s="594"/>
      <c r="AD660" s="594"/>
    </row>
    <row r="661" spans="1:30" s="808" customFormat="1" ht="15.75" customHeight="1">
      <c r="A661" s="204" t="str">
        <f>IF(B661&lt;&gt;"",IF(AND(B661&gt;=_TM1,B661&lt;=_TM2,OR(TH!L661="1111",TH!M661="1111")),TH!D661,""),"")</f>
        <v/>
      </c>
      <c r="B661" s="36">
        <f t="shared" si="212"/>
        <v>5</v>
      </c>
      <c r="C661" s="191">
        <f t="shared" si="216"/>
        <v>41415</v>
      </c>
      <c r="D661" s="184" t="s">
        <v>1069</v>
      </c>
      <c r="E661" s="191">
        <v>41415</v>
      </c>
      <c r="F661" s="192" t="s">
        <v>831</v>
      </c>
      <c r="G661" s="192" t="s">
        <v>830</v>
      </c>
      <c r="H661" s="7" t="s">
        <v>530</v>
      </c>
      <c r="I661" s="256">
        <v>209</v>
      </c>
      <c r="J661" s="256">
        <v>2117</v>
      </c>
      <c r="K661" s="38">
        <f t="shared" si="220"/>
        <v>442453</v>
      </c>
      <c r="L661" s="194" t="s">
        <v>265</v>
      </c>
      <c r="M661" s="194" t="s">
        <v>175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850"/>
      <c r="AB661" s="211"/>
      <c r="AC661" s="594"/>
      <c r="AD661" s="594"/>
    </row>
    <row r="662" spans="1:30" s="808" customFormat="1" ht="15.75" customHeight="1">
      <c r="A662" s="204" t="str">
        <f>IF(B662&lt;&gt;"",IF(AND(B662&gt;=_TM1,B662&lt;=_TM2,OR(TH!L662="1111",TH!M662="1111")),TH!D662,""),"")</f>
        <v/>
      </c>
      <c r="B662" s="36">
        <f t="shared" si="212"/>
        <v>5</v>
      </c>
      <c r="C662" s="191">
        <f t="shared" si="216"/>
        <v>41415</v>
      </c>
      <c r="D662" s="184" t="s">
        <v>1069</v>
      </c>
      <c r="E662" s="191">
        <v>41415</v>
      </c>
      <c r="F662" s="192" t="s">
        <v>832</v>
      </c>
      <c r="G662" s="192" t="s">
        <v>830</v>
      </c>
      <c r="H662" s="7" t="s">
        <v>530</v>
      </c>
      <c r="I662" s="256">
        <v>305</v>
      </c>
      <c r="J662" s="256">
        <v>2191</v>
      </c>
      <c r="K662" s="38">
        <f t="shared" si="220"/>
        <v>668255</v>
      </c>
      <c r="L662" s="194" t="s">
        <v>265</v>
      </c>
      <c r="M662" s="194" t="s">
        <v>175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850"/>
      <c r="AB662" s="211"/>
      <c r="AC662" s="594"/>
      <c r="AD662" s="594"/>
    </row>
    <row r="663" spans="1:30" s="808" customFormat="1" ht="15.75" customHeight="1">
      <c r="A663" s="204" t="str">
        <f>IF(B663&lt;&gt;"",IF(AND(B663&gt;=_TM1,B663&lt;=_TM2,OR(TH!L663="1111",TH!M663="1111")),TH!D663,""),"")</f>
        <v/>
      </c>
      <c r="B663" s="36">
        <f t="shared" si="212"/>
        <v>5</v>
      </c>
      <c r="C663" s="191">
        <f t="shared" si="216"/>
        <v>41415</v>
      </c>
      <c r="D663" s="184" t="s">
        <v>1069</v>
      </c>
      <c r="E663" s="191">
        <v>41415</v>
      </c>
      <c r="F663" s="192" t="s">
        <v>833</v>
      </c>
      <c r="G663" s="487" t="s">
        <v>830</v>
      </c>
      <c r="H663" s="7" t="s">
        <v>530</v>
      </c>
      <c r="I663" s="256">
        <v>303</v>
      </c>
      <c r="J663" s="256">
        <v>4865</v>
      </c>
      <c r="K663" s="38">
        <f t="shared" si="220"/>
        <v>1474095</v>
      </c>
      <c r="L663" s="194" t="s">
        <v>265</v>
      </c>
      <c r="M663" s="194" t="s">
        <v>175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850"/>
      <c r="AB663" s="211"/>
      <c r="AC663" s="594"/>
      <c r="AD663" s="594"/>
    </row>
    <row r="664" spans="1:30" s="808" customFormat="1" ht="15.75" customHeight="1">
      <c r="A664" s="204" t="str">
        <f>IF(B664&lt;&gt;"",IF(AND(B664&gt;=_TM1,B664&lt;=_TM2,OR(TH!L664="1111",TH!M664="1111")),TH!D664,""),"")</f>
        <v/>
      </c>
      <c r="B664" s="36">
        <f t="shared" si="212"/>
        <v>5</v>
      </c>
      <c r="C664" s="191">
        <f t="shared" si="216"/>
        <v>41415</v>
      </c>
      <c r="D664" s="184" t="s">
        <v>1069</v>
      </c>
      <c r="E664" s="191">
        <v>41415</v>
      </c>
      <c r="F664" s="192" t="s">
        <v>1155</v>
      </c>
      <c r="G664" s="487" t="s">
        <v>830</v>
      </c>
      <c r="H664" s="7" t="s">
        <v>530</v>
      </c>
      <c r="I664" s="256">
        <v>270</v>
      </c>
      <c r="J664" s="256">
        <v>7337</v>
      </c>
      <c r="K664" s="38">
        <f t="shared" si="220"/>
        <v>1980990</v>
      </c>
      <c r="L664" s="194" t="s">
        <v>265</v>
      </c>
      <c r="M664" s="194" t="s">
        <v>175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850"/>
      <c r="AB664" s="211"/>
      <c r="AC664" s="594"/>
      <c r="AD664" s="594"/>
    </row>
    <row r="665" spans="1:30" s="808" customFormat="1" ht="15.75" customHeight="1">
      <c r="A665" s="204" t="str">
        <f>IF(B665&lt;&gt;"",IF(AND(B665&gt;=_TM1,B665&lt;=_TM2,OR(TH!L665="1111",TH!M665="1111")),TH!D665,""),"")</f>
        <v/>
      </c>
      <c r="B665" s="36">
        <f t="shared" si="212"/>
        <v>5</v>
      </c>
      <c r="C665" s="191">
        <f t="shared" si="216"/>
        <v>41415</v>
      </c>
      <c r="D665" s="184" t="s">
        <v>1069</v>
      </c>
      <c r="E665" s="191">
        <v>41415</v>
      </c>
      <c r="F665" s="192" t="s">
        <v>724</v>
      </c>
      <c r="G665" s="487" t="s">
        <v>830</v>
      </c>
      <c r="H665" s="7" t="s">
        <v>530</v>
      </c>
      <c r="I665" s="256"/>
      <c r="J665" s="256"/>
      <c r="K665" s="38">
        <v>768369</v>
      </c>
      <c r="L665" s="194" t="s">
        <v>265</v>
      </c>
      <c r="M665" s="194" t="s">
        <v>429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850"/>
      <c r="AB665" s="211"/>
      <c r="AC665" s="594" t="str">
        <f t="shared" si="208"/>
        <v/>
      </c>
      <c r="AD665" s="594"/>
    </row>
    <row r="666" spans="1:30" s="808" customFormat="1" ht="15.75" customHeight="1">
      <c r="A666" s="204" t="str">
        <f>IF(B666&lt;&gt;"",IF(AND(B666&gt;=_TM1,B666&lt;=_TM2,OR(TH!L666="1111",TH!M666="1111")),TH!D666,""),"")</f>
        <v/>
      </c>
      <c r="B666" s="36">
        <f t="shared" ref="B666" si="221">IF(C666&lt;&gt;"",MONTH(C666),"")</f>
        <v>5</v>
      </c>
      <c r="C666" s="191">
        <f t="shared" ref="C666" si="222">E666</f>
        <v>41415</v>
      </c>
      <c r="D666" s="184" t="s">
        <v>1069</v>
      </c>
      <c r="E666" s="191">
        <v>41415</v>
      </c>
      <c r="F666" s="189" t="s">
        <v>341</v>
      </c>
      <c r="G666" s="487" t="s">
        <v>830</v>
      </c>
      <c r="H666" s="7" t="s">
        <v>530</v>
      </c>
      <c r="I666" s="256"/>
      <c r="J666" s="256"/>
      <c r="K666" s="38">
        <v>6912792</v>
      </c>
      <c r="L666" s="194" t="s">
        <v>47</v>
      </c>
      <c r="M666" s="194" t="s">
        <v>265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>x</v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850"/>
      <c r="AB666" s="211"/>
      <c r="AC666" s="594" t="str">
        <f t="shared" ref="AC666" si="223">IF(VLOOKUP(H666,DS_131,1,0)&lt;&gt;"","","x")</f>
        <v/>
      </c>
      <c r="AD666" s="594"/>
    </row>
    <row r="667" spans="1:30" s="808" customFormat="1" ht="15.75" customHeight="1">
      <c r="A667" s="204" t="str">
        <f>IF(B667&lt;&gt;"",IF(AND(B667&gt;=_TM1,B667&lt;=_TM2,OR(TH!L667="1111",TH!M667="1111")),TH!D667,""),"")</f>
        <v/>
      </c>
      <c r="B667" s="36">
        <f t="shared" si="212"/>
        <v>5</v>
      </c>
      <c r="C667" s="191">
        <f t="shared" si="216"/>
        <v>41418</v>
      </c>
      <c r="D667" s="184" t="s">
        <v>1070</v>
      </c>
      <c r="E667" s="191">
        <v>41418</v>
      </c>
      <c r="F667" s="192" t="s">
        <v>1141</v>
      </c>
      <c r="G667" s="487" t="s">
        <v>834</v>
      </c>
      <c r="H667" s="7" t="s">
        <v>788</v>
      </c>
      <c r="I667" s="256">
        <v>1034</v>
      </c>
      <c r="J667" s="256">
        <v>6000</v>
      </c>
      <c r="K667" s="38">
        <f>ROUND(I667*J667,0)</f>
        <v>6204000</v>
      </c>
      <c r="L667" s="194" t="s">
        <v>265</v>
      </c>
      <c r="M667" s="194" t="s">
        <v>175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850"/>
      <c r="AB667" s="211"/>
      <c r="AC667" s="594"/>
      <c r="AD667" s="594"/>
    </row>
    <row r="668" spans="1:30" s="808" customFormat="1" ht="15.75" customHeight="1">
      <c r="A668" s="204" t="str">
        <f>IF(B668&lt;&gt;"",IF(AND(B668&gt;=_TM1,B668&lt;=_TM2,OR(TH!L668="1111",TH!M668="1111")),TH!D668,""),"")</f>
        <v/>
      </c>
      <c r="B668" s="36">
        <f t="shared" si="212"/>
        <v>5</v>
      </c>
      <c r="C668" s="191">
        <f t="shared" si="216"/>
        <v>41418</v>
      </c>
      <c r="D668" s="184" t="s">
        <v>1070</v>
      </c>
      <c r="E668" s="191">
        <v>41418</v>
      </c>
      <c r="F668" s="192" t="s">
        <v>724</v>
      </c>
      <c r="G668" s="487" t="s">
        <v>834</v>
      </c>
      <c r="H668" s="7" t="s">
        <v>788</v>
      </c>
      <c r="I668" s="256"/>
      <c r="J668" s="256"/>
      <c r="K668" s="38">
        <v>620400</v>
      </c>
      <c r="L668" s="194" t="s">
        <v>265</v>
      </c>
      <c r="M668" s="194" t="s">
        <v>429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850"/>
      <c r="AB668" s="211"/>
      <c r="AC668" s="594" t="str">
        <f t="shared" si="208"/>
        <v/>
      </c>
      <c r="AD668" s="594"/>
    </row>
    <row r="669" spans="1:30" s="808" customFormat="1" ht="15.75" customHeight="1">
      <c r="A669" s="204" t="str">
        <f>IF(B669&lt;&gt;"",IF(AND(B669&gt;=_TM1,B669&lt;=_TM2,OR(TH!L669="1111",TH!M669="1111")),TH!D669,""),"")</f>
        <v/>
      </c>
      <c r="B669" s="36">
        <f t="shared" si="212"/>
        <v>6</v>
      </c>
      <c r="C669" s="191">
        <f t="shared" si="216"/>
        <v>41429</v>
      </c>
      <c r="D669" s="184" t="s">
        <v>1071</v>
      </c>
      <c r="E669" s="191">
        <v>41429</v>
      </c>
      <c r="F669" s="192" t="s">
        <v>1139</v>
      </c>
      <c r="G669" s="487" t="s">
        <v>835</v>
      </c>
      <c r="H669" s="7" t="s">
        <v>788</v>
      </c>
      <c r="I669" s="256">
        <v>296</v>
      </c>
      <c r="J669" s="256">
        <v>15100</v>
      </c>
      <c r="K669" s="38">
        <f>ROUND(I669*J669,0)</f>
        <v>4469600</v>
      </c>
      <c r="L669" s="194" t="s">
        <v>265</v>
      </c>
      <c r="M669" s="194" t="s">
        <v>175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850"/>
      <c r="AB669" s="211"/>
      <c r="AC669" s="594"/>
      <c r="AD669" s="594"/>
    </row>
    <row r="670" spans="1:30" s="808" customFormat="1" ht="15.75" customHeight="1">
      <c r="A670" s="204" t="str">
        <f>IF(B670&lt;&gt;"",IF(AND(B670&gt;=_TM1,B670&lt;=_TM2,OR(TH!L670="1111",TH!M670="1111")),TH!D670,""),"")</f>
        <v/>
      </c>
      <c r="B670" s="36">
        <f t="shared" si="212"/>
        <v>6</v>
      </c>
      <c r="C670" s="191">
        <f t="shared" si="216"/>
        <v>41429</v>
      </c>
      <c r="D670" s="184" t="s">
        <v>1071</v>
      </c>
      <c r="E670" s="191">
        <v>41429</v>
      </c>
      <c r="F670" s="192" t="s">
        <v>724</v>
      </c>
      <c r="G670" s="487" t="s">
        <v>835</v>
      </c>
      <c r="H670" s="7" t="s">
        <v>788</v>
      </c>
      <c r="I670" s="256"/>
      <c r="J670" s="256"/>
      <c r="K670" s="38">
        <v>446960</v>
      </c>
      <c r="L670" s="194" t="s">
        <v>265</v>
      </c>
      <c r="M670" s="194" t="s">
        <v>429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850"/>
      <c r="AB670" s="211"/>
      <c r="AC670" s="594" t="str">
        <f t="shared" si="208"/>
        <v/>
      </c>
      <c r="AD670" s="594"/>
    </row>
    <row r="671" spans="1:30" s="808" customFormat="1" ht="15.75" customHeight="1">
      <c r="A671" s="204" t="str">
        <f>IF(B671&lt;&gt;"",IF(AND(B671&gt;=_TM1,B671&lt;=_TM2,OR(TH!L671="1111",TH!M671="1111")),TH!D671,""),"")</f>
        <v/>
      </c>
      <c r="B671" s="36">
        <f t="shared" si="212"/>
        <v>6</v>
      </c>
      <c r="C671" s="191">
        <f t="shared" si="216"/>
        <v>41429</v>
      </c>
      <c r="D671" s="184" t="s">
        <v>1072</v>
      </c>
      <c r="E671" s="191">
        <v>41429</v>
      </c>
      <c r="F671" s="192" t="s">
        <v>836</v>
      </c>
      <c r="G671" s="487" t="s">
        <v>837</v>
      </c>
      <c r="H671" s="7" t="s">
        <v>741</v>
      </c>
      <c r="I671" s="256">
        <v>847</v>
      </c>
      <c r="J671" s="256">
        <v>10500</v>
      </c>
      <c r="K671" s="38">
        <f>ROUND(I671*J671,0)</f>
        <v>8893500</v>
      </c>
      <c r="L671" s="194" t="s">
        <v>265</v>
      </c>
      <c r="M671" s="194" t="s">
        <v>175</v>
      </c>
      <c r="N671" s="52" t="str">
        <f>IF(AND('331-CT'!$E$7=TH!H671,OR(L671="331",M671="331")),"331",IF(AND(OR(L671="131",M671="131"),H671='131-CT'!$E$7),"131",""))</f>
        <v>131</v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850"/>
      <c r="AB671" s="211"/>
      <c r="AC671" s="594"/>
      <c r="AD671" s="594"/>
    </row>
    <row r="672" spans="1:30" s="808" customFormat="1" ht="15.75" customHeight="1">
      <c r="A672" s="204" t="str">
        <f>IF(B672&lt;&gt;"",IF(AND(B672&gt;=_TM1,B672&lt;=_TM2,OR(TH!L672="1111",TH!M672="1111")),TH!D672,""),"")</f>
        <v/>
      </c>
      <c r="B672" s="36">
        <f t="shared" si="212"/>
        <v>6</v>
      </c>
      <c r="C672" s="191">
        <f t="shared" si="216"/>
        <v>41429</v>
      </c>
      <c r="D672" s="184" t="s">
        <v>1072</v>
      </c>
      <c r="E672" s="191">
        <v>41429</v>
      </c>
      <c r="F672" s="192" t="s">
        <v>724</v>
      </c>
      <c r="G672" s="487" t="s">
        <v>837</v>
      </c>
      <c r="H672" s="7" t="s">
        <v>741</v>
      </c>
      <c r="I672" s="256"/>
      <c r="J672" s="256"/>
      <c r="K672" s="38">
        <v>889350</v>
      </c>
      <c r="L672" s="194" t="s">
        <v>265</v>
      </c>
      <c r="M672" s="194" t="s">
        <v>429</v>
      </c>
      <c r="N672" s="52" t="str">
        <f>IF(AND('331-CT'!$E$7=TH!H672,OR(L672="331",M672="331")),"331",IF(AND(OR(L672="131",M672="131"),H672='131-CT'!$E$7),"131",""))</f>
        <v>131</v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850"/>
      <c r="AB672" s="211"/>
      <c r="AC672" s="594" t="str">
        <f t="shared" si="208"/>
        <v/>
      </c>
      <c r="AD672" s="594"/>
    </row>
    <row r="673" spans="1:30" s="808" customFormat="1" ht="15.75" customHeight="1">
      <c r="A673" s="204" t="str">
        <f>IF(B673&lt;&gt;"",IF(AND(B673&gt;=_TM1,B673&lt;=_TM2,OR(TH!L673="1111",TH!M673="1111")),TH!D673,""),"")</f>
        <v/>
      </c>
      <c r="B673" s="36">
        <f t="shared" ref="B673" si="224">IF(C673&lt;&gt;"",MONTH(C673),"")</f>
        <v>6</v>
      </c>
      <c r="C673" s="191">
        <f t="shared" ref="C673" si="225">E673</f>
        <v>41429</v>
      </c>
      <c r="D673" s="184" t="s">
        <v>1072</v>
      </c>
      <c r="E673" s="191">
        <v>41429</v>
      </c>
      <c r="F673" s="189" t="s">
        <v>341</v>
      </c>
      <c r="G673" s="487" t="s">
        <v>837</v>
      </c>
      <c r="H673" s="7" t="s">
        <v>741</v>
      </c>
      <c r="I673" s="256"/>
      <c r="J673" s="256"/>
      <c r="K673" s="38">
        <v>9782850</v>
      </c>
      <c r="L673" s="194" t="s">
        <v>47</v>
      </c>
      <c r="M673" s="194" t="s">
        <v>265</v>
      </c>
      <c r="N673" s="52" t="str">
        <f>IF(AND('331-CT'!$E$7=TH!H673,OR(L673="331",M673="331")),"331",IF(AND(OR(L673="131",M673="131"),H673='131-CT'!$E$7),"131",""))</f>
        <v>131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>x</v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850"/>
      <c r="AB673" s="211"/>
      <c r="AC673" s="594" t="str">
        <f t="shared" ref="AC673" si="226">IF(VLOOKUP(H673,DS_131,1,0)&lt;&gt;"","","x")</f>
        <v/>
      </c>
      <c r="AD673" s="594"/>
    </row>
    <row r="674" spans="1:30" s="808" customFormat="1" ht="15.75" customHeight="1">
      <c r="A674" s="204" t="str">
        <f>IF(B674&lt;&gt;"",IF(AND(B674&gt;=_TM1,B674&lt;=_TM2,OR(TH!L674="1111",TH!M674="1111")),TH!D674,""),"")</f>
        <v/>
      </c>
      <c r="B674" s="36">
        <f t="shared" si="212"/>
        <v>6</v>
      </c>
      <c r="C674" s="191">
        <f t="shared" si="216"/>
        <v>41430</v>
      </c>
      <c r="D674" s="184" t="s">
        <v>1073</v>
      </c>
      <c r="E674" s="191">
        <v>41430</v>
      </c>
      <c r="F674" s="192" t="s">
        <v>838</v>
      </c>
      <c r="G674" s="487" t="s">
        <v>839</v>
      </c>
      <c r="H674" s="193" t="s">
        <v>520</v>
      </c>
      <c r="I674" s="256">
        <v>2399</v>
      </c>
      <c r="J674" s="256">
        <v>6700</v>
      </c>
      <c r="K674" s="38">
        <f t="shared" ref="K674:K675" si="227">ROUND(I674*J674,0)</f>
        <v>16073300</v>
      </c>
      <c r="L674" s="194" t="s">
        <v>265</v>
      </c>
      <c r="M674" s="194" t="s">
        <v>175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850"/>
      <c r="AB674" s="211"/>
      <c r="AC674" s="594"/>
      <c r="AD674" s="594"/>
    </row>
    <row r="675" spans="1:30" s="808" customFormat="1" ht="15.75" customHeight="1">
      <c r="A675" s="204" t="str">
        <f>IF(B675&lt;&gt;"",IF(AND(B675&gt;=_TM1,B675&lt;=_TM2,OR(TH!L675="1111",TH!M675="1111")),TH!D675,""),"")</f>
        <v/>
      </c>
      <c r="B675" s="36">
        <f t="shared" si="212"/>
        <v>6</v>
      </c>
      <c r="C675" s="191">
        <f t="shared" si="216"/>
        <v>41430</v>
      </c>
      <c r="D675" s="184" t="s">
        <v>1073</v>
      </c>
      <c r="E675" s="191">
        <v>41430</v>
      </c>
      <c r="F675" s="192" t="s">
        <v>838</v>
      </c>
      <c r="G675" s="487" t="s">
        <v>839</v>
      </c>
      <c r="H675" s="193" t="s">
        <v>520</v>
      </c>
      <c r="I675" s="256">
        <v>2542</v>
      </c>
      <c r="J675" s="256">
        <v>7200</v>
      </c>
      <c r="K675" s="38">
        <f t="shared" si="227"/>
        <v>18302400</v>
      </c>
      <c r="L675" s="194" t="s">
        <v>265</v>
      </c>
      <c r="M675" s="194" t="s">
        <v>175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850"/>
      <c r="AB675" s="211"/>
      <c r="AC675" s="594"/>
      <c r="AD675" s="594"/>
    </row>
    <row r="676" spans="1:30" s="808" customFormat="1" ht="15.75" customHeight="1">
      <c r="A676" s="204" t="str">
        <f>IF(B676&lt;&gt;"",IF(AND(B676&gt;=_TM1,B676&lt;=_TM2,OR(TH!L676="1111",TH!M676="1111")),TH!D676,""),"")</f>
        <v/>
      </c>
      <c r="B676" s="36">
        <f t="shared" si="212"/>
        <v>6</v>
      </c>
      <c r="C676" s="191">
        <f t="shared" si="216"/>
        <v>41430</v>
      </c>
      <c r="D676" s="184" t="s">
        <v>1073</v>
      </c>
      <c r="E676" s="191">
        <v>41430</v>
      </c>
      <c r="F676" s="192" t="s">
        <v>724</v>
      </c>
      <c r="G676" s="487" t="s">
        <v>839</v>
      </c>
      <c r="H676" s="193" t="s">
        <v>520</v>
      </c>
      <c r="I676" s="256"/>
      <c r="J676" s="256"/>
      <c r="K676" s="38">
        <v>3437570</v>
      </c>
      <c r="L676" s="194" t="s">
        <v>265</v>
      </c>
      <c r="M676" s="194" t="s">
        <v>429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850"/>
      <c r="AB676" s="211"/>
      <c r="AC676" s="594" t="str">
        <f t="shared" si="208"/>
        <v/>
      </c>
      <c r="AD676" s="594"/>
    </row>
    <row r="677" spans="1:30" s="808" customFormat="1" ht="15.75" customHeight="1">
      <c r="A677" s="204" t="str">
        <f>IF(B677&lt;&gt;"",IF(AND(B677&gt;=_TM1,B677&lt;=_TM2,OR(TH!L677="1111",TH!M677="1111")),TH!D677,""),"")</f>
        <v/>
      </c>
      <c r="B677" s="36">
        <f t="shared" si="212"/>
        <v>6</v>
      </c>
      <c r="C677" s="191">
        <f t="shared" si="216"/>
        <v>41432</v>
      </c>
      <c r="D677" s="184" t="s">
        <v>1074</v>
      </c>
      <c r="E677" s="191">
        <v>41432</v>
      </c>
      <c r="F677" s="192" t="s">
        <v>1128</v>
      </c>
      <c r="G677" s="487" t="s">
        <v>840</v>
      </c>
      <c r="H677" s="7" t="s">
        <v>541</v>
      </c>
      <c r="I677" s="256">
        <v>106</v>
      </c>
      <c r="J677" s="256">
        <v>14100</v>
      </c>
      <c r="K677" s="38">
        <f t="shared" ref="K677:K680" si="228">ROUND(I677*J677,0)</f>
        <v>1494600</v>
      </c>
      <c r="L677" s="194" t="s">
        <v>265</v>
      </c>
      <c r="M677" s="194" t="s">
        <v>175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850"/>
      <c r="AB677" s="211"/>
      <c r="AC677" s="594"/>
      <c r="AD677" s="594"/>
    </row>
    <row r="678" spans="1:30" s="808" customFormat="1" ht="15.75" customHeight="1">
      <c r="A678" s="204" t="str">
        <f>IF(B678&lt;&gt;"",IF(AND(B678&gt;=_TM1,B678&lt;=_TM2,OR(TH!L678="1111",TH!M678="1111")),TH!D678,""),"")</f>
        <v/>
      </c>
      <c r="B678" s="36">
        <f t="shared" si="212"/>
        <v>6</v>
      </c>
      <c r="C678" s="191">
        <f t="shared" si="216"/>
        <v>41432</v>
      </c>
      <c r="D678" s="184" t="s">
        <v>1074</v>
      </c>
      <c r="E678" s="191">
        <v>41432</v>
      </c>
      <c r="F678" s="192" t="s">
        <v>1131</v>
      </c>
      <c r="G678" s="487" t="s">
        <v>840</v>
      </c>
      <c r="H678" s="7" t="s">
        <v>541</v>
      </c>
      <c r="I678" s="256">
        <v>197</v>
      </c>
      <c r="J678" s="256">
        <v>9950</v>
      </c>
      <c r="K678" s="38">
        <f t="shared" si="228"/>
        <v>1960150</v>
      </c>
      <c r="L678" s="194" t="s">
        <v>265</v>
      </c>
      <c r="M678" s="194" t="s">
        <v>175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850"/>
      <c r="AB678" s="211"/>
      <c r="AC678" s="594"/>
      <c r="AD678" s="594"/>
    </row>
    <row r="679" spans="1:30" s="808" customFormat="1" ht="15.75" customHeight="1">
      <c r="A679" s="204" t="str">
        <f>IF(B679&lt;&gt;"",IF(AND(B679&gt;=_TM1,B679&lt;=_TM2,OR(TH!L679="1111",TH!M679="1111")),TH!D679,""),"")</f>
        <v/>
      </c>
      <c r="B679" s="36">
        <f t="shared" si="212"/>
        <v>6</v>
      </c>
      <c r="C679" s="191">
        <f t="shared" si="216"/>
        <v>41432</v>
      </c>
      <c r="D679" s="184" t="s">
        <v>1074</v>
      </c>
      <c r="E679" s="191">
        <v>41432</v>
      </c>
      <c r="F679" s="192" t="s">
        <v>841</v>
      </c>
      <c r="G679" s="487" t="s">
        <v>840</v>
      </c>
      <c r="H679" s="7" t="s">
        <v>541</v>
      </c>
      <c r="I679" s="256">
        <v>104</v>
      </c>
      <c r="J679" s="256">
        <v>12300</v>
      </c>
      <c r="K679" s="38">
        <f t="shared" si="228"/>
        <v>1279200</v>
      </c>
      <c r="L679" s="194" t="s">
        <v>265</v>
      </c>
      <c r="M679" s="194" t="s">
        <v>175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850"/>
      <c r="AB679" s="211"/>
      <c r="AC679" s="594"/>
      <c r="AD679" s="594"/>
    </row>
    <row r="680" spans="1:30" s="808" customFormat="1" ht="15.75" customHeight="1">
      <c r="A680" s="204" t="str">
        <f>IF(B680&lt;&gt;"",IF(AND(B680&gt;=_TM1,B680&lt;=_TM2,OR(TH!L680="1111",TH!M680="1111")),TH!D680,""),"")</f>
        <v/>
      </c>
      <c r="B680" s="36">
        <f t="shared" si="212"/>
        <v>6</v>
      </c>
      <c r="C680" s="191">
        <f t="shared" si="216"/>
        <v>41432</v>
      </c>
      <c r="D680" s="184" t="s">
        <v>1074</v>
      </c>
      <c r="E680" s="191">
        <v>41432</v>
      </c>
      <c r="F680" s="192" t="s">
        <v>842</v>
      </c>
      <c r="G680" s="487" t="s">
        <v>840</v>
      </c>
      <c r="H680" s="7" t="s">
        <v>541</v>
      </c>
      <c r="I680" s="256">
        <v>141</v>
      </c>
      <c r="J680" s="256">
        <v>11000</v>
      </c>
      <c r="K680" s="38">
        <f t="shared" si="228"/>
        <v>1551000</v>
      </c>
      <c r="L680" s="194" t="s">
        <v>265</v>
      </c>
      <c r="M680" s="194" t="s">
        <v>175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850"/>
      <c r="AB680" s="211"/>
      <c r="AC680" s="594"/>
      <c r="AD680" s="594"/>
    </row>
    <row r="681" spans="1:30" s="808" customFormat="1" ht="15.75" customHeight="1">
      <c r="A681" s="204" t="str">
        <f>IF(B681&lt;&gt;"",IF(AND(B681&gt;=_TM1,B681&lt;=_TM2,OR(TH!L681="1111",TH!M681="1111")),TH!D681,""),"")</f>
        <v/>
      </c>
      <c r="B681" s="36">
        <f t="shared" si="212"/>
        <v>6</v>
      </c>
      <c r="C681" s="191">
        <f t="shared" si="216"/>
        <v>41432</v>
      </c>
      <c r="D681" s="184" t="s">
        <v>1074</v>
      </c>
      <c r="E681" s="191">
        <v>41432</v>
      </c>
      <c r="F681" s="192" t="s">
        <v>724</v>
      </c>
      <c r="G681" s="487" t="s">
        <v>840</v>
      </c>
      <c r="H681" s="7" t="s">
        <v>541</v>
      </c>
      <c r="I681" s="256"/>
      <c r="J681" s="256"/>
      <c r="K681" s="38">
        <v>628495</v>
      </c>
      <c r="L681" s="194" t="s">
        <v>265</v>
      </c>
      <c r="M681" s="194" t="s">
        <v>429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850"/>
      <c r="AB681" s="211"/>
      <c r="AC681" s="594" t="str">
        <f t="shared" si="208"/>
        <v/>
      </c>
      <c r="AD681" s="594"/>
    </row>
    <row r="682" spans="1:30" s="808" customFormat="1" ht="15.75" customHeight="1">
      <c r="A682" s="204" t="str">
        <f>IF(B682&lt;&gt;"",IF(AND(B682&gt;=_TM1,B682&lt;=_TM2,OR(TH!L682="1111",TH!M682="1111")),TH!D682,""),"")</f>
        <v/>
      </c>
      <c r="B682" s="36">
        <f t="shared" si="212"/>
        <v>6</v>
      </c>
      <c r="C682" s="191">
        <f t="shared" si="216"/>
        <v>41432</v>
      </c>
      <c r="D682" s="184" t="s">
        <v>1075</v>
      </c>
      <c r="E682" s="191">
        <v>41432</v>
      </c>
      <c r="F682" s="192" t="s">
        <v>1146</v>
      </c>
      <c r="G682" s="487" t="s">
        <v>843</v>
      </c>
      <c r="H682" s="7" t="s">
        <v>530</v>
      </c>
      <c r="I682" s="256">
        <v>305</v>
      </c>
      <c r="J682" s="256">
        <v>5711</v>
      </c>
      <c r="K682" s="38">
        <f t="shared" ref="K682:K685" si="229">ROUND(I682*J682,0)</f>
        <v>1741855</v>
      </c>
      <c r="L682" s="194" t="s">
        <v>265</v>
      </c>
      <c r="M682" s="194" t="s">
        <v>175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850"/>
      <c r="AB682" s="211"/>
      <c r="AC682" s="594"/>
      <c r="AD682" s="198"/>
    </row>
    <row r="683" spans="1:30" s="808" customFormat="1" ht="15.75" customHeight="1">
      <c r="A683" s="204" t="str">
        <f>IF(B683&lt;&gt;"",IF(AND(B683&gt;=_TM1,B683&lt;=_TM2,OR(TH!L683="1111",TH!M683="1111")),TH!D683,""),"")</f>
        <v/>
      </c>
      <c r="B683" s="36">
        <f t="shared" si="212"/>
        <v>6</v>
      </c>
      <c r="C683" s="191">
        <f t="shared" si="216"/>
        <v>41432</v>
      </c>
      <c r="D683" s="184" t="s">
        <v>1075</v>
      </c>
      <c r="E683" s="191">
        <v>41432</v>
      </c>
      <c r="F683" s="192" t="s">
        <v>808</v>
      </c>
      <c r="G683" s="487" t="s">
        <v>843</v>
      </c>
      <c r="H683" s="7" t="s">
        <v>530</v>
      </c>
      <c r="I683" s="256">
        <v>318</v>
      </c>
      <c r="J683" s="256">
        <v>6665</v>
      </c>
      <c r="K683" s="38">
        <f t="shared" si="229"/>
        <v>2119470</v>
      </c>
      <c r="L683" s="194" t="s">
        <v>265</v>
      </c>
      <c r="M683" s="194" t="s">
        <v>175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850"/>
      <c r="AB683" s="211"/>
      <c r="AC683" s="594"/>
      <c r="AD683" s="198"/>
    </row>
    <row r="684" spans="1:30" s="808" customFormat="1" ht="15.75" customHeight="1">
      <c r="A684" s="204" t="str">
        <f>IF(B684&lt;&gt;"",IF(AND(B684&gt;=_TM1,B684&lt;=_TM2,OR(TH!L684="1111",TH!M684="1111")),TH!D684,""),"")</f>
        <v/>
      </c>
      <c r="B684" s="36">
        <f t="shared" si="212"/>
        <v>6</v>
      </c>
      <c r="C684" s="191">
        <f t="shared" si="216"/>
        <v>41432</v>
      </c>
      <c r="D684" s="184" t="s">
        <v>1075</v>
      </c>
      <c r="E684" s="191">
        <v>41432</v>
      </c>
      <c r="F684" s="192" t="s">
        <v>844</v>
      </c>
      <c r="G684" s="487" t="s">
        <v>843</v>
      </c>
      <c r="H684" s="7" t="s">
        <v>530</v>
      </c>
      <c r="I684" s="256">
        <v>296</v>
      </c>
      <c r="J684" s="256">
        <v>4629</v>
      </c>
      <c r="K684" s="38">
        <f t="shared" si="229"/>
        <v>1370184</v>
      </c>
      <c r="L684" s="194" t="s">
        <v>265</v>
      </c>
      <c r="M684" s="194" t="s">
        <v>175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850"/>
      <c r="AB684" s="211"/>
      <c r="AC684" s="594"/>
      <c r="AD684" s="198"/>
    </row>
    <row r="685" spans="1:30" s="808" customFormat="1" ht="15.75" customHeight="1">
      <c r="A685" s="204" t="str">
        <f>IF(B685&lt;&gt;"",IF(AND(B685&gt;=_TM1,B685&lt;=_TM2,OR(TH!L685="1111",TH!M685="1111")),TH!D685,""),"")</f>
        <v/>
      </c>
      <c r="B685" s="36">
        <f t="shared" si="212"/>
        <v>6</v>
      </c>
      <c r="C685" s="191">
        <f t="shared" si="216"/>
        <v>41432</v>
      </c>
      <c r="D685" s="184" t="s">
        <v>1075</v>
      </c>
      <c r="E685" s="191">
        <v>41432</v>
      </c>
      <c r="F685" s="192" t="s">
        <v>1137</v>
      </c>
      <c r="G685" s="487" t="s">
        <v>843</v>
      </c>
      <c r="H685" s="7" t="s">
        <v>530</v>
      </c>
      <c r="I685" s="256">
        <v>510</v>
      </c>
      <c r="J685" s="256">
        <v>5238</v>
      </c>
      <c r="K685" s="38">
        <f t="shared" si="229"/>
        <v>2671380</v>
      </c>
      <c r="L685" s="194" t="s">
        <v>265</v>
      </c>
      <c r="M685" s="194" t="s">
        <v>175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850"/>
      <c r="AB685" s="211"/>
      <c r="AC685" s="594"/>
      <c r="AD685" s="198"/>
    </row>
    <row r="686" spans="1:30" s="808" customFormat="1" ht="15.75" customHeight="1">
      <c r="A686" s="204" t="str">
        <f>IF(B686&lt;&gt;"",IF(AND(B686&gt;=_TM1,B686&lt;=_TM2,OR(TH!L686="1111",TH!M686="1111")),TH!D686,""),"")</f>
        <v/>
      </c>
      <c r="B686" s="36">
        <f t="shared" si="212"/>
        <v>6</v>
      </c>
      <c r="C686" s="191">
        <f t="shared" si="216"/>
        <v>41432</v>
      </c>
      <c r="D686" s="184" t="s">
        <v>1075</v>
      </c>
      <c r="E686" s="191">
        <v>41432</v>
      </c>
      <c r="F686" s="192" t="s">
        <v>724</v>
      </c>
      <c r="G686" s="192" t="s">
        <v>843</v>
      </c>
      <c r="H686" s="7" t="s">
        <v>530</v>
      </c>
      <c r="I686" s="256"/>
      <c r="J686" s="256"/>
      <c r="K686" s="38">
        <v>790289</v>
      </c>
      <c r="L686" s="194" t="s">
        <v>265</v>
      </c>
      <c r="M686" s="194" t="s">
        <v>429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850"/>
      <c r="AB686" s="211"/>
      <c r="AC686" s="594" t="str">
        <f t="shared" si="208"/>
        <v/>
      </c>
      <c r="AD686" s="198"/>
    </row>
    <row r="687" spans="1:30" s="808" customFormat="1" ht="15.75" customHeight="1">
      <c r="A687" s="204" t="str">
        <f>IF(B687&lt;&gt;"",IF(AND(B687&gt;=_TM1,B687&lt;=_TM2,OR(TH!L687="1111",TH!M687="1111")),TH!D687,""),"")</f>
        <v/>
      </c>
      <c r="B687" s="36">
        <f t="shared" si="212"/>
        <v>6</v>
      </c>
      <c r="C687" s="191">
        <f t="shared" si="216"/>
        <v>41435</v>
      </c>
      <c r="D687" s="184" t="s">
        <v>1076</v>
      </c>
      <c r="E687" s="191">
        <v>41435</v>
      </c>
      <c r="F687" s="192" t="s">
        <v>845</v>
      </c>
      <c r="G687" s="192" t="s">
        <v>846</v>
      </c>
      <c r="H687" s="7" t="s">
        <v>847</v>
      </c>
      <c r="I687" s="256">
        <v>204</v>
      </c>
      <c r="J687" s="256">
        <v>19000</v>
      </c>
      <c r="K687" s="38">
        <f>ROUND(I687*J687,0)</f>
        <v>3876000</v>
      </c>
      <c r="L687" s="194" t="s">
        <v>265</v>
      </c>
      <c r="M687" s="194" t="s">
        <v>175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850"/>
      <c r="AB687" s="211"/>
      <c r="AC687" s="594"/>
      <c r="AD687" s="198"/>
    </row>
    <row r="688" spans="1:30" s="808" customFormat="1" ht="15.75" customHeight="1">
      <c r="A688" s="204" t="str">
        <f>IF(B688&lt;&gt;"",IF(AND(B688&gt;=_TM1,B688&lt;=_TM2,OR(TH!L688="1111",TH!M688="1111")),TH!D688,""),"")</f>
        <v/>
      </c>
      <c r="B688" s="36">
        <f t="shared" si="212"/>
        <v>6</v>
      </c>
      <c r="C688" s="191">
        <f t="shared" si="216"/>
        <v>41435</v>
      </c>
      <c r="D688" s="184" t="s">
        <v>1076</v>
      </c>
      <c r="E688" s="191">
        <v>41435</v>
      </c>
      <c r="F688" s="192" t="s">
        <v>724</v>
      </c>
      <c r="G688" s="487" t="s">
        <v>846</v>
      </c>
      <c r="H688" s="7" t="s">
        <v>847</v>
      </c>
      <c r="I688" s="256"/>
      <c r="J688" s="256"/>
      <c r="K688" s="38">
        <v>387600</v>
      </c>
      <c r="L688" s="194" t="s">
        <v>265</v>
      </c>
      <c r="M688" s="194" t="s">
        <v>429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850"/>
      <c r="AB688" s="211"/>
      <c r="AC688" s="594" t="str">
        <f t="shared" si="208"/>
        <v/>
      </c>
      <c r="AD688" s="198"/>
    </row>
    <row r="689" spans="1:30" s="808" customFormat="1" ht="15.75" customHeight="1">
      <c r="A689" s="204" t="str">
        <f>IF(B689&lt;&gt;"",IF(AND(B689&gt;=_TM1,B689&lt;=_TM2,OR(TH!L689="1111",TH!M689="1111")),TH!D689,""),"")</f>
        <v/>
      </c>
      <c r="B689" s="36">
        <f t="shared" si="212"/>
        <v>6</v>
      </c>
      <c r="C689" s="191">
        <f t="shared" si="216"/>
        <v>41436</v>
      </c>
      <c r="D689" s="184" t="s">
        <v>1077</v>
      </c>
      <c r="E689" s="191">
        <v>41436</v>
      </c>
      <c r="F689" s="192" t="s">
        <v>1137</v>
      </c>
      <c r="G689" s="487" t="s">
        <v>848</v>
      </c>
      <c r="H689" s="7" t="s">
        <v>530</v>
      </c>
      <c r="I689" s="256">
        <v>157</v>
      </c>
      <c r="J689" s="256">
        <v>5238</v>
      </c>
      <c r="K689" s="38">
        <f>ROUND(I689*J689,0)</f>
        <v>822366</v>
      </c>
      <c r="L689" s="194" t="s">
        <v>265</v>
      </c>
      <c r="M689" s="194" t="s">
        <v>175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850"/>
      <c r="AB689" s="211"/>
      <c r="AC689" s="594"/>
      <c r="AD689" s="198"/>
    </row>
    <row r="690" spans="1:30" s="808" customFormat="1" ht="15.75" customHeight="1">
      <c r="A690" s="204" t="str">
        <f>IF(B690&lt;&gt;"",IF(AND(B690&gt;=_TM1,B690&lt;=_TM2,OR(TH!L690="1111",TH!M690="1111")),TH!D690,""),"")</f>
        <v/>
      </c>
      <c r="B690" s="36">
        <f t="shared" si="212"/>
        <v>6</v>
      </c>
      <c r="C690" s="191">
        <f t="shared" si="216"/>
        <v>41436</v>
      </c>
      <c r="D690" s="184" t="s">
        <v>1077</v>
      </c>
      <c r="E690" s="191">
        <v>41436</v>
      </c>
      <c r="F690" s="192" t="s">
        <v>724</v>
      </c>
      <c r="G690" s="487" t="s">
        <v>848</v>
      </c>
      <c r="H690" s="7" t="s">
        <v>530</v>
      </c>
      <c r="I690" s="256"/>
      <c r="J690" s="256"/>
      <c r="K690" s="38">
        <v>82237</v>
      </c>
      <c r="L690" s="194" t="s">
        <v>265</v>
      </c>
      <c r="M690" s="194" t="s">
        <v>429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850"/>
      <c r="AB690" s="211"/>
      <c r="AC690" s="594" t="str">
        <f t="shared" si="208"/>
        <v/>
      </c>
      <c r="AD690" s="198"/>
    </row>
    <row r="691" spans="1:30" s="810" customFormat="1" ht="15.75" customHeight="1">
      <c r="A691" s="204" t="str">
        <f>IF(B691&lt;&gt;"",IF(AND(B691&gt;=_TM1,B691&lt;=_TM2,OR(TH!L691="1111",TH!M691="1111")),TH!D691,""),"")</f>
        <v/>
      </c>
      <c r="B691" s="36">
        <f t="shared" si="212"/>
        <v>6</v>
      </c>
      <c r="C691" s="191">
        <f t="shared" si="216"/>
        <v>41436</v>
      </c>
      <c r="D691" s="184" t="s">
        <v>1078</v>
      </c>
      <c r="E691" s="191">
        <v>41436</v>
      </c>
      <c r="F691" s="192" t="s">
        <v>849</v>
      </c>
      <c r="G691" s="487" t="s">
        <v>850</v>
      </c>
      <c r="H691" s="7" t="s">
        <v>530</v>
      </c>
      <c r="I691" s="256">
        <v>222</v>
      </c>
      <c r="J691" s="256">
        <v>14959</v>
      </c>
      <c r="K691" s="38">
        <f>ROUND(I691*J691,0)</f>
        <v>3320898</v>
      </c>
      <c r="L691" s="194" t="s">
        <v>265</v>
      </c>
      <c r="M691" s="194" t="s">
        <v>175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850"/>
      <c r="AB691" s="211"/>
      <c r="AC691" s="594"/>
      <c r="AD691" s="594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212"/>
        <v>6</v>
      </c>
      <c r="C692" s="191">
        <f t="shared" si="216"/>
        <v>41436</v>
      </c>
      <c r="D692" s="184" t="s">
        <v>1078</v>
      </c>
      <c r="E692" s="191">
        <v>41436</v>
      </c>
      <c r="F692" s="192" t="s">
        <v>724</v>
      </c>
      <c r="G692" s="487" t="s">
        <v>850</v>
      </c>
      <c r="H692" s="7" t="s">
        <v>530</v>
      </c>
      <c r="I692" s="256"/>
      <c r="J692" s="256"/>
      <c r="K692" s="38">
        <v>332090</v>
      </c>
      <c r="L692" s="194" t="s">
        <v>265</v>
      </c>
      <c r="M692" s="194" t="s">
        <v>429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850"/>
      <c r="AB692" s="211"/>
      <c r="AC692" s="594" t="str">
        <f t="shared" si="208"/>
        <v/>
      </c>
      <c r="AD692" s="594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212"/>
        <v>6</v>
      </c>
      <c r="C693" s="191">
        <f t="shared" si="216"/>
        <v>41443</v>
      </c>
      <c r="D693" s="184" t="s">
        <v>1079</v>
      </c>
      <c r="E693" s="191">
        <v>41443</v>
      </c>
      <c r="F693" s="192" t="s">
        <v>851</v>
      </c>
      <c r="G693" s="487" t="s">
        <v>852</v>
      </c>
      <c r="H693" s="7" t="s">
        <v>580</v>
      </c>
      <c r="I693" s="256">
        <v>494</v>
      </c>
      <c r="J693" s="256">
        <v>17200</v>
      </c>
      <c r="K693" s="38">
        <f>ROUND(I693*J693,0)</f>
        <v>8496800</v>
      </c>
      <c r="L693" s="194" t="s">
        <v>265</v>
      </c>
      <c r="M693" s="194" t="s">
        <v>175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850"/>
      <c r="AB693" s="211"/>
      <c r="AC693" s="594"/>
      <c r="AD693" s="594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212"/>
        <v>6</v>
      </c>
      <c r="C694" s="191">
        <f t="shared" si="216"/>
        <v>41443</v>
      </c>
      <c r="D694" s="184" t="s">
        <v>1079</v>
      </c>
      <c r="E694" s="191">
        <v>41443</v>
      </c>
      <c r="F694" s="192" t="s">
        <v>724</v>
      </c>
      <c r="G694" s="487" t="s">
        <v>852</v>
      </c>
      <c r="H694" s="7" t="s">
        <v>580</v>
      </c>
      <c r="I694" s="256"/>
      <c r="J694" s="256"/>
      <c r="K694" s="38">
        <v>849680</v>
      </c>
      <c r="L694" s="194" t="s">
        <v>265</v>
      </c>
      <c r="M694" s="194" t="s">
        <v>429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850"/>
      <c r="AB694" s="211"/>
      <c r="AC694" s="594" t="str">
        <f t="shared" si="208"/>
        <v/>
      </c>
      <c r="AD694" s="594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ref="B695" si="230">IF(C695&lt;&gt;"",MONTH(C695),"")</f>
        <v>6</v>
      </c>
      <c r="C695" s="191">
        <f t="shared" ref="C695" si="231">E695</f>
        <v>41443</v>
      </c>
      <c r="D695" s="184" t="s">
        <v>1079</v>
      </c>
      <c r="E695" s="191">
        <v>41443</v>
      </c>
      <c r="F695" s="189" t="s">
        <v>341</v>
      </c>
      <c r="G695" s="487" t="s">
        <v>852</v>
      </c>
      <c r="H695" s="7" t="s">
        <v>580</v>
      </c>
      <c r="I695" s="256"/>
      <c r="J695" s="256"/>
      <c r="K695" s="38">
        <v>9346480</v>
      </c>
      <c r="L695" s="194" t="s">
        <v>47</v>
      </c>
      <c r="M695" s="194" t="s">
        <v>265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>x</v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850"/>
      <c r="AB695" s="211"/>
      <c r="AC695" s="594" t="str">
        <f t="shared" ref="AC695" si="232">IF(VLOOKUP(H695,DS_131,1,0)&lt;&gt;"","","x")</f>
        <v/>
      </c>
      <c r="AD695" s="594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212"/>
        <v>6</v>
      </c>
      <c r="C696" s="191">
        <f t="shared" si="216"/>
        <v>41444</v>
      </c>
      <c r="D696" s="184" t="s">
        <v>1080</v>
      </c>
      <c r="E696" s="191">
        <v>41444</v>
      </c>
      <c r="F696" s="192" t="s">
        <v>742</v>
      </c>
      <c r="G696" s="487" t="s">
        <v>853</v>
      </c>
      <c r="H696" s="193" t="s">
        <v>744</v>
      </c>
      <c r="I696" s="256">
        <v>402</v>
      </c>
      <c r="J696" s="256">
        <v>25000</v>
      </c>
      <c r="K696" s="38">
        <f>ROUND(I696*J696,0)</f>
        <v>10050000</v>
      </c>
      <c r="L696" s="194" t="s">
        <v>265</v>
      </c>
      <c r="M696" s="194" t="s">
        <v>175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850"/>
      <c r="AB696" s="211"/>
      <c r="AC696" s="594"/>
      <c r="AD696" s="594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212"/>
        <v>6</v>
      </c>
      <c r="C697" s="191">
        <f t="shared" si="216"/>
        <v>41444</v>
      </c>
      <c r="D697" s="184" t="s">
        <v>1080</v>
      </c>
      <c r="E697" s="191">
        <v>41444</v>
      </c>
      <c r="F697" s="192" t="s">
        <v>724</v>
      </c>
      <c r="G697" s="487" t="s">
        <v>853</v>
      </c>
      <c r="H697" s="193" t="s">
        <v>744</v>
      </c>
      <c r="I697" s="256"/>
      <c r="J697" s="256"/>
      <c r="K697" s="38">
        <v>1005000</v>
      </c>
      <c r="L697" s="194" t="s">
        <v>265</v>
      </c>
      <c r="M697" s="194" t="s">
        <v>429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850"/>
      <c r="AB697" s="211"/>
      <c r="AC697" s="594" t="str">
        <f t="shared" si="208"/>
        <v/>
      </c>
      <c r="AD697" s="594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ref="B698" si="233">IF(C698&lt;&gt;"",MONTH(C698),"")</f>
        <v>6</v>
      </c>
      <c r="C698" s="191">
        <f t="shared" ref="C698" si="234">E698</f>
        <v>41444</v>
      </c>
      <c r="D698" s="184" t="s">
        <v>1080</v>
      </c>
      <c r="E698" s="191">
        <v>41444</v>
      </c>
      <c r="F698" s="189" t="s">
        <v>341</v>
      </c>
      <c r="G698" s="487" t="s">
        <v>853</v>
      </c>
      <c r="H698" s="193" t="s">
        <v>744</v>
      </c>
      <c r="I698" s="256"/>
      <c r="J698" s="256"/>
      <c r="K698" s="38">
        <v>11055000</v>
      </c>
      <c r="L698" s="194" t="s">
        <v>47</v>
      </c>
      <c r="M698" s="194" t="s">
        <v>265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>x</v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850"/>
      <c r="AB698" s="211"/>
      <c r="AC698" s="594" t="str">
        <f t="shared" ref="AC698" si="235">IF(VLOOKUP(H698,DS_131,1,0)&lt;&gt;"","","x")</f>
        <v/>
      </c>
      <c r="AD698" s="594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212"/>
        <v>6</v>
      </c>
      <c r="C699" s="191">
        <f t="shared" si="216"/>
        <v>41445</v>
      </c>
      <c r="D699" s="184" t="s">
        <v>1081</v>
      </c>
      <c r="E699" s="191">
        <v>41445</v>
      </c>
      <c r="F699" s="192" t="s">
        <v>815</v>
      </c>
      <c r="G699" s="192" t="s">
        <v>854</v>
      </c>
      <c r="H699" s="7" t="s">
        <v>1111</v>
      </c>
      <c r="I699" s="256">
        <v>495</v>
      </c>
      <c r="J699" s="256">
        <v>17300</v>
      </c>
      <c r="K699" s="38">
        <f t="shared" ref="K699:K700" si="236">ROUND(I699*J699,0)</f>
        <v>8563500</v>
      </c>
      <c r="L699" s="194" t="s">
        <v>265</v>
      </c>
      <c r="M699" s="194" t="s">
        <v>175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850"/>
      <c r="AB699" s="211"/>
      <c r="AC699" s="594"/>
      <c r="AD699" s="594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212"/>
        <v>6</v>
      </c>
      <c r="C700" s="191">
        <f t="shared" si="216"/>
        <v>41445</v>
      </c>
      <c r="D700" s="184" t="s">
        <v>1081</v>
      </c>
      <c r="E700" s="191">
        <v>41445</v>
      </c>
      <c r="F700" s="192" t="s">
        <v>817</v>
      </c>
      <c r="G700" s="192" t="s">
        <v>854</v>
      </c>
      <c r="H700" s="7" t="s">
        <v>1111</v>
      </c>
      <c r="I700" s="256">
        <v>1500</v>
      </c>
      <c r="J700" s="256">
        <v>1500</v>
      </c>
      <c r="K700" s="38">
        <f t="shared" si="236"/>
        <v>2250000</v>
      </c>
      <c r="L700" s="194" t="s">
        <v>265</v>
      </c>
      <c r="M700" s="194" t="s">
        <v>175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850"/>
      <c r="AB700" s="211"/>
      <c r="AC700" s="594"/>
      <c r="AD700" s="594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212"/>
        <v>6</v>
      </c>
      <c r="C701" s="191">
        <f t="shared" si="216"/>
        <v>41445</v>
      </c>
      <c r="D701" s="184" t="s">
        <v>1081</v>
      </c>
      <c r="E701" s="191">
        <v>41445</v>
      </c>
      <c r="F701" s="192" t="s">
        <v>724</v>
      </c>
      <c r="G701" s="192" t="s">
        <v>854</v>
      </c>
      <c r="H701" s="7" t="s">
        <v>1111</v>
      </c>
      <c r="I701" s="256"/>
      <c r="J701" s="256"/>
      <c r="K701" s="38">
        <v>1081350</v>
      </c>
      <c r="L701" s="194" t="s">
        <v>265</v>
      </c>
      <c r="M701" s="194" t="s">
        <v>429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850"/>
      <c r="AB701" s="211"/>
      <c r="AC701" s="594" t="str">
        <f t="shared" si="208"/>
        <v/>
      </c>
      <c r="AD701" s="594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212"/>
        <v>6</v>
      </c>
      <c r="C702" s="191">
        <f t="shared" si="216"/>
        <v>41445</v>
      </c>
      <c r="D702" s="184" t="s">
        <v>1082</v>
      </c>
      <c r="E702" s="191">
        <v>41445</v>
      </c>
      <c r="F702" s="192" t="s">
        <v>1129</v>
      </c>
      <c r="G702" s="192" t="s">
        <v>855</v>
      </c>
      <c r="H702" s="7" t="s">
        <v>541</v>
      </c>
      <c r="I702" s="256">
        <v>212</v>
      </c>
      <c r="J702" s="256">
        <v>6850</v>
      </c>
      <c r="K702" s="38">
        <f t="shared" ref="K702:K703" si="237">ROUND(I702*J702,0)</f>
        <v>1452200</v>
      </c>
      <c r="L702" s="194" t="s">
        <v>265</v>
      </c>
      <c r="M702" s="194" t="s">
        <v>175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850"/>
      <c r="AB702" s="211"/>
      <c r="AC702" s="594"/>
      <c r="AD702" s="594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212"/>
        <v>6</v>
      </c>
      <c r="C703" s="191">
        <f t="shared" si="216"/>
        <v>41445</v>
      </c>
      <c r="D703" s="184" t="s">
        <v>1082</v>
      </c>
      <c r="E703" s="191">
        <v>41445</v>
      </c>
      <c r="F703" s="192" t="s">
        <v>1128</v>
      </c>
      <c r="G703" s="192" t="s">
        <v>855</v>
      </c>
      <c r="H703" s="7" t="s">
        <v>541</v>
      </c>
      <c r="I703" s="256">
        <v>195</v>
      </c>
      <c r="J703" s="256">
        <v>14100</v>
      </c>
      <c r="K703" s="38">
        <f t="shared" si="237"/>
        <v>2749500</v>
      </c>
      <c r="L703" s="194" t="s">
        <v>265</v>
      </c>
      <c r="M703" s="194" t="s">
        <v>175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850"/>
      <c r="AB703" s="211"/>
      <c r="AC703" s="594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212"/>
        <v>6</v>
      </c>
      <c r="C704" s="191">
        <f t="shared" si="216"/>
        <v>41445</v>
      </c>
      <c r="D704" s="184" t="s">
        <v>1082</v>
      </c>
      <c r="E704" s="191">
        <v>41445</v>
      </c>
      <c r="F704" s="192" t="s">
        <v>724</v>
      </c>
      <c r="G704" s="192" t="s">
        <v>855</v>
      </c>
      <c r="H704" s="7" t="s">
        <v>541</v>
      </c>
      <c r="I704" s="256"/>
      <c r="J704" s="256"/>
      <c r="K704" s="38">
        <v>420170</v>
      </c>
      <c r="L704" s="194" t="s">
        <v>265</v>
      </c>
      <c r="M704" s="194" t="s">
        <v>429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850"/>
      <c r="AB704" s="211"/>
      <c r="AC704" s="594" t="str">
        <f t="shared" si="208"/>
        <v/>
      </c>
      <c r="AD704" s="594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212"/>
        <v>6</v>
      </c>
      <c r="C705" s="191">
        <f t="shared" si="216"/>
        <v>41445</v>
      </c>
      <c r="D705" s="184" t="s">
        <v>1083</v>
      </c>
      <c r="E705" s="191">
        <v>41445</v>
      </c>
      <c r="F705" s="192" t="s">
        <v>829</v>
      </c>
      <c r="G705" s="192" t="s">
        <v>856</v>
      </c>
      <c r="H705" s="7" t="s">
        <v>530</v>
      </c>
      <c r="I705" s="256">
        <v>508</v>
      </c>
      <c r="J705" s="256">
        <v>5210</v>
      </c>
      <c r="K705" s="38">
        <f t="shared" ref="K705:K707" si="238">ROUND(I705*J705,0)</f>
        <v>2646680</v>
      </c>
      <c r="L705" s="194" t="s">
        <v>265</v>
      </c>
      <c r="M705" s="194" t="s">
        <v>175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850"/>
      <c r="AB705" s="211"/>
      <c r="AC705" s="594"/>
      <c r="AD705" s="594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212"/>
        <v>6</v>
      </c>
      <c r="C706" s="191">
        <f t="shared" si="216"/>
        <v>41445</v>
      </c>
      <c r="D706" s="184" t="s">
        <v>1083</v>
      </c>
      <c r="E706" s="191">
        <v>41445</v>
      </c>
      <c r="F706" s="192" t="s">
        <v>831</v>
      </c>
      <c r="G706" s="192" t="s">
        <v>856</v>
      </c>
      <c r="H706" s="7" t="s">
        <v>530</v>
      </c>
      <c r="I706" s="256">
        <v>305</v>
      </c>
      <c r="J706" s="256">
        <v>5117</v>
      </c>
      <c r="K706" s="38">
        <f t="shared" si="238"/>
        <v>1560685</v>
      </c>
      <c r="L706" s="194" t="s">
        <v>265</v>
      </c>
      <c r="M706" s="194" t="s">
        <v>175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850"/>
      <c r="AB706" s="594"/>
      <c r="AC706" s="594"/>
      <c r="AD706" s="594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212"/>
        <v>6</v>
      </c>
      <c r="C707" s="191">
        <f t="shared" si="216"/>
        <v>41445</v>
      </c>
      <c r="D707" s="184" t="s">
        <v>1083</v>
      </c>
      <c r="E707" s="191">
        <v>41445</v>
      </c>
      <c r="F707" s="192" t="s">
        <v>1138</v>
      </c>
      <c r="G707" s="192" t="s">
        <v>856</v>
      </c>
      <c r="H707" s="7" t="s">
        <v>530</v>
      </c>
      <c r="I707" s="256">
        <v>484</v>
      </c>
      <c r="J707" s="256">
        <v>5401</v>
      </c>
      <c r="K707" s="38">
        <f t="shared" si="238"/>
        <v>2614084</v>
      </c>
      <c r="L707" s="194" t="s">
        <v>265</v>
      </c>
      <c r="M707" s="194" t="s">
        <v>175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850"/>
      <c r="AB707" s="211"/>
      <c r="AC707" s="594"/>
      <c r="AD707" s="594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212"/>
        <v>6</v>
      </c>
      <c r="C708" s="191">
        <f t="shared" si="216"/>
        <v>41445</v>
      </c>
      <c r="D708" s="184" t="s">
        <v>1083</v>
      </c>
      <c r="E708" s="191">
        <v>41445</v>
      </c>
      <c r="F708" s="192" t="s">
        <v>724</v>
      </c>
      <c r="G708" s="192" t="s">
        <v>856</v>
      </c>
      <c r="H708" s="7" t="s">
        <v>530</v>
      </c>
      <c r="I708" s="256"/>
      <c r="J708" s="256"/>
      <c r="K708" s="38">
        <v>682145</v>
      </c>
      <c r="L708" s="194" t="s">
        <v>265</v>
      </c>
      <c r="M708" s="194" t="s">
        <v>429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850"/>
      <c r="AB708" s="594"/>
      <c r="AC708" s="594" t="str">
        <f t="shared" si="208"/>
        <v/>
      </c>
      <c r="AD708" s="211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212"/>
        <v>6</v>
      </c>
      <c r="C709" s="191">
        <f t="shared" si="216"/>
        <v>41446</v>
      </c>
      <c r="D709" s="184" t="s">
        <v>1084</v>
      </c>
      <c r="E709" s="191">
        <v>41446</v>
      </c>
      <c r="F709" s="189" t="s">
        <v>1140</v>
      </c>
      <c r="G709" s="192" t="s">
        <v>857</v>
      </c>
      <c r="H709" s="193" t="s">
        <v>788</v>
      </c>
      <c r="I709" s="256">
        <v>1030</v>
      </c>
      <c r="J709" s="256">
        <v>5460</v>
      </c>
      <c r="K709" s="38">
        <f>ROUND(I709*J709,0)</f>
        <v>5623800</v>
      </c>
      <c r="L709" s="194" t="s">
        <v>265</v>
      </c>
      <c r="M709" s="194" t="s">
        <v>175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850"/>
      <c r="AB709" s="594"/>
      <c r="AC709" s="594"/>
      <c r="AD709" s="211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212"/>
        <v>6</v>
      </c>
      <c r="C710" s="191">
        <f t="shared" si="216"/>
        <v>41446</v>
      </c>
      <c r="D710" s="184" t="s">
        <v>1084</v>
      </c>
      <c r="E710" s="191">
        <v>41446</v>
      </c>
      <c r="F710" s="192" t="s">
        <v>724</v>
      </c>
      <c r="G710" s="192" t="s">
        <v>857</v>
      </c>
      <c r="H710" s="193" t="s">
        <v>788</v>
      </c>
      <c r="I710" s="256"/>
      <c r="J710" s="256"/>
      <c r="K710" s="38">
        <v>562380</v>
      </c>
      <c r="L710" s="194" t="s">
        <v>265</v>
      </c>
      <c r="M710" s="194" t="s">
        <v>429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850"/>
      <c r="AB710" s="211"/>
      <c r="AC710" s="594" t="str">
        <f t="shared" si="208"/>
        <v/>
      </c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212"/>
        <v>6</v>
      </c>
      <c r="C711" s="191">
        <f t="shared" si="216"/>
        <v>41451</v>
      </c>
      <c r="D711" s="184" t="s">
        <v>1085</v>
      </c>
      <c r="E711" s="191">
        <v>41451</v>
      </c>
      <c r="F711" s="192" t="s">
        <v>836</v>
      </c>
      <c r="G711" s="192" t="s">
        <v>858</v>
      </c>
      <c r="H711" s="210" t="s">
        <v>741</v>
      </c>
      <c r="I711" s="256">
        <v>500</v>
      </c>
      <c r="J711" s="256">
        <v>10500</v>
      </c>
      <c r="K711" s="38">
        <f>ROUND(I711*J711,0)</f>
        <v>5250000</v>
      </c>
      <c r="L711" s="194" t="s">
        <v>265</v>
      </c>
      <c r="M711" s="194" t="s">
        <v>175</v>
      </c>
      <c r="N711" s="52" t="str">
        <f>IF(AND('331-CT'!$E$7=TH!H711,OR(L711="331",M711="331")),"331",IF(AND(OR(L711="131",M711="131"),H711='131-CT'!$E$7),"131",""))</f>
        <v>131</v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850"/>
      <c r="AB711" s="594"/>
      <c r="AC711" s="594"/>
      <c r="AD711" s="594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212"/>
        <v>6</v>
      </c>
      <c r="C712" s="191">
        <f t="shared" si="216"/>
        <v>41451</v>
      </c>
      <c r="D712" s="184" t="s">
        <v>1085</v>
      </c>
      <c r="E712" s="191">
        <v>41451</v>
      </c>
      <c r="F712" s="192" t="s">
        <v>724</v>
      </c>
      <c r="G712" s="192" t="s">
        <v>858</v>
      </c>
      <c r="H712" s="210" t="s">
        <v>741</v>
      </c>
      <c r="I712" s="256"/>
      <c r="J712" s="256"/>
      <c r="K712" s="38">
        <v>525000</v>
      </c>
      <c r="L712" s="194" t="s">
        <v>265</v>
      </c>
      <c r="M712" s="194" t="s">
        <v>429</v>
      </c>
      <c r="N712" s="52" t="str">
        <f>IF(AND('331-CT'!$E$7=TH!H712,OR(L712="331",M712="331")),"331",IF(AND(OR(L712="131",M712="131"),H712='131-CT'!$E$7),"131",""))</f>
        <v>131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850"/>
      <c r="AB712" s="211"/>
      <c r="AC712" s="594" t="str">
        <f t="shared" si="208"/>
        <v/>
      </c>
      <c r="AD712" s="594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ref="B713" si="239">IF(C713&lt;&gt;"",MONTH(C713),"")</f>
        <v>6</v>
      </c>
      <c r="C713" s="191">
        <f t="shared" ref="C713" si="240">E713</f>
        <v>41451</v>
      </c>
      <c r="D713" s="184" t="s">
        <v>1085</v>
      </c>
      <c r="E713" s="191">
        <v>41451</v>
      </c>
      <c r="F713" s="189" t="s">
        <v>341</v>
      </c>
      <c r="G713" s="192" t="s">
        <v>858</v>
      </c>
      <c r="H713" s="210" t="s">
        <v>741</v>
      </c>
      <c r="I713" s="256"/>
      <c r="J713" s="256"/>
      <c r="K713" s="38">
        <v>5775000</v>
      </c>
      <c r="L713" s="194" t="s">
        <v>47</v>
      </c>
      <c r="M713" s="194" t="s">
        <v>265</v>
      </c>
      <c r="N713" s="52" t="str">
        <f>IF(AND('331-CT'!$E$7=TH!H713,OR(L713="331",M713="331")),"331",IF(AND(OR(L713="131",M713="131"),H713='131-CT'!$E$7),"131",""))</f>
        <v>131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>x</v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850"/>
      <c r="AB713" s="211"/>
      <c r="AC713" s="594" t="str">
        <f t="shared" ref="AC713" si="241">IF(VLOOKUP(H713,DS_131,1,0)&lt;&gt;"","","x")</f>
        <v/>
      </c>
      <c r="AD713" s="594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212"/>
        <v>6</v>
      </c>
      <c r="C714" s="191">
        <f t="shared" si="216"/>
        <v>41451</v>
      </c>
      <c r="D714" s="184" t="s">
        <v>1086</v>
      </c>
      <c r="E714" s="191">
        <v>41451</v>
      </c>
      <c r="F714" s="192" t="s">
        <v>859</v>
      </c>
      <c r="G714" s="192" t="s">
        <v>860</v>
      </c>
      <c r="H714" s="7" t="s">
        <v>431</v>
      </c>
      <c r="I714" s="256">
        <v>1480</v>
      </c>
      <c r="J714" s="256">
        <v>19200</v>
      </c>
      <c r="K714" s="38">
        <f>ROUND(I714*J714,0)</f>
        <v>28416000</v>
      </c>
      <c r="L714" s="194" t="s">
        <v>265</v>
      </c>
      <c r="M714" s="194" t="s">
        <v>175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850"/>
      <c r="AB714" s="211"/>
      <c r="AC714" s="594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212"/>
        <v>6</v>
      </c>
      <c r="C715" s="191">
        <f t="shared" si="216"/>
        <v>41451</v>
      </c>
      <c r="D715" s="184" t="s">
        <v>1086</v>
      </c>
      <c r="E715" s="191">
        <v>41451</v>
      </c>
      <c r="F715" s="192" t="s">
        <v>724</v>
      </c>
      <c r="G715" s="192" t="s">
        <v>860</v>
      </c>
      <c r="H715" s="7" t="s">
        <v>431</v>
      </c>
      <c r="I715" s="256"/>
      <c r="J715" s="256"/>
      <c r="K715" s="38">
        <v>2841600</v>
      </c>
      <c r="L715" s="194" t="s">
        <v>265</v>
      </c>
      <c r="M715" s="194" t="s">
        <v>429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850"/>
      <c r="AB715" s="594"/>
      <c r="AC715" s="594" t="str">
        <f t="shared" si="208"/>
        <v/>
      </c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212"/>
        <v>6</v>
      </c>
      <c r="C716" s="191">
        <f t="shared" si="216"/>
        <v>41452</v>
      </c>
      <c r="D716" s="184" t="s">
        <v>1087</v>
      </c>
      <c r="E716" s="191">
        <v>41452</v>
      </c>
      <c r="F716" s="192" t="s">
        <v>1135</v>
      </c>
      <c r="G716" s="192" t="s">
        <v>861</v>
      </c>
      <c r="H716" s="7" t="s">
        <v>431</v>
      </c>
      <c r="I716" s="256">
        <v>3077</v>
      </c>
      <c r="J716" s="256">
        <v>6250</v>
      </c>
      <c r="K716" s="38">
        <f>ROUND(I716*J716,0)</f>
        <v>19231250</v>
      </c>
      <c r="L716" s="194" t="s">
        <v>265</v>
      </c>
      <c r="M716" s="194" t="s">
        <v>175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850"/>
      <c r="AB716" s="211"/>
      <c r="AC716" s="594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212"/>
        <v>6</v>
      </c>
      <c r="C717" s="191">
        <f t="shared" si="216"/>
        <v>41452</v>
      </c>
      <c r="D717" s="184" t="s">
        <v>1087</v>
      </c>
      <c r="E717" s="191">
        <v>41452</v>
      </c>
      <c r="F717" s="192" t="s">
        <v>724</v>
      </c>
      <c r="G717" s="192" t="s">
        <v>861</v>
      </c>
      <c r="H717" s="7" t="s">
        <v>431</v>
      </c>
      <c r="I717" s="256"/>
      <c r="J717" s="256"/>
      <c r="K717" s="38">
        <v>1923125</v>
      </c>
      <c r="L717" s="194" t="s">
        <v>265</v>
      </c>
      <c r="M717" s="194" t="s">
        <v>429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850"/>
      <c r="AB717" s="594"/>
      <c r="AC717" s="594" t="str">
        <f t="shared" ref="AC717:AC785" si="242">IF(VLOOKUP(H717,DS_131,1,0)&lt;&gt;"","","x")</f>
        <v/>
      </c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212"/>
        <v>7</v>
      </c>
      <c r="C718" s="191">
        <f t="shared" si="216"/>
        <v>41460</v>
      </c>
      <c r="D718" s="184" t="s">
        <v>1045</v>
      </c>
      <c r="E718" s="191">
        <v>41460</v>
      </c>
      <c r="F718" s="192" t="s">
        <v>1163</v>
      </c>
      <c r="G718" s="192" t="s">
        <v>862</v>
      </c>
      <c r="H718" s="7" t="s">
        <v>863</v>
      </c>
      <c r="I718" s="256">
        <v>527</v>
      </c>
      <c r="J718" s="256">
        <v>6700</v>
      </c>
      <c r="K718" s="38">
        <f t="shared" ref="K718:K719" si="243">ROUND(I718*J718,0)</f>
        <v>3530900</v>
      </c>
      <c r="L718" s="194" t="s">
        <v>265</v>
      </c>
      <c r="M718" s="194" t="s">
        <v>175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50"/>
      <c r="AB718" s="211">
        <v>7</v>
      </c>
      <c r="AC718" s="594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212"/>
        <v>7</v>
      </c>
      <c r="C719" s="191">
        <f t="shared" si="216"/>
        <v>41460</v>
      </c>
      <c r="D719" s="184" t="s">
        <v>1045</v>
      </c>
      <c r="E719" s="191">
        <v>41460</v>
      </c>
      <c r="F719" s="192" t="s">
        <v>864</v>
      </c>
      <c r="G719" s="192" t="s">
        <v>862</v>
      </c>
      <c r="H719" s="7" t="s">
        <v>863</v>
      </c>
      <c r="I719" s="256">
        <v>506</v>
      </c>
      <c r="J719" s="256">
        <v>6800</v>
      </c>
      <c r="K719" s="38">
        <f t="shared" si="243"/>
        <v>3440800</v>
      </c>
      <c r="L719" s="194" t="s">
        <v>265</v>
      </c>
      <c r="M719" s="194" t="s">
        <v>175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50"/>
      <c r="AC719" s="594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212"/>
        <v>7</v>
      </c>
      <c r="C720" s="191">
        <f t="shared" si="216"/>
        <v>41460</v>
      </c>
      <c r="D720" s="184" t="s">
        <v>1045</v>
      </c>
      <c r="E720" s="191">
        <v>41460</v>
      </c>
      <c r="F720" s="192" t="s">
        <v>724</v>
      </c>
      <c r="G720" s="192" t="s">
        <v>862</v>
      </c>
      <c r="H720" s="7" t="s">
        <v>863</v>
      </c>
      <c r="I720" s="256"/>
      <c r="J720" s="256"/>
      <c r="K720" s="38">
        <v>697170</v>
      </c>
      <c r="L720" s="194" t="s">
        <v>265</v>
      </c>
      <c r="M720" s="194" t="s">
        <v>429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50"/>
      <c r="AC720" s="594" t="str">
        <f t="shared" si="242"/>
        <v/>
      </c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212"/>
        <v>7</v>
      </c>
      <c r="C721" s="191">
        <f t="shared" si="216"/>
        <v>41463</v>
      </c>
      <c r="D721" s="184" t="s">
        <v>1046</v>
      </c>
      <c r="E721" s="191">
        <v>41463</v>
      </c>
      <c r="F721" s="192" t="s">
        <v>865</v>
      </c>
      <c r="G721" s="192" t="s">
        <v>866</v>
      </c>
      <c r="H721" s="7" t="s">
        <v>580</v>
      </c>
      <c r="I721" s="256">
        <v>144</v>
      </c>
      <c r="J721" s="256">
        <v>20300</v>
      </c>
      <c r="K721" s="38">
        <f t="shared" ref="K721:K722" si="244">ROUND(I721*J721,0)</f>
        <v>2923200</v>
      </c>
      <c r="L721" s="194" t="s">
        <v>265</v>
      </c>
      <c r="M721" s="194" t="s">
        <v>175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50"/>
      <c r="AC721" s="594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ref="B722:B792" si="245">IF(C722&lt;&gt;"",MONTH(C722),"")</f>
        <v>7</v>
      </c>
      <c r="C722" s="191">
        <f t="shared" si="216"/>
        <v>41463</v>
      </c>
      <c r="D722" s="184" t="s">
        <v>1046</v>
      </c>
      <c r="E722" s="191">
        <v>41463</v>
      </c>
      <c r="F722" s="192" t="s">
        <v>867</v>
      </c>
      <c r="G722" s="192" t="s">
        <v>866</v>
      </c>
      <c r="H722" s="7" t="s">
        <v>580</v>
      </c>
      <c r="I722" s="256">
        <v>115</v>
      </c>
      <c r="J722" s="256">
        <v>21300</v>
      </c>
      <c r="K722" s="38">
        <f t="shared" si="244"/>
        <v>2449500</v>
      </c>
      <c r="L722" s="194" t="s">
        <v>265</v>
      </c>
      <c r="M722" s="194" t="s">
        <v>175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50"/>
      <c r="AC722" s="594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245"/>
        <v>7</v>
      </c>
      <c r="C723" s="191">
        <f t="shared" si="216"/>
        <v>41463</v>
      </c>
      <c r="D723" s="184" t="s">
        <v>1046</v>
      </c>
      <c r="E723" s="191">
        <v>41463</v>
      </c>
      <c r="F723" s="192" t="s">
        <v>724</v>
      </c>
      <c r="G723" s="192" t="s">
        <v>866</v>
      </c>
      <c r="H723" s="7" t="s">
        <v>580</v>
      </c>
      <c r="I723" s="256"/>
      <c r="J723" s="256"/>
      <c r="K723" s="38">
        <v>537270</v>
      </c>
      <c r="L723" s="194" t="s">
        <v>265</v>
      </c>
      <c r="M723" s="194" t="s">
        <v>429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50"/>
      <c r="AC723" s="594" t="str">
        <f t="shared" si="242"/>
        <v/>
      </c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ref="B724" si="246">IF(C724&lt;&gt;"",MONTH(C724),"")</f>
        <v>7</v>
      </c>
      <c r="C724" s="191">
        <f t="shared" ref="C724" si="247">E724</f>
        <v>41463</v>
      </c>
      <c r="D724" s="184" t="s">
        <v>1046</v>
      </c>
      <c r="E724" s="191">
        <v>41463</v>
      </c>
      <c r="F724" s="189" t="s">
        <v>341</v>
      </c>
      <c r="G724" s="192" t="s">
        <v>866</v>
      </c>
      <c r="H724" s="7" t="s">
        <v>580</v>
      </c>
      <c r="I724" s="256"/>
      <c r="J724" s="256"/>
      <c r="K724" s="38">
        <v>5909970</v>
      </c>
      <c r="L724" s="194" t="s">
        <v>47</v>
      </c>
      <c r="M724" s="194" t="s">
        <v>265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>x</v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50"/>
      <c r="AC724" s="594" t="str">
        <f t="shared" ref="AC724" si="248">IF(VLOOKUP(H724,DS_131,1,0)&lt;&gt;"","","x")</f>
        <v/>
      </c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245"/>
        <v>7</v>
      </c>
      <c r="C725" s="191">
        <f t="shared" si="216"/>
        <v>41463</v>
      </c>
      <c r="D725" s="184" t="s">
        <v>1047</v>
      </c>
      <c r="E725" s="191">
        <v>41463</v>
      </c>
      <c r="F725" s="192" t="s">
        <v>721</v>
      </c>
      <c r="G725" s="192" t="s">
        <v>868</v>
      </c>
      <c r="H725" s="7" t="s">
        <v>499</v>
      </c>
      <c r="I725" s="256">
        <v>592</v>
      </c>
      <c r="J725" s="256">
        <v>5700</v>
      </c>
      <c r="K725" s="38">
        <f t="shared" ref="K725:K728" si="249">ROUND(I725*J725,0)</f>
        <v>3374400</v>
      </c>
      <c r="L725" s="194" t="s">
        <v>265</v>
      </c>
      <c r="M725" s="194" t="s">
        <v>175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50"/>
      <c r="AC725" s="594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245"/>
        <v>7</v>
      </c>
      <c r="C726" s="191">
        <f t="shared" ref="C726:C795" si="250">E726</f>
        <v>41463</v>
      </c>
      <c r="D726" s="184" t="s">
        <v>1047</v>
      </c>
      <c r="E726" s="191">
        <v>41463</v>
      </c>
      <c r="F726" s="192" t="s">
        <v>723</v>
      </c>
      <c r="G726" s="192" t="s">
        <v>868</v>
      </c>
      <c r="H726" s="7" t="s">
        <v>499</v>
      </c>
      <c r="I726" s="256">
        <v>609</v>
      </c>
      <c r="J726" s="256">
        <v>4600</v>
      </c>
      <c r="K726" s="38">
        <f t="shared" si="249"/>
        <v>2801400</v>
      </c>
      <c r="L726" s="194" t="s">
        <v>265</v>
      </c>
      <c r="M726" s="194" t="s">
        <v>175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50"/>
      <c r="AC726" s="594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245"/>
        <v>7</v>
      </c>
      <c r="C727" s="191">
        <f t="shared" si="250"/>
        <v>41463</v>
      </c>
      <c r="D727" s="184" t="s">
        <v>1047</v>
      </c>
      <c r="E727" s="191">
        <v>41463</v>
      </c>
      <c r="F727" s="192" t="s">
        <v>869</v>
      </c>
      <c r="G727" s="487" t="s">
        <v>868</v>
      </c>
      <c r="H727" s="7" t="s">
        <v>499</v>
      </c>
      <c r="I727" s="256">
        <v>813</v>
      </c>
      <c r="J727" s="256">
        <v>8900</v>
      </c>
      <c r="K727" s="38">
        <f t="shared" si="249"/>
        <v>7235700</v>
      </c>
      <c r="L727" s="194" t="s">
        <v>265</v>
      </c>
      <c r="M727" s="194" t="s">
        <v>175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850"/>
      <c r="AC727" s="594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245"/>
        <v>7</v>
      </c>
      <c r="C728" s="191">
        <f t="shared" si="250"/>
        <v>41463</v>
      </c>
      <c r="D728" s="184" t="s">
        <v>1047</v>
      </c>
      <c r="E728" s="191">
        <v>41463</v>
      </c>
      <c r="F728" s="192" t="s">
        <v>870</v>
      </c>
      <c r="G728" s="487" t="s">
        <v>868</v>
      </c>
      <c r="H728" s="210" t="s">
        <v>499</v>
      </c>
      <c r="I728" s="256">
        <v>656</v>
      </c>
      <c r="J728" s="256">
        <v>7200</v>
      </c>
      <c r="K728" s="38">
        <f t="shared" si="249"/>
        <v>4723200</v>
      </c>
      <c r="L728" s="194" t="s">
        <v>265</v>
      </c>
      <c r="M728" s="194" t="s">
        <v>175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850"/>
      <c r="AC728" s="594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si="245"/>
        <v>7</v>
      </c>
      <c r="C729" s="191">
        <f t="shared" si="250"/>
        <v>41463</v>
      </c>
      <c r="D729" s="184" t="s">
        <v>1047</v>
      </c>
      <c r="E729" s="191">
        <v>41463</v>
      </c>
      <c r="F729" s="192" t="s">
        <v>724</v>
      </c>
      <c r="G729" s="487" t="s">
        <v>868</v>
      </c>
      <c r="H729" s="193" t="s">
        <v>499</v>
      </c>
      <c r="I729" s="256"/>
      <c r="J729" s="256"/>
      <c r="K729" s="38">
        <v>1813470</v>
      </c>
      <c r="L729" s="194" t="s">
        <v>265</v>
      </c>
      <c r="M729" s="194" t="s">
        <v>429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850"/>
      <c r="AB729" s="594"/>
      <c r="AC729" s="594" t="str">
        <f t="shared" si="242"/>
        <v/>
      </c>
      <c r="AD729" s="594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245"/>
        <v>7</v>
      </c>
      <c r="C730" s="191">
        <f t="shared" si="250"/>
        <v>41475</v>
      </c>
      <c r="D730" s="184" t="s">
        <v>1048</v>
      </c>
      <c r="E730" s="191">
        <v>41475</v>
      </c>
      <c r="F730" s="192" t="s">
        <v>729</v>
      </c>
      <c r="G730" s="487" t="s">
        <v>871</v>
      </c>
      <c r="H730" s="193" t="s">
        <v>501</v>
      </c>
      <c r="I730" s="256">
        <v>1027</v>
      </c>
      <c r="J730" s="256">
        <v>8740</v>
      </c>
      <c r="K730" s="38">
        <f>ROUND(I730*J730,0)</f>
        <v>8975980</v>
      </c>
      <c r="L730" s="194" t="s">
        <v>265</v>
      </c>
      <c r="M730" s="194" t="s">
        <v>175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850"/>
      <c r="AB730" s="594">
        <v>6</v>
      </c>
      <c r="AC730" s="594"/>
      <c r="AD730" s="594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245"/>
        <v>7</v>
      </c>
      <c r="C731" s="191">
        <f t="shared" si="250"/>
        <v>41475</v>
      </c>
      <c r="D731" s="184" t="s">
        <v>1048</v>
      </c>
      <c r="E731" s="191">
        <v>41475</v>
      </c>
      <c r="F731" s="192" t="s">
        <v>724</v>
      </c>
      <c r="G731" s="487" t="s">
        <v>871</v>
      </c>
      <c r="H731" s="210" t="s">
        <v>501</v>
      </c>
      <c r="I731" s="256"/>
      <c r="J731" s="256"/>
      <c r="K731" s="38">
        <v>897598</v>
      </c>
      <c r="L731" s="194" t="s">
        <v>265</v>
      </c>
      <c r="M731" s="194" t="s">
        <v>429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850"/>
      <c r="AB731" s="594"/>
      <c r="AC731" s="594" t="str">
        <f t="shared" si="242"/>
        <v/>
      </c>
      <c r="AD731" s="594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245"/>
        <v>7</v>
      </c>
      <c r="C732" s="191">
        <f t="shared" si="250"/>
        <v>41475</v>
      </c>
      <c r="D732" s="184" t="s">
        <v>1049</v>
      </c>
      <c r="E732" s="191">
        <v>41475</v>
      </c>
      <c r="F732" s="192" t="s">
        <v>836</v>
      </c>
      <c r="G732" s="487" t="s">
        <v>872</v>
      </c>
      <c r="H732" s="193" t="s">
        <v>741</v>
      </c>
      <c r="I732" s="256">
        <v>749</v>
      </c>
      <c r="J732" s="256">
        <v>10500</v>
      </c>
      <c r="K732" s="38">
        <f>ROUND(I732*J732,0)</f>
        <v>7864500</v>
      </c>
      <c r="L732" s="194" t="s">
        <v>265</v>
      </c>
      <c r="M732" s="194" t="s">
        <v>175</v>
      </c>
      <c r="N732" s="52" t="str">
        <f>IF(AND('331-CT'!$E$7=TH!H732,OR(L732="331",M732="331")),"331",IF(AND(OR(L732="131",M732="131"),H732='131-CT'!$E$7),"131",""))</f>
        <v>131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850"/>
      <c r="AB732" s="594"/>
      <c r="AC732" s="594"/>
      <c r="AD732" s="594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245"/>
        <v>7</v>
      </c>
      <c r="C733" s="191">
        <f t="shared" si="250"/>
        <v>41475</v>
      </c>
      <c r="D733" s="184" t="s">
        <v>1049</v>
      </c>
      <c r="E733" s="191">
        <v>41475</v>
      </c>
      <c r="F733" s="192" t="s">
        <v>724</v>
      </c>
      <c r="G733" s="487" t="s">
        <v>872</v>
      </c>
      <c r="H733" s="193" t="s">
        <v>741</v>
      </c>
      <c r="I733" s="256"/>
      <c r="J733" s="256"/>
      <c r="K733" s="38">
        <v>786450</v>
      </c>
      <c r="L733" s="194" t="s">
        <v>265</v>
      </c>
      <c r="M733" s="194" t="s">
        <v>429</v>
      </c>
      <c r="N733" s="52" t="str">
        <f>IF(AND('331-CT'!$E$7=TH!H733,OR(L733="331",M733="331")),"331",IF(AND(OR(L733="131",M733="131"),H733='131-CT'!$E$7),"131",""))</f>
        <v>131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850"/>
      <c r="AB733" s="594"/>
      <c r="AC733" s="594" t="str">
        <f t="shared" si="242"/>
        <v/>
      </c>
      <c r="AD733" s="594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ref="B734" si="251">IF(C734&lt;&gt;"",MONTH(C734),"")</f>
        <v>7</v>
      </c>
      <c r="C734" s="191">
        <f t="shared" ref="C734" si="252">E734</f>
        <v>41475</v>
      </c>
      <c r="D734" s="184" t="s">
        <v>1049</v>
      </c>
      <c r="E734" s="191">
        <v>41475</v>
      </c>
      <c r="F734" s="189" t="s">
        <v>341</v>
      </c>
      <c r="G734" s="487" t="s">
        <v>872</v>
      </c>
      <c r="H734" s="193" t="s">
        <v>741</v>
      </c>
      <c r="I734" s="256"/>
      <c r="J734" s="256"/>
      <c r="K734" s="38">
        <v>8650950</v>
      </c>
      <c r="L734" s="194" t="s">
        <v>47</v>
      </c>
      <c r="M734" s="194" t="s">
        <v>265</v>
      </c>
      <c r="N734" s="52" t="str">
        <f>IF(AND('331-CT'!$E$7=TH!H734,OR(L734="331",M734="331")),"331",IF(AND(OR(L734="131",M734="131"),H734='131-CT'!$E$7),"131",""))</f>
        <v>131</v>
      </c>
      <c r="O734" s="52" t="str">
        <f>IF(AND($B734&gt;='111'!$N$11,$B734&lt;='111'!$O$11,OR($L734=$O$7,$M734=$O$7)),"x","")</f>
        <v>x</v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850"/>
      <c r="AB734" s="594"/>
      <c r="AC734" s="594" t="str">
        <f t="shared" ref="AC734" si="253">IF(VLOOKUP(H734,DS_131,1,0)&lt;&gt;"","","x")</f>
        <v/>
      </c>
      <c r="AD734" s="594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245"/>
        <v>7</v>
      </c>
      <c r="C735" s="191">
        <f t="shared" si="250"/>
        <v>41477</v>
      </c>
      <c r="D735" s="184" t="s">
        <v>1050</v>
      </c>
      <c r="E735" s="191">
        <v>41477</v>
      </c>
      <c r="F735" s="192" t="s">
        <v>1154</v>
      </c>
      <c r="G735" s="487" t="s">
        <v>873</v>
      </c>
      <c r="H735" s="7" t="s">
        <v>538</v>
      </c>
      <c r="I735" s="256">
        <v>1527</v>
      </c>
      <c r="J735" s="256">
        <v>4540</v>
      </c>
      <c r="K735" s="38">
        <f t="shared" ref="K735:K736" si="254">ROUND(I735*J735,0)</f>
        <v>6932580</v>
      </c>
      <c r="L735" s="194" t="s">
        <v>265</v>
      </c>
      <c r="M735" s="194" t="s">
        <v>175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850"/>
      <c r="AB735" s="594"/>
      <c r="AC735" s="594"/>
      <c r="AD735" s="594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245"/>
        <v>7</v>
      </c>
      <c r="C736" s="191">
        <f t="shared" si="250"/>
        <v>41477</v>
      </c>
      <c r="D736" s="184" t="s">
        <v>1050</v>
      </c>
      <c r="E736" s="191">
        <v>41477</v>
      </c>
      <c r="F736" s="192" t="s">
        <v>874</v>
      </c>
      <c r="G736" s="487" t="s">
        <v>873</v>
      </c>
      <c r="H736" s="7" t="s">
        <v>538</v>
      </c>
      <c r="I736" s="256">
        <v>996</v>
      </c>
      <c r="J736" s="256">
        <v>11300</v>
      </c>
      <c r="K736" s="38">
        <f t="shared" si="254"/>
        <v>11254800</v>
      </c>
      <c r="L736" s="194" t="s">
        <v>265</v>
      </c>
      <c r="M736" s="194" t="s">
        <v>175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850"/>
      <c r="AB736" s="594"/>
      <c r="AC736" s="594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245"/>
        <v>7</v>
      </c>
      <c r="C737" s="191">
        <f t="shared" si="250"/>
        <v>41477</v>
      </c>
      <c r="D737" s="184" t="s">
        <v>1050</v>
      </c>
      <c r="E737" s="191">
        <v>41477</v>
      </c>
      <c r="F737" s="192" t="s">
        <v>724</v>
      </c>
      <c r="G737" s="487" t="s">
        <v>873</v>
      </c>
      <c r="H737" s="7" t="s">
        <v>538</v>
      </c>
      <c r="I737" s="256"/>
      <c r="J737" s="256"/>
      <c r="K737" s="38">
        <v>1818738</v>
      </c>
      <c r="L737" s="194" t="s">
        <v>265</v>
      </c>
      <c r="M737" s="194" t="s">
        <v>429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850"/>
      <c r="AB737" s="211"/>
      <c r="AC737" s="594" t="str">
        <f t="shared" si="242"/>
        <v/>
      </c>
      <c r="AD737" s="211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245"/>
        <v>7</v>
      </c>
      <c r="C738" s="191">
        <f t="shared" si="250"/>
        <v>41477</v>
      </c>
      <c r="D738" s="184" t="s">
        <v>1051</v>
      </c>
      <c r="E738" s="191">
        <v>41477</v>
      </c>
      <c r="F738" s="192" t="s">
        <v>875</v>
      </c>
      <c r="G738" s="487" t="s">
        <v>876</v>
      </c>
      <c r="H738" s="7" t="s">
        <v>877</v>
      </c>
      <c r="I738" s="256">
        <v>50</v>
      </c>
      <c r="J738" s="256">
        <v>38800</v>
      </c>
      <c r="K738" s="38">
        <f t="shared" ref="K738:K743" si="255">ROUND(I738*J738,0)</f>
        <v>1940000</v>
      </c>
      <c r="L738" s="194" t="s">
        <v>265</v>
      </c>
      <c r="M738" s="194" t="s">
        <v>175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850"/>
      <c r="AB738" s="594"/>
      <c r="AC738" s="594"/>
      <c r="AD738" s="211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245"/>
        <v>7</v>
      </c>
      <c r="C739" s="191">
        <f t="shared" si="250"/>
        <v>41477</v>
      </c>
      <c r="D739" s="184" t="s">
        <v>1051</v>
      </c>
      <c r="E739" s="191">
        <v>41477</v>
      </c>
      <c r="F739" s="192" t="s">
        <v>878</v>
      </c>
      <c r="G739" s="487" t="s">
        <v>876</v>
      </c>
      <c r="H739" s="7" t="s">
        <v>877</v>
      </c>
      <c r="I739" s="256">
        <v>50</v>
      </c>
      <c r="J739" s="256">
        <v>45000</v>
      </c>
      <c r="K739" s="38">
        <f t="shared" si="255"/>
        <v>2250000</v>
      </c>
      <c r="L739" s="194" t="s">
        <v>265</v>
      </c>
      <c r="M739" s="194" t="s">
        <v>175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850"/>
      <c r="AB739" s="211">
        <v>7</v>
      </c>
      <c r="AC739" s="594"/>
      <c r="AD739" s="211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245"/>
        <v>7</v>
      </c>
      <c r="C740" s="191">
        <f t="shared" si="250"/>
        <v>41477</v>
      </c>
      <c r="D740" s="184" t="s">
        <v>1051</v>
      </c>
      <c r="E740" s="191">
        <v>41477</v>
      </c>
      <c r="F740" s="192" t="s">
        <v>879</v>
      </c>
      <c r="G740" s="192" t="s">
        <v>876</v>
      </c>
      <c r="H740" s="7" t="s">
        <v>877</v>
      </c>
      <c r="I740" s="256">
        <v>20</v>
      </c>
      <c r="J740" s="256">
        <v>50400</v>
      </c>
      <c r="K740" s="38">
        <f t="shared" si="255"/>
        <v>1008000</v>
      </c>
      <c r="L740" s="194" t="s">
        <v>265</v>
      </c>
      <c r="M740" s="194" t="s">
        <v>175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850"/>
      <c r="AB740" s="594"/>
      <c r="AC740" s="594"/>
      <c r="AD740" s="594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245"/>
        <v>7</v>
      </c>
      <c r="C741" s="191">
        <f t="shared" si="250"/>
        <v>41477</v>
      </c>
      <c r="D741" s="184" t="s">
        <v>1051</v>
      </c>
      <c r="E741" s="191">
        <v>41477</v>
      </c>
      <c r="F741" s="192" t="s">
        <v>880</v>
      </c>
      <c r="G741" s="192" t="s">
        <v>876</v>
      </c>
      <c r="H741" s="7" t="s">
        <v>877</v>
      </c>
      <c r="I741" s="256">
        <v>20</v>
      </c>
      <c r="J741" s="256">
        <v>53500</v>
      </c>
      <c r="K741" s="38">
        <f t="shared" si="255"/>
        <v>1070000</v>
      </c>
      <c r="L741" s="194" t="s">
        <v>265</v>
      </c>
      <c r="M741" s="194" t="s">
        <v>175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850"/>
      <c r="AB741" s="211">
        <v>6</v>
      </c>
      <c r="AC741" s="594"/>
      <c r="AD741" s="594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245"/>
        <v>7</v>
      </c>
      <c r="C742" s="191">
        <f t="shared" si="250"/>
        <v>41477</v>
      </c>
      <c r="D742" s="184" t="s">
        <v>1051</v>
      </c>
      <c r="E742" s="191">
        <v>41477</v>
      </c>
      <c r="F742" s="192" t="s">
        <v>881</v>
      </c>
      <c r="G742" s="192" t="s">
        <v>876</v>
      </c>
      <c r="H742" s="7" t="s">
        <v>877</v>
      </c>
      <c r="I742" s="256">
        <v>20</v>
      </c>
      <c r="J742" s="256">
        <v>57000</v>
      </c>
      <c r="K742" s="38">
        <f t="shared" si="255"/>
        <v>1140000</v>
      </c>
      <c r="L742" s="194" t="s">
        <v>265</v>
      </c>
      <c r="M742" s="194" t="s">
        <v>175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850"/>
      <c r="AB742" s="594"/>
      <c r="AC742" s="594"/>
      <c r="AD742" s="594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245"/>
        <v>7</v>
      </c>
      <c r="C743" s="191">
        <f t="shared" si="250"/>
        <v>41477</v>
      </c>
      <c r="D743" s="184" t="s">
        <v>1051</v>
      </c>
      <c r="E743" s="191">
        <v>41477</v>
      </c>
      <c r="F743" s="192" t="s">
        <v>882</v>
      </c>
      <c r="G743" s="192" t="s">
        <v>876</v>
      </c>
      <c r="H743" s="7" t="s">
        <v>877</v>
      </c>
      <c r="I743" s="256">
        <v>20</v>
      </c>
      <c r="J743" s="256">
        <v>69400</v>
      </c>
      <c r="K743" s="38">
        <f t="shared" si="255"/>
        <v>1388000</v>
      </c>
      <c r="L743" s="194" t="s">
        <v>265</v>
      </c>
      <c r="M743" s="194" t="s">
        <v>175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850"/>
      <c r="AB743" s="211"/>
      <c r="AC743" s="594"/>
      <c r="AD743" s="594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245"/>
        <v>7</v>
      </c>
      <c r="C744" s="191">
        <f t="shared" si="250"/>
        <v>41477</v>
      </c>
      <c r="D744" s="184" t="s">
        <v>1051</v>
      </c>
      <c r="E744" s="191">
        <v>41477</v>
      </c>
      <c r="F744" s="192" t="s">
        <v>724</v>
      </c>
      <c r="G744" s="192" t="s">
        <v>876</v>
      </c>
      <c r="H744" s="7" t="s">
        <v>877</v>
      </c>
      <c r="I744" s="256"/>
      <c r="J744" s="256"/>
      <c r="K744" s="38">
        <v>879600</v>
      </c>
      <c r="L744" s="194" t="s">
        <v>265</v>
      </c>
      <c r="M744" s="194" t="s">
        <v>429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850"/>
      <c r="AB744" s="211"/>
      <c r="AC744" s="594" t="str">
        <f t="shared" si="242"/>
        <v/>
      </c>
      <c r="AD744" s="594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ref="B745" si="256">IF(C745&lt;&gt;"",MONTH(C745),"")</f>
        <v>7</v>
      </c>
      <c r="C745" s="191">
        <f t="shared" ref="C745" si="257">E745</f>
        <v>41477</v>
      </c>
      <c r="D745" s="184" t="s">
        <v>1051</v>
      </c>
      <c r="E745" s="191">
        <v>41477</v>
      </c>
      <c r="F745" s="189" t="s">
        <v>341</v>
      </c>
      <c r="G745" s="192" t="s">
        <v>876</v>
      </c>
      <c r="H745" s="7" t="s">
        <v>877</v>
      </c>
      <c r="I745" s="256"/>
      <c r="J745" s="256"/>
      <c r="K745" s="38">
        <v>9675600</v>
      </c>
      <c r="L745" s="194" t="s">
        <v>47</v>
      </c>
      <c r="M745" s="194" t="s">
        <v>265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>x</v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850"/>
      <c r="AB745" s="211"/>
      <c r="AC745" s="594" t="str">
        <f t="shared" ref="AC745" si="258">IF(VLOOKUP(H745,DS_131,1,0)&lt;&gt;"","","x")</f>
        <v/>
      </c>
      <c r="AD745" s="594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245"/>
        <v>7</v>
      </c>
      <c r="C746" s="191">
        <f t="shared" si="250"/>
        <v>41479</v>
      </c>
      <c r="D746" s="184" t="s">
        <v>1052</v>
      </c>
      <c r="E746" s="191">
        <v>41479</v>
      </c>
      <c r="F746" s="192" t="s">
        <v>883</v>
      </c>
      <c r="G746" s="192" t="s">
        <v>884</v>
      </c>
      <c r="H746" s="7" t="s">
        <v>541</v>
      </c>
      <c r="I746" s="256">
        <v>259</v>
      </c>
      <c r="J746" s="256">
        <v>8570</v>
      </c>
      <c r="K746" s="38">
        <f t="shared" ref="K746:K748" si="259">ROUND(I746*J746,0)</f>
        <v>2219630</v>
      </c>
      <c r="L746" s="194" t="s">
        <v>265</v>
      </c>
      <c r="M746" s="194" t="s">
        <v>175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850"/>
      <c r="AB746" s="594"/>
      <c r="AC746" s="594"/>
      <c r="AD746" s="594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245"/>
        <v>7</v>
      </c>
      <c r="C747" s="191">
        <f t="shared" si="250"/>
        <v>41479</v>
      </c>
      <c r="D747" s="184" t="s">
        <v>1052</v>
      </c>
      <c r="E747" s="191">
        <v>41479</v>
      </c>
      <c r="F747" s="192" t="s">
        <v>841</v>
      </c>
      <c r="G747" s="192" t="s">
        <v>884</v>
      </c>
      <c r="H747" s="7" t="s">
        <v>541</v>
      </c>
      <c r="I747" s="256">
        <v>101</v>
      </c>
      <c r="J747" s="256">
        <v>11000</v>
      </c>
      <c r="K747" s="38">
        <f t="shared" si="259"/>
        <v>1111000</v>
      </c>
      <c r="L747" s="194" t="s">
        <v>265</v>
      </c>
      <c r="M747" s="194" t="s">
        <v>175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850"/>
      <c r="AB747" s="211">
        <v>6</v>
      </c>
      <c r="AC747" s="594"/>
      <c r="AD747" s="594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245"/>
        <v>7</v>
      </c>
      <c r="C748" s="191">
        <f t="shared" si="250"/>
        <v>41479</v>
      </c>
      <c r="D748" s="184" t="s">
        <v>1052</v>
      </c>
      <c r="E748" s="191">
        <v>41479</v>
      </c>
      <c r="F748" s="192" t="s">
        <v>842</v>
      </c>
      <c r="G748" s="192" t="s">
        <v>884</v>
      </c>
      <c r="H748" s="7" t="s">
        <v>541</v>
      </c>
      <c r="I748" s="256">
        <v>98</v>
      </c>
      <c r="J748" s="256">
        <v>10500</v>
      </c>
      <c r="K748" s="38">
        <f t="shared" si="259"/>
        <v>1029000</v>
      </c>
      <c r="L748" s="194" t="s">
        <v>265</v>
      </c>
      <c r="M748" s="194" t="s">
        <v>175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850"/>
      <c r="AC748" s="594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245"/>
        <v>7</v>
      </c>
      <c r="C749" s="191">
        <f t="shared" si="250"/>
        <v>41479</v>
      </c>
      <c r="D749" s="184" t="s">
        <v>1052</v>
      </c>
      <c r="E749" s="191">
        <v>41479</v>
      </c>
      <c r="F749" s="192" t="s">
        <v>724</v>
      </c>
      <c r="G749" s="192" t="s">
        <v>884</v>
      </c>
      <c r="H749" s="7" t="s">
        <v>541</v>
      </c>
      <c r="I749" s="256"/>
      <c r="J749" s="256"/>
      <c r="K749" s="38">
        <v>435963</v>
      </c>
      <c r="L749" s="194" t="s">
        <v>265</v>
      </c>
      <c r="M749" s="194" t="s">
        <v>429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850"/>
      <c r="AC749" s="594" t="str">
        <f t="shared" si="242"/>
        <v/>
      </c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245"/>
        <v>7</v>
      </c>
      <c r="C750" s="191">
        <f t="shared" si="250"/>
        <v>41480</v>
      </c>
      <c r="D750" s="184" t="s">
        <v>1053</v>
      </c>
      <c r="E750" s="191">
        <v>41480</v>
      </c>
      <c r="F750" s="192" t="s">
        <v>885</v>
      </c>
      <c r="G750" s="487" t="s">
        <v>886</v>
      </c>
      <c r="H750" s="7" t="s">
        <v>863</v>
      </c>
      <c r="I750" s="256">
        <v>200</v>
      </c>
      <c r="J750" s="256">
        <v>8200</v>
      </c>
      <c r="K750" s="38">
        <f t="shared" ref="K750:K753" si="260">ROUND(I750*J750,0)</f>
        <v>1640000</v>
      </c>
      <c r="L750" s="194" t="s">
        <v>265</v>
      </c>
      <c r="M750" s="194" t="s">
        <v>175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850"/>
      <c r="AC750" s="594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245"/>
        <v>7</v>
      </c>
      <c r="C751" s="191">
        <f t="shared" si="250"/>
        <v>41480</v>
      </c>
      <c r="D751" s="184" t="s">
        <v>1053</v>
      </c>
      <c r="E751" s="191">
        <v>41480</v>
      </c>
      <c r="F751" s="192" t="s">
        <v>1119</v>
      </c>
      <c r="G751" s="487" t="s">
        <v>886</v>
      </c>
      <c r="H751" s="7" t="s">
        <v>863</v>
      </c>
      <c r="I751" s="256">
        <v>496</v>
      </c>
      <c r="J751" s="256">
        <v>7500</v>
      </c>
      <c r="K751" s="38">
        <f t="shared" si="260"/>
        <v>3720000</v>
      </c>
      <c r="L751" s="194" t="s">
        <v>265</v>
      </c>
      <c r="M751" s="194" t="s">
        <v>175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850"/>
      <c r="AC751" s="594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245"/>
        <v>7</v>
      </c>
      <c r="C752" s="191">
        <f t="shared" si="250"/>
        <v>41480</v>
      </c>
      <c r="D752" s="184" t="s">
        <v>1053</v>
      </c>
      <c r="E752" s="191">
        <v>41480</v>
      </c>
      <c r="F752" s="192" t="s">
        <v>1163</v>
      </c>
      <c r="G752" s="192" t="s">
        <v>886</v>
      </c>
      <c r="H752" s="7" t="s">
        <v>863</v>
      </c>
      <c r="I752" s="256">
        <v>505</v>
      </c>
      <c r="J752" s="256">
        <v>6700</v>
      </c>
      <c r="K752" s="38">
        <f t="shared" si="260"/>
        <v>3383500</v>
      </c>
      <c r="L752" s="194" t="s">
        <v>265</v>
      </c>
      <c r="M752" s="194" t="s">
        <v>175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850"/>
      <c r="AC752" s="594"/>
    </row>
    <row r="753" spans="1:30" ht="15.75" customHeight="1">
      <c r="A753" s="204" t="str">
        <f>IF(B753&lt;&gt;"",IF(AND(B753&gt;=_TM1,B753&lt;=_TM2,OR(TH!L753="1111",TH!M753="1111")),TH!D753,""),"")</f>
        <v/>
      </c>
      <c r="B753" s="36">
        <f t="shared" si="245"/>
        <v>7</v>
      </c>
      <c r="C753" s="191">
        <f t="shared" si="250"/>
        <v>41480</v>
      </c>
      <c r="D753" s="184" t="s">
        <v>1053</v>
      </c>
      <c r="E753" s="191">
        <v>41480</v>
      </c>
      <c r="F753" s="192" t="s">
        <v>887</v>
      </c>
      <c r="G753" s="192" t="s">
        <v>886</v>
      </c>
      <c r="H753" s="7" t="s">
        <v>863</v>
      </c>
      <c r="I753" s="256">
        <v>1000</v>
      </c>
      <c r="J753" s="256">
        <v>6300</v>
      </c>
      <c r="K753" s="38">
        <f t="shared" si="260"/>
        <v>6300000</v>
      </c>
      <c r="L753" s="194" t="s">
        <v>265</v>
      </c>
      <c r="M753" s="194" t="s">
        <v>175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850"/>
      <c r="AC753" s="594"/>
    </row>
    <row r="754" spans="1:30" ht="15.75" customHeight="1">
      <c r="A754" s="204" t="str">
        <f>IF(B754&lt;&gt;"",IF(AND(B754&gt;=_TM1,B754&lt;=_TM2,OR(TH!L754="1111",TH!M754="1111")),TH!D754,""),"")</f>
        <v/>
      </c>
      <c r="B754" s="36">
        <f t="shared" si="245"/>
        <v>7</v>
      </c>
      <c r="C754" s="191">
        <f t="shared" si="250"/>
        <v>41480</v>
      </c>
      <c r="D754" s="184" t="s">
        <v>1053</v>
      </c>
      <c r="E754" s="191">
        <v>41480</v>
      </c>
      <c r="F754" s="192" t="s">
        <v>724</v>
      </c>
      <c r="G754" s="192" t="s">
        <v>886</v>
      </c>
      <c r="H754" s="7" t="s">
        <v>863</v>
      </c>
      <c r="I754" s="256"/>
      <c r="J754" s="256"/>
      <c r="K754" s="38">
        <v>1504350</v>
      </c>
      <c r="L754" s="194" t="s">
        <v>265</v>
      </c>
      <c r="M754" s="194" t="s">
        <v>429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850"/>
      <c r="AC754" s="594" t="str">
        <f t="shared" si="242"/>
        <v/>
      </c>
    </row>
    <row r="755" spans="1:30" ht="15.75" customHeight="1">
      <c r="A755" s="204" t="str">
        <f>IF(B755&lt;&gt;"",IF(AND(B755&gt;=_TM1,B755&lt;=_TM2,OR(TH!L755="1111",TH!M755="1111")),TH!D755,""),"")</f>
        <v/>
      </c>
      <c r="B755" s="36">
        <f t="shared" si="245"/>
        <v>7</v>
      </c>
      <c r="C755" s="191">
        <f t="shared" si="250"/>
        <v>41481</v>
      </c>
      <c r="D755" s="184" t="s">
        <v>1054</v>
      </c>
      <c r="E755" s="191">
        <v>41481</v>
      </c>
      <c r="F755" s="192" t="s">
        <v>1135</v>
      </c>
      <c r="G755" s="192" t="s">
        <v>888</v>
      </c>
      <c r="H755" s="7" t="s">
        <v>431</v>
      </c>
      <c r="I755" s="256">
        <v>3000</v>
      </c>
      <c r="J755" s="256">
        <v>6250</v>
      </c>
      <c r="K755" s="38">
        <f>ROUND(I755*J755,0)</f>
        <v>18750000</v>
      </c>
      <c r="L755" s="194" t="s">
        <v>265</v>
      </c>
      <c r="M755" s="194" t="s">
        <v>175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850"/>
      <c r="AC755" s="594"/>
    </row>
    <row r="756" spans="1:30" ht="15.75" customHeight="1">
      <c r="A756" s="204" t="str">
        <f>IF(B756&lt;&gt;"",IF(AND(B756&gt;=_TM1,B756&lt;=_TM2,OR(TH!L756="1111",TH!M756="1111")),TH!D756,""),"")</f>
        <v/>
      </c>
      <c r="B756" s="36">
        <f t="shared" si="245"/>
        <v>7</v>
      </c>
      <c r="C756" s="191">
        <f t="shared" si="250"/>
        <v>41481</v>
      </c>
      <c r="D756" s="184" t="s">
        <v>1054</v>
      </c>
      <c r="E756" s="191">
        <v>41481</v>
      </c>
      <c r="F756" s="192" t="s">
        <v>724</v>
      </c>
      <c r="G756" s="192" t="s">
        <v>888</v>
      </c>
      <c r="H756" s="7" t="s">
        <v>431</v>
      </c>
      <c r="I756" s="256"/>
      <c r="J756" s="256"/>
      <c r="K756" s="38">
        <v>1875000</v>
      </c>
      <c r="L756" s="194" t="s">
        <v>265</v>
      </c>
      <c r="M756" s="194" t="s">
        <v>429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850"/>
      <c r="AC756" s="594" t="str">
        <f t="shared" si="242"/>
        <v/>
      </c>
    </row>
    <row r="757" spans="1:30" ht="15.75" customHeight="1">
      <c r="A757" s="204" t="str">
        <f>IF(B757&lt;&gt;"",IF(AND(B757&gt;=_TM1,B757&lt;=_TM2,OR(TH!L757="1111",TH!M757="1111")),TH!D757,""),"")</f>
        <v/>
      </c>
      <c r="B757" s="36">
        <f t="shared" si="245"/>
        <v>7</v>
      </c>
      <c r="C757" s="191">
        <f t="shared" si="250"/>
        <v>41484</v>
      </c>
      <c r="D757" s="184" t="s">
        <v>1055</v>
      </c>
      <c r="E757" s="191">
        <v>41484</v>
      </c>
      <c r="F757" s="192" t="s">
        <v>836</v>
      </c>
      <c r="G757" s="192" t="s">
        <v>889</v>
      </c>
      <c r="H757" s="193" t="s">
        <v>741</v>
      </c>
      <c r="I757" s="256">
        <v>500</v>
      </c>
      <c r="J757" s="256">
        <v>10500</v>
      </c>
      <c r="K757" s="38">
        <f>ROUND(I757*J757,0)</f>
        <v>5250000</v>
      </c>
      <c r="L757" s="194" t="s">
        <v>265</v>
      </c>
      <c r="M757" s="194" t="s">
        <v>175</v>
      </c>
      <c r="N757" s="52" t="str">
        <f>IF(AND('331-CT'!$E$7=TH!H757,OR(L757="331",M757="331")),"331",IF(AND(OR(L757="131",M757="131"),H757='131-CT'!$E$7),"131",""))</f>
        <v>131</v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850"/>
      <c r="AB757" s="594"/>
      <c r="AC757" s="594"/>
      <c r="AD757" s="594"/>
    </row>
    <row r="758" spans="1:30" ht="15.75" customHeight="1">
      <c r="A758" s="204" t="str">
        <f>IF(B758&lt;&gt;"",IF(AND(B758&gt;=_TM1,B758&lt;=_TM2,OR(TH!L758="1111",TH!M758="1111")),TH!D758,""),"")</f>
        <v/>
      </c>
      <c r="B758" s="36">
        <f t="shared" si="245"/>
        <v>7</v>
      </c>
      <c r="C758" s="191">
        <f t="shared" si="250"/>
        <v>41484</v>
      </c>
      <c r="D758" s="184" t="s">
        <v>1055</v>
      </c>
      <c r="E758" s="191">
        <v>41484</v>
      </c>
      <c r="F758" s="192" t="s">
        <v>724</v>
      </c>
      <c r="G758" s="192" t="s">
        <v>889</v>
      </c>
      <c r="H758" s="210" t="s">
        <v>741</v>
      </c>
      <c r="I758" s="257"/>
      <c r="J758" s="257"/>
      <c r="K758" s="38">
        <v>525000</v>
      </c>
      <c r="L758" s="194" t="s">
        <v>265</v>
      </c>
      <c r="M758" s="194" t="s">
        <v>429</v>
      </c>
      <c r="N758" s="52" t="str">
        <f>IF(AND('331-CT'!$E$7=TH!H758,OR(L758="331",M758="331")),"331",IF(AND(OR(L758="131",M758="131"),H758='131-CT'!$E$7),"131",""))</f>
        <v>131</v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850"/>
      <c r="AB758" s="211"/>
      <c r="AC758" s="594" t="str">
        <f t="shared" si="242"/>
        <v/>
      </c>
      <c r="AD758" s="594"/>
    </row>
    <row r="759" spans="1:30" ht="15.75" customHeight="1">
      <c r="A759" s="204" t="str">
        <f>IF(B759&lt;&gt;"",IF(AND(B759&gt;=_TM1,B759&lt;=_TM2,OR(TH!L759="1111",TH!M759="1111")),TH!D759,""),"")</f>
        <v/>
      </c>
      <c r="B759" s="36">
        <f t="shared" ref="B759" si="261">IF(C759&lt;&gt;"",MONTH(C759),"")</f>
        <v>7</v>
      </c>
      <c r="C759" s="191">
        <f t="shared" ref="C759" si="262">E759</f>
        <v>41484</v>
      </c>
      <c r="D759" s="184" t="s">
        <v>1055</v>
      </c>
      <c r="E759" s="191">
        <v>41484</v>
      </c>
      <c r="F759" s="189" t="s">
        <v>341</v>
      </c>
      <c r="G759" s="192" t="s">
        <v>889</v>
      </c>
      <c r="H759" s="210" t="s">
        <v>741</v>
      </c>
      <c r="I759" s="257"/>
      <c r="J759" s="257"/>
      <c r="K759" s="38">
        <v>5775000</v>
      </c>
      <c r="L759" s="194" t="s">
        <v>47</v>
      </c>
      <c r="M759" s="194" t="s">
        <v>265</v>
      </c>
      <c r="N759" s="52" t="str">
        <f>IF(AND('331-CT'!$E$7=TH!H759,OR(L759="331",M759="331")),"331",IF(AND(OR(L759="131",M759="131"),H759='131-CT'!$E$7),"131",""))</f>
        <v>131</v>
      </c>
      <c r="O759" s="52" t="str">
        <f>IF(AND($B759&gt;='111'!$N$11,$B759&lt;='111'!$O$11,OR($L759=$O$7,$M759=$O$7)),"x","")</f>
        <v>x</v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850"/>
      <c r="AB759" s="211"/>
      <c r="AC759" s="594" t="str">
        <f t="shared" ref="AC759" si="263">IF(VLOOKUP(H759,DS_131,1,0)&lt;&gt;"","","x")</f>
        <v/>
      </c>
      <c r="AD759" s="594"/>
    </row>
    <row r="760" spans="1:30" ht="15.75" customHeight="1">
      <c r="A760" s="204" t="str">
        <f>IF(B760&lt;&gt;"",IF(AND(B760&gt;=_TM1,B760&lt;=_TM2,OR(TH!L760="1111",TH!M760="1111")),TH!D760,""),"")</f>
        <v/>
      </c>
      <c r="B760" s="36">
        <f t="shared" si="245"/>
        <v>8</v>
      </c>
      <c r="C760" s="191">
        <f t="shared" si="250"/>
        <v>41487</v>
      </c>
      <c r="D760" s="184" t="s">
        <v>1056</v>
      </c>
      <c r="E760" s="191">
        <v>41487</v>
      </c>
      <c r="F760" s="192" t="s">
        <v>1143</v>
      </c>
      <c r="G760" s="192" t="s">
        <v>890</v>
      </c>
      <c r="H760" s="193" t="s">
        <v>788</v>
      </c>
      <c r="I760" s="256">
        <v>99</v>
      </c>
      <c r="J760" s="256">
        <v>13650</v>
      </c>
      <c r="K760" s="38">
        <f>ROUND(I760*J760,0)</f>
        <v>1351350</v>
      </c>
      <c r="L760" s="194" t="s">
        <v>265</v>
      </c>
      <c r="M760" s="194" t="s">
        <v>175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850"/>
      <c r="AB760" s="211"/>
      <c r="AC760" s="594"/>
      <c r="AD760" s="594"/>
    </row>
    <row r="761" spans="1:30" ht="15.75" customHeight="1">
      <c r="A761" s="204" t="str">
        <f>IF(B761&lt;&gt;"",IF(AND(B761&gt;=_TM1,B761&lt;=_TM2,OR(TH!L761="1111",TH!M761="1111")),TH!D761,""),"")</f>
        <v/>
      </c>
      <c r="B761" s="36">
        <f t="shared" si="245"/>
        <v>8</v>
      </c>
      <c r="C761" s="191">
        <f t="shared" si="250"/>
        <v>41487</v>
      </c>
      <c r="D761" s="184" t="s">
        <v>1056</v>
      </c>
      <c r="E761" s="191">
        <v>41487</v>
      </c>
      <c r="F761" s="192" t="s">
        <v>724</v>
      </c>
      <c r="G761" s="192" t="s">
        <v>890</v>
      </c>
      <c r="H761" s="193" t="s">
        <v>788</v>
      </c>
      <c r="I761" s="256"/>
      <c r="J761" s="256"/>
      <c r="K761" s="38">
        <v>135135</v>
      </c>
      <c r="L761" s="194" t="s">
        <v>265</v>
      </c>
      <c r="M761" s="194" t="s">
        <v>429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850"/>
      <c r="AB761" s="594"/>
      <c r="AC761" s="594" t="str">
        <f t="shared" si="242"/>
        <v/>
      </c>
      <c r="AD761" s="594"/>
    </row>
    <row r="762" spans="1:30" ht="15.75" customHeight="1">
      <c r="A762" s="204" t="str">
        <f>IF(B762&lt;&gt;"",IF(AND(B762&gt;=_TM1,B762&lt;=_TM2,OR(TH!L762="1111",TH!M762="1111")),TH!D762,""),"")</f>
        <v/>
      </c>
      <c r="B762" s="36">
        <f t="shared" si="245"/>
        <v>8</v>
      </c>
      <c r="C762" s="191">
        <f t="shared" si="250"/>
        <v>41487</v>
      </c>
      <c r="D762" s="184" t="s">
        <v>1057</v>
      </c>
      <c r="E762" s="191">
        <v>41487</v>
      </c>
      <c r="F762" s="192" t="s">
        <v>865</v>
      </c>
      <c r="G762" s="487" t="s">
        <v>891</v>
      </c>
      <c r="H762" s="7" t="s">
        <v>580</v>
      </c>
      <c r="I762" s="256">
        <v>200</v>
      </c>
      <c r="J762" s="256">
        <v>20300</v>
      </c>
      <c r="K762" s="38">
        <f>ROUND(I762*J762,0)</f>
        <v>4060000</v>
      </c>
      <c r="L762" s="194" t="s">
        <v>265</v>
      </c>
      <c r="M762" s="194" t="s">
        <v>175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850"/>
      <c r="AB762" s="211"/>
      <c r="AC762" s="594"/>
      <c r="AD762" s="594"/>
    </row>
    <row r="763" spans="1:30" ht="15.75" customHeight="1">
      <c r="A763" s="204" t="str">
        <f>IF(B763&lt;&gt;"",IF(AND(B763&gt;=_TM1,B763&lt;=_TM2,OR(TH!L763="1111",TH!M763="1111")),TH!D763,""),"")</f>
        <v/>
      </c>
      <c r="B763" s="36">
        <f t="shared" si="245"/>
        <v>8</v>
      </c>
      <c r="C763" s="191">
        <f t="shared" si="250"/>
        <v>41487</v>
      </c>
      <c r="D763" s="184" t="s">
        <v>1057</v>
      </c>
      <c r="E763" s="191">
        <v>41487</v>
      </c>
      <c r="F763" s="192" t="s">
        <v>724</v>
      </c>
      <c r="G763" s="192" t="s">
        <v>891</v>
      </c>
      <c r="H763" s="7" t="s">
        <v>580</v>
      </c>
      <c r="I763" s="256"/>
      <c r="J763" s="256"/>
      <c r="K763" s="38">
        <v>406000</v>
      </c>
      <c r="L763" s="194" t="s">
        <v>265</v>
      </c>
      <c r="M763" s="194" t="s">
        <v>429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850"/>
      <c r="AB763" s="211"/>
      <c r="AC763" s="594" t="str">
        <f t="shared" si="242"/>
        <v/>
      </c>
      <c r="AD763" s="594"/>
    </row>
    <row r="764" spans="1:30" ht="15.75" customHeight="1">
      <c r="A764" s="204" t="str">
        <f>IF(B764&lt;&gt;"",IF(AND(B764&gt;=_TM1,B764&lt;=_TM2,OR(TH!L764="1111",TH!M764="1111")),TH!D764,""),"")</f>
        <v/>
      </c>
      <c r="B764" s="36">
        <f t="shared" ref="B764" si="264">IF(C764&lt;&gt;"",MONTH(C764),"")</f>
        <v>8</v>
      </c>
      <c r="C764" s="191">
        <f t="shared" ref="C764" si="265">E764</f>
        <v>41487</v>
      </c>
      <c r="D764" s="184" t="s">
        <v>1057</v>
      </c>
      <c r="E764" s="191">
        <v>41487</v>
      </c>
      <c r="F764" s="189" t="s">
        <v>341</v>
      </c>
      <c r="G764" s="192" t="s">
        <v>891</v>
      </c>
      <c r="H764" s="7" t="s">
        <v>580</v>
      </c>
      <c r="I764" s="256"/>
      <c r="J764" s="256"/>
      <c r="K764" s="38">
        <v>4466000</v>
      </c>
      <c r="L764" s="194" t="s">
        <v>47</v>
      </c>
      <c r="M764" s="194" t="s">
        <v>265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>x</v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850"/>
      <c r="AB764" s="211"/>
      <c r="AC764" s="594" t="str">
        <f t="shared" ref="AC764" si="266">IF(VLOOKUP(H764,DS_131,1,0)&lt;&gt;"","","x")</f>
        <v/>
      </c>
      <c r="AD764" s="594"/>
    </row>
    <row r="765" spans="1:30" ht="15.75" customHeight="1">
      <c r="A765" s="204" t="str">
        <f>IF(B765&lt;&gt;"",IF(AND(B765&gt;=_TM1,B765&lt;=_TM2,OR(TH!L765="1111",TH!M765="1111")),TH!D765,""),"")</f>
        <v/>
      </c>
      <c r="B765" s="36">
        <f t="shared" si="245"/>
        <v>8</v>
      </c>
      <c r="C765" s="191">
        <f t="shared" si="250"/>
        <v>41488</v>
      </c>
      <c r="D765" s="184" t="s">
        <v>1058</v>
      </c>
      <c r="E765" s="191">
        <v>41488</v>
      </c>
      <c r="F765" s="192" t="s">
        <v>885</v>
      </c>
      <c r="G765" s="487" t="s">
        <v>892</v>
      </c>
      <c r="H765" s="193" t="s">
        <v>863</v>
      </c>
      <c r="I765" s="256">
        <v>510</v>
      </c>
      <c r="J765" s="256">
        <v>8200</v>
      </c>
      <c r="K765" s="38">
        <f>ROUND(I765*J765,0)</f>
        <v>4182000</v>
      </c>
      <c r="L765" s="194" t="s">
        <v>265</v>
      </c>
      <c r="M765" s="194" t="s">
        <v>175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850"/>
      <c r="AB765" s="594"/>
      <c r="AC765" s="594"/>
      <c r="AD765" s="211"/>
    </row>
    <row r="766" spans="1:30" ht="15.75" customHeight="1">
      <c r="A766" s="204" t="str">
        <f>IF(B766&lt;&gt;"",IF(AND(B766&gt;=_TM1,B766&lt;=_TM2,OR(TH!L766="1111",TH!M766="1111")),TH!D766,""),"")</f>
        <v/>
      </c>
      <c r="B766" s="36">
        <f t="shared" si="245"/>
        <v>8</v>
      </c>
      <c r="C766" s="191">
        <f t="shared" si="250"/>
        <v>41488</v>
      </c>
      <c r="D766" s="184" t="s">
        <v>1058</v>
      </c>
      <c r="E766" s="191">
        <v>41488</v>
      </c>
      <c r="F766" s="192" t="s">
        <v>724</v>
      </c>
      <c r="G766" s="487" t="s">
        <v>892</v>
      </c>
      <c r="H766" s="210" t="s">
        <v>863</v>
      </c>
      <c r="I766" s="256"/>
      <c r="J766" s="256"/>
      <c r="K766" s="38">
        <v>418200</v>
      </c>
      <c r="L766" s="194" t="s">
        <v>265</v>
      </c>
      <c r="M766" s="194" t="s">
        <v>429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850"/>
      <c r="AB766" s="211"/>
      <c r="AC766" s="594" t="str">
        <f t="shared" si="242"/>
        <v/>
      </c>
      <c r="AD766" s="211"/>
    </row>
    <row r="767" spans="1:30" ht="15.75" customHeight="1">
      <c r="A767" s="204" t="str">
        <f>IF(B767&lt;&gt;"",IF(AND(B767&gt;=_TM1,B767&lt;=_TM2,OR(TH!L767="1111",TH!M767="1111")),TH!D767,""),"")</f>
        <v/>
      </c>
      <c r="B767" s="36">
        <f t="shared" si="245"/>
        <v>8</v>
      </c>
      <c r="C767" s="191">
        <f t="shared" si="250"/>
        <v>41488</v>
      </c>
      <c r="D767" s="184" t="s">
        <v>1059</v>
      </c>
      <c r="E767" s="191">
        <v>41488</v>
      </c>
      <c r="F767" s="192" t="s">
        <v>1147</v>
      </c>
      <c r="G767" s="487" t="s">
        <v>893</v>
      </c>
      <c r="H767" s="7" t="s">
        <v>894</v>
      </c>
      <c r="I767" s="256">
        <v>2813</v>
      </c>
      <c r="J767" s="256">
        <v>4450</v>
      </c>
      <c r="K767" s="38">
        <f>ROUND(I767*J767,0)</f>
        <v>12517850</v>
      </c>
      <c r="L767" s="194" t="s">
        <v>265</v>
      </c>
      <c r="M767" s="194" t="s">
        <v>175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850"/>
      <c r="AB767" s="594"/>
      <c r="AC767" s="594"/>
      <c r="AD767" s="211"/>
    </row>
    <row r="768" spans="1:30" ht="15.75" customHeight="1">
      <c r="A768" s="204" t="str">
        <f>IF(B768&lt;&gt;"",IF(AND(B768&gt;=_TM1,B768&lt;=_TM2,OR(TH!L768="1111",TH!M768="1111")),TH!D768,""),"")</f>
        <v/>
      </c>
      <c r="B768" s="36">
        <f t="shared" si="245"/>
        <v>8</v>
      </c>
      <c r="C768" s="191">
        <f t="shared" si="250"/>
        <v>41488</v>
      </c>
      <c r="D768" s="184" t="s">
        <v>1059</v>
      </c>
      <c r="E768" s="191">
        <v>41488</v>
      </c>
      <c r="F768" s="192" t="s">
        <v>724</v>
      </c>
      <c r="G768" s="487" t="s">
        <v>893</v>
      </c>
      <c r="H768" s="193" t="s">
        <v>894</v>
      </c>
      <c r="I768" s="256"/>
      <c r="J768" s="256"/>
      <c r="K768" s="38">
        <v>1251785</v>
      </c>
      <c r="L768" s="194" t="s">
        <v>265</v>
      </c>
      <c r="M768" s="194" t="s">
        <v>429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850"/>
      <c r="AB768" s="211"/>
      <c r="AC768" s="594" t="str">
        <f t="shared" si="242"/>
        <v/>
      </c>
      <c r="AD768" s="211"/>
    </row>
    <row r="769" spans="1:30" ht="15.75" customHeight="1">
      <c r="A769" s="204" t="str">
        <f>IF(B769&lt;&gt;"",IF(AND(B769&gt;=_TM1,B769&lt;=_TM2,OR(TH!L769="1111",TH!M769="1111")),TH!D769,""),"")</f>
        <v/>
      </c>
      <c r="B769" s="36">
        <f t="shared" si="245"/>
        <v>8</v>
      </c>
      <c r="C769" s="191">
        <f t="shared" si="250"/>
        <v>41489</v>
      </c>
      <c r="D769" s="184" t="s">
        <v>1060</v>
      </c>
      <c r="E769" s="191">
        <v>41489</v>
      </c>
      <c r="F769" s="192" t="s">
        <v>1147</v>
      </c>
      <c r="G769" s="487" t="s">
        <v>895</v>
      </c>
      <c r="H769" s="7" t="s">
        <v>894</v>
      </c>
      <c r="I769" s="256">
        <v>2805</v>
      </c>
      <c r="J769" s="256">
        <v>4450</v>
      </c>
      <c r="K769" s="38">
        <f>ROUND(I769*J769,0)</f>
        <v>12482250</v>
      </c>
      <c r="L769" s="194" t="s">
        <v>265</v>
      </c>
      <c r="M769" s="194" t="s">
        <v>175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850"/>
      <c r="AB769" s="211">
        <v>6</v>
      </c>
      <c r="AC769" s="594"/>
      <c r="AD769" s="211"/>
    </row>
    <row r="770" spans="1:30" ht="15.75" customHeight="1">
      <c r="A770" s="204" t="str">
        <f>IF(B770&lt;&gt;"",IF(AND(B770&gt;=_TM1,B770&lt;=_TM2,OR(TH!L770="1111",TH!M770="1111")),TH!D770,""),"")</f>
        <v/>
      </c>
      <c r="B770" s="36">
        <f t="shared" si="245"/>
        <v>8</v>
      </c>
      <c r="C770" s="191">
        <f t="shared" si="250"/>
        <v>41489</v>
      </c>
      <c r="D770" s="184" t="s">
        <v>1060</v>
      </c>
      <c r="E770" s="191">
        <v>41489</v>
      </c>
      <c r="F770" s="192" t="s">
        <v>724</v>
      </c>
      <c r="G770" s="487" t="s">
        <v>895</v>
      </c>
      <c r="H770" s="7" t="s">
        <v>894</v>
      </c>
      <c r="I770" s="256"/>
      <c r="J770" s="256"/>
      <c r="K770" s="38">
        <v>1248225</v>
      </c>
      <c r="L770" s="194" t="s">
        <v>265</v>
      </c>
      <c r="M770" s="194" t="s">
        <v>429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850"/>
      <c r="AC770" s="594" t="str">
        <f t="shared" si="242"/>
        <v/>
      </c>
    </row>
    <row r="771" spans="1:30" ht="15.75" customHeight="1">
      <c r="A771" s="204" t="str">
        <f>IF(B771&lt;&gt;"",IF(AND(B771&gt;=_TM1,B771&lt;=_TM2,OR(TH!L771="1111",TH!M771="1111")),TH!D771,""),"")</f>
        <v/>
      </c>
      <c r="B771" s="36">
        <f t="shared" si="245"/>
        <v>8</v>
      </c>
      <c r="C771" s="191">
        <f t="shared" si="250"/>
        <v>41492</v>
      </c>
      <c r="D771" s="184" t="s">
        <v>1061</v>
      </c>
      <c r="E771" s="191">
        <v>41492</v>
      </c>
      <c r="F771" s="192" t="s">
        <v>1147</v>
      </c>
      <c r="G771" s="487" t="s">
        <v>896</v>
      </c>
      <c r="H771" s="7" t="s">
        <v>894</v>
      </c>
      <c r="I771" s="256">
        <v>2829</v>
      </c>
      <c r="J771" s="256">
        <v>4450</v>
      </c>
      <c r="K771" s="38">
        <f>ROUND(I771*J771,0)</f>
        <v>12589050</v>
      </c>
      <c r="L771" s="194" t="s">
        <v>265</v>
      </c>
      <c r="M771" s="194" t="s">
        <v>175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850"/>
      <c r="AC771" s="594"/>
    </row>
    <row r="772" spans="1:30" ht="15.75" customHeight="1">
      <c r="A772" s="204" t="str">
        <f>IF(B772&lt;&gt;"",IF(AND(B772&gt;=_TM1,B772&lt;=_TM2,OR(TH!L772="1111",TH!M772="1111")),TH!D772,""),"")</f>
        <v/>
      </c>
      <c r="B772" s="36">
        <f t="shared" si="245"/>
        <v>8</v>
      </c>
      <c r="C772" s="191">
        <f t="shared" si="250"/>
        <v>41492</v>
      </c>
      <c r="D772" s="184" t="s">
        <v>1061</v>
      </c>
      <c r="E772" s="191">
        <v>41492</v>
      </c>
      <c r="F772" s="192" t="s">
        <v>724</v>
      </c>
      <c r="G772" s="487" t="s">
        <v>896</v>
      </c>
      <c r="H772" s="7" t="s">
        <v>894</v>
      </c>
      <c r="I772" s="256"/>
      <c r="J772" s="256"/>
      <c r="K772" s="38">
        <v>1258905</v>
      </c>
      <c r="L772" s="194" t="s">
        <v>265</v>
      </c>
      <c r="M772" s="194" t="s">
        <v>429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850"/>
      <c r="AC772" s="594" t="str">
        <f t="shared" si="242"/>
        <v/>
      </c>
    </row>
    <row r="773" spans="1:30" ht="15.75" customHeight="1">
      <c r="A773" s="204" t="str">
        <f>IF(B773&lt;&gt;"",IF(AND(B773&gt;=_TM1,B773&lt;=_TM2,OR(TH!L773="1111",TH!M773="1111")),TH!D773,""),"")</f>
        <v/>
      </c>
      <c r="B773" s="36">
        <f t="shared" si="245"/>
        <v>8</v>
      </c>
      <c r="C773" s="191">
        <f t="shared" si="250"/>
        <v>41492</v>
      </c>
      <c r="D773" s="184" t="s">
        <v>1062</v>
      </c>
      <c r="E773" s="191">
        <v>41492</v>
      </c>
      <c r="F773" s="192" t="s">
        <v>897</v>
      </c>
      <c r="G773" s="487" t="s">
        <v>898</v>
      </c>
      <c r="H773" s="193" t="s">
        <v>863</v>
      </c>
      <c r="I773" s="256">
        <v>1010</v>
      </c>
      <c r="J773" s="256">
        <v>6400</v>
      </c>
      <c r="K773" s="38">
        <f t="shared" ref="K773:K774" si="267">ROUND(I773*J773,0)</f>
        <v>6464000</v>
      </c>
      <c r="L773" s="194" t="s">
        <v>265</v>
      </c>
      <c r="M773" s="194" t="s">
        <v>175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850"/>
      <c r="AC773" s="594"/>
    </row>
    <row r="774" spans="1:30" ht="15.75" customHeight="1">
      <c r="A774" s="204" t="str">
        <f>IF(B774&lt;&gt;"",IF(AND(B774&gt;=_TM1,B774&lt;=_TM2,OR(TH!L774="1111",TH!M774="1111")),TH!D774,""),"")</f>
        <v/>
      </c>
      <c r="B774" s="36">
        <f t="shared" si="245"/>
        <v>8</v>
      </c>
      <c r="C774" s="191">
        <f t="shared" si="250"/>
        <v>41492</v>
      </c>
      <c r="D774" s="184" t="s">
        <v>1062</v>
      </c>
      <c r="E774" s="191">
        <v>41492</v>
      </c>
      <c r="F774" s="192" t="s">
        <v>1136</v>
      </c>
      <c r="G774" s="192" t="s">
        <v>898</v>
      </c>
      <c r="H774" s="7" t="s">
        <v>863</v>
      </c>
      <c r="I774" s="256">
        <v>960</v>
      </c>
      <c r="J774" s="256">
        <v>5300</v>
      </c>
      <c r="K774" s="38">
        <f t="shared" si="267"/>
        <v>5088000</v>
      </c>
      <c r="L774" s="194" t="s">
        <v>265</v>
      </c>
      <c r="M774" s="194" t="s">
        <v>175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850"/>
      <c r="AC774" s="594"/>
    </row>
    <row r="775" spans="1:30" ht="15.75" customHeight="1">
      <c r="A775" s="204" t="str">
        <f>IF(B775&lt;&gt;"",IF(AND(B775&gt;=_TM1,B775&lt;=_TM2,OR(TH!L775="1111",TH!M775="1111")),TH!D775,""),"")</f>
        <v/>
      </c>
      <c r="B775" s="36">
        <f t="shared" si="245"/>
        <v>8</v>
      </c>
      <c r="C775" s="191">
        <f t="shared" si="250"/>
        <v>41492</v>
      </c>
      <c r="D775" s="184" t="s">
        <v>1062</v>
      </c>
      <c r="E775" s="191">
        <v>41492</v>
      </c>
      <c r="F775" s="192" t="s">
        <v>724</v>
      </c>
      <c r="G775" s="487" t="s">
        <v>898</v>
      </c>
      <c r="H775" s="7" t="s">
        <v>863</v>
      </c>
      <c r="I775" s="256"/>
      <c r="J775" s="256"/>
      <c r="K775" s="38">
        <v>1155200</v>
      </c>
      <c r="L775" s="194" t="s">
        <v>265</v>
      </c>
      <c r="M775" s="194" t="s">
        <v>429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850"/>
      <c r="AC775" s="594" t="str">
        <f t="shared" si="242"/>
        <v/>
      </c>
    </row>
    <row r="776" spans="1:30" ht="15.75" customHeight="1">
      <c r="A776" s="204" t="str">
        <f>IF(B776&lt;&gt;"",IF(AND(B776&gt;=_TM1,B776&lt;=_TM2,OR(TH!L776="1111",TH!M776="1111")),TH!D776,""),"")</f>
        <v/>
      </c>
      <c r="B776" s="36">
        <f t="shared" si="245"/>
        <v>8</v>
      </c>
      <c r="C776" s="191">
        <f t="shared" si="250"/>
        <v>41492</v>
      </c>
      <c r="D776" s="184" t="s">
        <v>1063</v>
      </c>
      <c r="E776" s="191">
        <v>41492</v>
      </c>
      <c r="F776" s="192" t="s">
        <v>723</v>
      </c>
      <c r="G776" s="487" t="s">
        <v>899</v>
      </c>
      <c r="H776" s="7" t="s">
        <v>499</v>
      </c>
      <c r="I776" s="256">
        <v>1307</v>
      </c>
      <c r="J776" s="256">
        <v>5100</v>
      </c>
      <c r="K776" s="38">
        <f t="shared" ref="K776:K777" si="268">ROUND(I776*J776,0)</f>
        <v>6665700</v>
      </c>
      <c r="L776" s="194" t="s">
        <v>265</v>
      </c>
      <c r="M776" s="194" t="s">
        <v>175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850"/>
      <c r="AC776" s="594"/>
    </row>
    <row r="777" spans="1:30" ht="15.75" customHeight="1">
      <c r="A777" s="204" t="str">
        <f>IF(B777&lt;&gt;"",IF(AND(B777&gt;=_TM1,B777&lt;=_TM2,OR(TH!L777="1111",TH!M777="1111")),TH!D777,""),"")</f>
        <v/>
      </c>
      <c r="B777" s="36">
        <f t="shared" si="245"/>
        <v>8</v>
      </c>
      <c r="C777" s="191">
        <f t="shared" si="250"/>
        <v>41492</v>
      </c>
      <c r="D777" s="184" t="s">
        <v>1063</v>
      </c>
      <c r="E777" s="191">
        <v>41492</v>
      </c>
      <c r="F777" s="192" t="s">
        <v>869</v>
      </c>
      <c r="G777" s="192" t="s">
        <v>899</v>
      </c>
      <c r="H777" s="7" t="s">
        <v>499</v>
      </c>
      <c r="I777" s="256">
        <v>623</v>
      </c>
      <c r="J777" s="256">
        <v>9800</v>
      </c>
      <c r="K777" s="38">
        <f t="shared" si="268"/>
        <v>6105400</v>
      </c>
      <c r="L777" s="194" t="s">
        <v>265</v>
      </c>
      <c r="M777" s="194" t="s">
        <v>175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850"/>
      <c r="AC777" s="594"/>
    </row>
    <row r="778" spans="1:30" ht="15.75" customHeight="1">
      <c r="A778" s="204" t="str">
        <f>IF(B778&lt;&gt;"",IF(AND(B778&gt;=_TM1,B778&lt;=_TM2,OR(TH!L778="1111",TH!M778="1111")),TH!D778,""),"")</f>
        <v/>
      </c>
      <c r="B778" s="36">
        <f t="shared" si="245"/>
        <v>8</v>
      </c>
      <c r="C778" s="191">
        <f t="shared" si="250"/>
        <v>41492</v>
      </c>
      <c r="D778" s="184" t="s">
        <v>1063</v>
      </c>
      <c r="E778" s="191">
        <v>41492</v>
      </c>
      <c r="F778" s="192" t="s">
        <v>724</v>
      </c>
      <c r="G778" s="192" t="s">
        <v>899</v>
      </c>
      <c r="H778" s="7" t="s">
        <v>499</v>
      </c>
      <c r="I778" s="256"/>
      <c r="J778" s="256"/>
      <c r="K778" s="38">
        <v>1277110</v>
      </c>
      <c r="L778" s="194" t="s">
        <v>265</v>
      </c>
      <c r="M778" s="194" t="s">
        <v>429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850"/>
      <c r="AC778" s="594" t="str">
        <f t="shared" si="242"/>
        <v/>
      </c>
    </row>
    <row r="779" spans="1:30" ht="15.75" customHeight="1">
      <c r="A779" s="204" t="str">
        <f>IF(B779&lt;&gt;"",IF(AND(B779&gt;=_TM1,B779&lt;=_TM2,OR(TH!L779="1111",TH!M779="1111")),TH!D779,""),"")</f>
        <v/>
      </c>
      <c r="B779" s="36">
        <f t="shared" si="245"/>
        <v>8</v>
      </c>
      <c r="C779" s="191">
        <f t="shared" si="250"/>
        <v>41495</v>
      </c>
      <c r="D779" s="184" t="s">
        <v>1064</v>
      </c>
      <c r="E779" s="191">
        <v>41495</v>
      </c>
      <c r="F779" s="192" t="s">
        <v>836</v>
      </c>
      <c r="G779" s="192" t="s">
        <v>900</v>
      </c>
      <c r="H779" s="193" t="s">
        <v>741</v>
      </c>
      <c r="I779" s="256">
        <v>1000</v>
      </c>
      <c r="J779" s="256">
        <v>10500</v>
      </c>
      <c r="K779" s="38">
        <f>ROUND(I779*J779,0)</f>
        <v>10500000</v>
      </c>
      <c r="L779" s="194" t="s">
        <v>265</v>
      </c>
      <c r="M779" s="194" t="s">
        <v>175</v>
      </c>
      <c r="N779" s="52" t="str">
        <f>IF(AND('331-CT'!$E$7=TH!H779,OR(L779="331",M779="331")),"331",IF(AND(OR(L779="131",M779="131"),H779='131-CT'!$E$7),"131",""))</f>
        <v>131</v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850"/>
      <c r="AB779" s="594"/>
      <c r="AC779" s="594"/>
      <c r="AD779" s="594"/>
    </row>
    <row r="780" spans="1:30" ht="15.75" customHeight="1">
      <c r="A780" s="204" t="str">
        <f>IF(B780&lt;&gt;"",IF(AND(B780&gt;=_TM1,B780&lt;=_TM2,OR(TH!L780="1111",TH!M780="1111")),TH!D780,""),"")</f>
        <v/>
      </c>
      <c r="B780" s="36">
        <f t="shared" si="245"/>
        <v>8</v>
      </c>
      <c r="C780" s="191">
        <f t="shared" si="250"/>
        <v>41495</v>
      </c>
      <c r="D780" s="184" t="s">
        <v>1064</v>
      </c>
      <c r="E780" s="191">
        <v>41495</v>
      </c>
      <c r="F780" s="192" t="s">
        <v>724</v>
      </c>
      <c r="G780" s="192" t="s">
        <v>900</v>
      </c>
      <c r="H780" s="7" t="s">
        <v>741</v>
      </c>
      <c r="I780" s="257"/>
      <c r="J780" s="257"/>
      <c r="K780" s="38">
        <v>1050000</v>
      </c>
      <c r="L780" s="194" t="s">
        <v>265</v>
      </c>
      <c r="M780" s="194" t="s">
        <v>429</v>
      </c>
      <c r="N780" s="52" t="str">
        <f>IF(AND('331-CT'!$E$7=TH!H780,OR(L780="331",M780="331")),"331",IF(AND(OR(L780="131",M780="131"),H780='131-CT'!$E$7),"131",""))</f>
        <v>131</v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850"/>
      <c r="AB780" s="594"/>
      <c r="AC780" s="594" t="str">
        <f t="shared" si="242"/>
        <v/>
      </c>
      <c r="AD780" s="594"/>
    </row>
    <row r="781" spans="1:30" ht="15.75" customHeight="1">
      <c r="A781" s="204" t="str">
        <f>IF(B781&lt;&gt;"",IF(AND(B781&gt;=_TM1,B781&lt;=_TM2,OR(TH!L781="1111",TH!M781="1111")),TH!D781,""),"")</f>
        <v/>
      </c>
      <c r="B781" s="36">
        <f t="shared" ref="B781" si="269">IF(C781&lt;&gt;"",MONTH(C781),"")</f>
        <v>8</v>
      </c>
      <c r="C781" s="191">
        <f t="shared" ref="C781" si="270">E781</f>
        <v>41495</v>
      </c>
      <c r="D781" s="184" t="s">
        <v>1064</v>
      </c>
      <c r="E781" s="191">
        <v>41495</v>
      </c>
      <c r="F781" s="189" t="s">
        <v>341</v>
      </c>
      <c r="G781" s="192" t="s">
        <v>900</v>
      </c>
      <c r="H781" s="7" t="s">
        <v>741</v>
      </c>
      <c r="I781" s="257"/>
      <c r="J781" s="257"/>
      <c r="K781" s="38">
        <v>11550000</v>
      </c>
      <c r="L781" s="194" t="s">
        <v>47</v>
      </c>
      <c r="M781" s="194" t="s">
        <v>265</v>
      </c>
      <c r="N781" s="52" t="str">
        <f>IF(AND('331-CT'!$E$7=TH!H781,OR(L781="331",M781="331")),"331",IF(AND(OR(L781="131",M781="131"),H781='131-CT'!$E$7),"131",""))</f>
        <v>131</v>
      </c>
      <c r="O781" s="52" t="str">
        <f>IF(AND($B781&gt;='111'!$N$11,$B781&lt;='111'!$O$11,OR($L781=$O$7,$M781=$O$7)),"x","")</f>
        <v>x</v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850"/>
      <c r="AB781" s="594"/>
      <c r="AC781" s="594" t="str">
        <f t="shared" ref="AC781" si="271">IF(VLOOKUP(H781,DS_131,1,0)&lt;&gt;"","","x")</f>
        <v/>
      </c>
      <c r="AD781" s="594"/>
    </row>
    <row r="782" spans="1:30" ht="15.75" customHeight="1">
      <c r="A782" s="204" t="str">
        <f>IF(B782&lt;&gt;"",IF(AND(B782&gt;=_TM1,B782&lt;=_TM2,OR(TH!L782="1111",TH!M782="1111")),TH!D782,""),"")</f>
        <v/>
      </c>
      <c r="B782" s="36">
        <f t="shared" si="245"/>
        <v>8</v>
      </c>
      <c r="C782" s="191">
        <f t="shared" si="250"/>
        <v>41495</v>
      </c>
      <c r="D782" s="184" t="s">
        <v>1065</v>
      </c>
      <c r="E782" s="191">
        <v>41495</v>
      </c>
      <c r="F782" s="192" t="s">
        <v>1147</v>
      </c>
      <c r="G782" s="192" t="s">
        <v>901</v>
      </c>
      <c r="H782" s="7" t="s">
        <v>894</v>
      </c>
      <c r="I782" s="256">
        <v>2730</v>
      </c>
      <c r="J782" s="256">
        <v>4210</v>
      </c>
      <c r="K782" s="38">
        <f>ROUND(I782*J782,0)</f>
        <v>11493300</v>
      </c>
      <c r="L782" s="194" t="s">
        <v>265</v>
      </c>
      <c r="M782" s="194" t="s">
        <v>175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850"/>
      <c r="AC782" s="594"/>
    </row>
    <row r="783" spans="1:30" ht="15.75" customHeight="1">
      <c r="A783" s="204" t="str">
        <f>IF(B783&lt;&gt;"",IF(AND(B783&gt;=_TM1,B783&lt;=_TM2,OR(TH!L783="1111",TH!M783="1111")),TH!D783,""),"")</f>
        <v/>
      </c>
      <c r="B783" s="36">
        <f t="shared" si="245"/>
        <v>8</v>
      </c>
      <c r="C783" s="191">
        <f t="shared" si="250"/>
        <v>41495</v>
      </c>
      <c r="D783" s="184" t="s">
        <v>1065</v>
      </c>
      <c r="E783" s="191">
        <v>41495</v>
      </c>
      <c r="F783" s="192" t="s">
        <v>724</v>
      </c>
      <c r="G783" s="192" t="s">
        <v>901</v>
      </c>
      <c r="H783" s="7" t="s">
        <v>894</v>
      </c>
      <c r="I783" s="256"/>
      <c r="J783" s="256"/>
      <c r="K783" s="38">
        <v>1149330</v>
      </c>
      <c r="L783" s="194" t="s">
        <v>265</v>
      </c>
      <c r="M783" s="194" t="s">
        <v>429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850"/>
      <c r="AC783" s="594" t="str">
        <f t="shared" si="242"/>
        <v/>
      </c>
    </row>
    <row r="784" spans="1:30" ht="15.75" customHeight="1">
      <c r="A784" s="204" t="str">
        <f>IF(B784&lt;&gt;"",IF(AND(B784&gt;=_TM1,B784&lt;=_TM2,OR(TH!L784="1111",TH!M784="1111")),TH!D784,""),"")</f>
        <v/>
      </c>
      <c r="B784" s="36">
        <f t="shared" si="245"/>
        <v>8</v>
      </c>
      <c r="C784" s="191">
        <f t="shared" si="250"/>
        <v>41496</v>
      </c>
      <c r="D784" s="184" t="s">
        <v>1066</v>
      </c>
      <c r="E784" s="191">
        <v>41496</v>
      </c>
      <c r="F784" s="192" t="s">
        <v>1135</v>
      </c>
      <c r="G784" s="192" t="s">
        <v>902</v>
      </c>
      <c r="H784" s="7" t="s">
        <v>431</v>
      </c>
      <c r="I784" s="256">
        <v>1990</v>
      </c>
      <c r="J784" s="256">
        <v>6250</v>
      </c>
      <c r="K784" s="38">
        <f>ROUND(I784*J784,0)</f>
        <v>12437500</v>
      </c>
      <c r="L784" s="194" t="s">
        <v>265</v>
      </c>
      <c r="M784" s="194" t="s">
        <v>175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850"/>
      <c r="AC784" s="594"/>
    </row>
    <row r="785" spans="1:30" ht="15.75" customHeight="1">
      <c r="A785" s="204" t="str">
        <f>IF(B785&lt;&gt;"",IF(AND(B785&gt;=_TM1,B785&lt;=_TM2,OR(TH!L785="1111",TH!M785="1111")),TH!D785,""),"")</f>
        <v/>
      </c>
      <c r="B785" s="36">
        <f t="shared" si="245"/>
        <v>8</v>
      </c>
      <c r="C785" s="191">
        <f t="shared" si="250"/>
        <v>41496</v>
      </c>
      <c r="D785" s="184" t="s">
        <v>1066</v>
      </c>
      <c r="E785" s="191">
        <v>41496</v>
      </c>
      <c r="F785" s="192" t="s">
        <v>724</v>
      </c>
      <c r="G785" s="192" t="s">
        <v>902</v>
      </c>
      <c r="H785" s="7" t="s">
        <v>431</v>
      </c>
      <c r="I785" s="256"/>
      <c r="J785" s="256"/>
      <c r="K785" s="38">
        <v>1243750</v>
      </c>
      <c r="L785" s="194" t="s">
        <v>265</v>
      </c>
      <c r="M785" s="194" t="s">
        <v>429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850"/>
      <c r="AC785" s="594" t="str">
        <f t="shared" si="242"/>
        <v/>
      </c>
    </row>
    <row r="786" spans="1:30" ht="15.75" customHeight="1">
      <c r="A786" s="204" t="str">
        <f>IF(B786&lt;&gt;"",IF(AND(B786&gt;=_TM1,B786&lt;=_TM2,OR(TH!L786="1111",TH!M786="1111")),TH!D786,""),"")</f>
        <v/>
      </c>
      <c r="B786" s="36">
        <f t="shared" si="245"/>
        <v>8</v>
      </c>
      <c r="C786" s="191">
        <f t="shared" si="250"/>
        <v>41496</v>
      </c>
      <c r="D786" s="184" t="s">
        <v>1067</v>
      </c>
      <c r="E786" s="191">
        <v>41496</v>
      </c>
      <c r="F786" s="192" t="s">
        <v>903</v>
      </c>
      <c r="G786" s="192" t="s">
        <v>904</v>
      </c>
      <c r="H786" s="7" t="s">
        <v>905</v>
      </c>
      <c r="I786" s="256">
        <v>480</v>
      </c>
      <c r="J786" s="256">
        <v>6200</v>
      </c>
      <c r="K786" s="38">
        <f t="shared" ref="K786:K787" si="272">ROUND(I786*J786,0)</f>
        <v>2976000</v>
      </c>
      <c r="L786" s="194" t="s">
        <v>265</v>
      </c>
      <c r="M786" s="194" t="s">
        <v>175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850"/>
      <c r="AC786" s="594"/>
    </row>
    <row r="787" spans="1:30" ht="15.75" customHeight="1">
      <c r="A787" s="204" t="str">
        <f>IF(B787&lt;&gt;"",IF(AND(B787&gt;=_TM1,B787&lt;=_TM2,OR(TH!L787="1111",TH!M787="1111")),TH!D787,""),"")</f>
        <v/>
      </c>
      <c r="B787" s="36">
        <f t="shared" si="245"/>
        <v>8</v>
      </c>
      <c r="C787" s="191">
        <f t="shared" si="250"/>
        <v>41496</v>
      </c>
      <c r="D787" s="184" t="s">
        <v>1067</v>
      </c>
      <c r="E787" s="191">
        <v>41496</v>
      </c>
      <c r="F787" s="192" t="s">
        <v>903</v>
      </c>
      <c r="G787" s="487" t="s">
        <v>904</v>
      </c>
      <c r="H787" s="193" t="s">
        <v>905</v>
      </c>
      <c r="I787" s="256">
        <v>440</v>
      </c>
      <c r="J787" s="256">
        <v>7080</v>
      </c>
      <c r="K787" s="38">
        <f t="shared" si="272"/>
        <v>3115200</v>
      </c>
      <c r="L787" s="194" t="s">
        <v>265</v>
      </c>
      <c r="M787" s="194" t="s">
        <v>175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850"/>
      <c r="AC787" s="594"/>
    </row>
    <row r="788" spans="1:30" ht="15.75" customHeight="1">
      <c r="A788" s="204" t="str">
        <f>IF(B788&lt;&gt;"",IF(AND(B788&gt;=_TM1,B788&lt;=_TM2,OR(TH!L788="1111",TH!M788="1111")),TH!D788,""),"")</f>
        <v/>
      </c>
      <c r="B788" s="36">
        <f t="shared" si="245"/>
        <v>8</v>
      </c>
      <c r="C788" s="191">
        <f t="shared" si="250"/>
        <v>41496</v>
      </c>
      <c r="D788" s="184" t="s">
        <v>1067</v>
      </c>
      <c r="E788" s="191">
        <v>41496</v>
      </c>
      <c r="F788" s="192" t="s">
        <v>724</v>
      </c>
      <c r="G788" s="487" t="s">
        <v>904</v>
      </c>
      <c r="H788" s="193" t="s">
        <v>905</v>
      </c>
      <c r="I788" s="256"/>
      <c r="J788" s="256"/>
      <c r="K788" s="38">
        <v>609120</v>
      </c>
      <c r="L788" s="194" t="s">
        <v>265</v>
      </c>
      <c r="M788" s="194" t="s">
        <v>429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850"/>
      <c r="AC788" s="594" t="str">
        <f t="shared" ref="AC788:AC882" si="273">IF(VLOOKUP(H788,DS_131,1,0)&lt;&gt;"","","x")</f>
        <v/>
      </c>
    </row>
    <row r="789" spans="1:30" ht="15.75" customHeight="1">
      <c r="A789" s="204" t="str">
        <f>IF(B789&lt;&gt;"",IF(AND(B789&gt;=_TM1,B789&lt;=_TM2,OR(TH!L789="1111",TH!M789="1111")),TH!D789,""),"")</f>
        <v/>
      </c>
      <c r="B789" s="36">
        <f t="shared" ref="B789" si="274">IF(C789&lt;&gt;"",MONTH(C789),"")</f>
        <v>8</v>
      </c>
      <c r="C789" s="191">
        <f t="shared" ref="C789" si="275">E789</f>
        <v>41496</v>
      </c>
      <c r="D789" s="184" t="s">
        <v>1067</v>
      </c>
      <c r="E789" s="191">
        <v>41496</v>
      </c>
      <c r="F789" s="189" t="s">
        <v>341</v>
      </c>
      <c r="G789" s="487" t="s">
        <v>904</v>
      </c>
      <c r="H789" s="193" t="s">
        <v>905</v>
      </c>
      <c r="I789" s="256"/>
      <c r="J789" s="256"/>
      <c r="K789" s="38">
        <v>6700320</v>
      </c>
      <c r="L789" s="194" t="s">
        <v>47</v>
      </c>
      <c r="M789" s="194" t="s">
        <v>265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>x</v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850"/>
      <c r="AC789" s="594" t="str">
        <f t="shared" ref="AC789" si="276">IF(VLOOKUP(H789,DS_131,1,0)&lt;&gt;"","","x")</f>
        <v/>
      </c>
    </row>
    <row r="790" spans="1:30" ht="15.75" customHeight="1">
      <c r="A790" s="204" t="str">
        <f>IF(B790&lt;&gt;"",IF(AND(B790&gt;=_TM1,B790&lt;=_TM2,OR(TH!L790="1111",TH!M790="1111")),TH!D790,""),"")</f>
        <v/>
      </c>
      <c r="B790" s="36">
        <f t="shared" si="245"/>
        <v>8</v>
      </c>
      <c r="C790" s="191">
        <f t="shared" si="250"/>
        <v>41498</v>
      </c>
      <c r="D790" s="184" t="s">
        <v>1068</v>
      </c>
      <c r="E790" s="191">
        <v>41498</v>
      </c>
      <c r="F790" s="192" t="s">
        <v>729</v>
      </c>
      <c r="G790" s="487" t="s">
        <v>906</v>
      </c>
      <c r="H790" s="193" t="s">
        <v>501</v>
      </c>
      <c r="I790" s="256">
        <v>1000</v>
      </c>
      <c r="J790" s="256">
        <v>8740</v>
      </c>
      <c r="K790" s="38">
        <f>ROUND(I790*J790,0)</f>
        <v>8740000</v>
      </c>
      <c r="L790" s="194" t="s">
        <v>265</v>
      </c>
      <c r="M790" s="194" t="s">
        <v>175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850"/>
      <c r="AC790" s="594"/>
    </row>
    <row r="791" spans="1:30" ht="15.75" customHeight="1">
      <c r="A791" s="204" t="str">
        <f>IF(B791&lt;&gt;"",IF(AND(B791&gt;=_TM1,B791&lt;=_TM2,OR(TH!L791="1111",TH!M791="1111")),TH!D791,""),"")</f>
        <v/>
      </c>
      <c r="B791" s="36">
        <f t="shared" si="245"/>
        <v>8</v>
      </c>
      <c r="C791" s="191">
        <f t="shared" si="250"/>
        <v>41498</v>
      </c>
      <c r="D791" s="184" t="s">
        <v>1068</v>
      </c>
      <c r="E791" s="191">
        <v>41498</v>
      </c>
      <c r="F791" s="192" t="s">
        <v>724</v>
      </c>
      <c r="G791" s="487" t="s">
        <v>906</v>
      </c>
      <c r="H791" s="193" t="s">
        <v>501</v>
      </c>
      <c r="I791" s="256"/>
      <c r="J791" s="256"/>
      <c r="K791" s="38">
        <v>874000</v>
      </c>
      <c r="L791" s="194" t="s">
        <v>265</v>
      </c>
      <c r="M791" s="194" t="s">
        <v>429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850"/>
      <c r="AC791" s="594" t="str">
        <f t="shared" si="273"/>
        <v/>
      </c>
    </row>
    <row r="792" spans="1:30" ht="15.75" customHeight="1">
      <c r="A792" s="204" t="str">
        <f>IF(B792&lt;&gt;"",IF(AND(B792&gt;=_TM1,B792&lt;=_TM2,OR(TH!L792="1111",TH!M792="1111")),TH!D792,""),"")</f>
        <v/>
      </c>
      <c r="B792" s="36">
        <f t="shared" si="245"/>
        <v>8</v>
      </c>
      <c r="C792" s="191">
        <f t="shared" si="250"/>
        <v>41499</v>
      </c>
      <c r="D792" s="184" t="s">
        <v>1069</v>
      </c>
      <c r="E792" s="191">
        <v>41499</v>
      </c>
      <c r="F792" s="192" t="s">
        <v>812</v>
      </c>
      <c r="G792" s="487" t="s">
        <v>907</v>
      </c>
      <c r="H792" s="7" t="s">
        <v>541</v>
      </c>
      <c r="I792" s="256">
        <v>200</v>
      </c>
      <c r="J792" s="256">
        <v>9800</v>
      </c>
      <c r="K792" s="38">
        <f t="shared" ref="K792:K794" si="277">ROUND(I792*J792,0)</f>
        <v>1960000</v>
      </c>
      <c r="L792" s="194" t="s">
        <v>265</v>
      </c>
      <c r="M792" s="194" t="s">
        <v>175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850"/>
      <c r="AB792" s="594"/>
      <c r="AC792" s="594"/>
      <c r="AD792" s="594"/>
    </row>
    <row r="793" spans="1:30" ht="15.75" customHeight="1">
      <c r="A793" s="204" t="str">
        <f>IF(B793&lt;&gt;"",IF(AND(B793&gt;=_TM1,B793&lt;=_TM2,OR(TH!L793="1111",TH!M793="1111")),TH!D793,""),"")</f>
        <v/>
      </c>
      <c r="B793" s="36">
        <f t="shared" ref="B793:B892" si="278">IF(C793&lt;&gt;"",MONTH(C793),"")</f>
        <v>8</v>
      </c>
      <c r="C793" s="191">
        <f t="shared" si="250"/>
        <v>41499</v>
      </c>
      <c r="D793" s="184" t="s">
        <v>1069</v>
      </c>
      <c r="E793" s="191">
        <v>41499</v>
      </c>
      <c r="F793" s="192" t="s">
        <v>1132</v>
      </c>
      <c r="G793" s="487" t="s">
        <v>907</v>
      </c>
      <c r="H793" s="7" t="s">
        <v>541</v>
      </c>
      <c r="I793" s="256">
        <v>250</v>
      </c>
      <c r="J793" s="256">
        <v>12900</v>
      </c>
      <c r="K793" s="38">
        <f t="shared" si="277"/>
        <v>3225000</v>
      </c>
      <c r="L793" s="194" t="s">
        <v>265</v>
      </c>
      <c r="M793" s="194" t="s">
        <v>175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850"/>
      <c r="AB793" s="594"/>
      <c r="AC793" s="594"/>
      <c r="AD793" s="211"/>
    </row>
    <row r="794" spans="1:30" ht="15.75" customHeight="1">
      <c r="A794" s="204" t="str">
        <f>IF(B794&lt;&gt;"",IF(AND(B794&gt;=_TM1,B794&lt;=_TM2,OR(TH!L794="1111",TH!M794="1111")),TH!D794,""),"")</f>
        <v/>
      </c>
      <c r="B794" s="36">
        <f t="shared" si="278"/>
        <v>8</v>
      </c>
      <c r="C794" s="191">
        <f t="shared" si="250"/>
        <v>41499</v>
      </c>
      <c r="D794" s="184" t="s">
        <v>1069</v>
      </c>
      <c r="E794" s="191">
        <v>41499</v>
      </c>
      <c r="F794" s="192" t="s">
        <v>883</v>
      </c>
      <c r="G794" s="487" t="s">
        <v>907</v>
      </c>
      <c r="H794" s="7" t="s">
        <v>541</v>
      </c>
      <c r="I794" s="256">
        <v>505</v>
      </c>
      <c r="J794" s="256">
        <v>8600</v>
      </c>
      <c r="K794" s="38">
        <f t="shared" si="277"/>
        <v>4343000</v>
      </c>
      <c r="L794" s="194" t="s">
        <v>265</v>
      </c>
      <c r="M794" s="194" t="s">
        <v>175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850"/>
      <c r="AB794" s="211"/>
      <c r="AC794" s="594"/>
      <c r="AD794" s="211"/>
    </row>
    <row r="795" spans="1:30" ht="15.75" customHeight="1">
      <c r="A795" s="204" t="str">
        <f>IF(B795&lt;&gt;"",IF(AND(B795&gt;=_TM1,B795&lt;=_TM2,OR(TH!L795="1111",TH!M795="1111")),TH!D795,""),"")</f>
        <v/>
      </c>
      <c r="B795" s="36">
        <f t="shared" si="278"/>
        <v>8</v>
      </c>
      <c r="C795" s="191">
        <f t="shared" si="250"/>
        <v>41499</v>
      </c>
      <c r="D795" s="184" t="s">
        <v>1069</v>
      </c>
      <c r="E795" s="191">
        <v>41499</v>
      </c>
      <c r="F795" s="192" t="s">
        <v>724</v>
      </c>
      <c r="G795" s="487" t="s">
        <v>907</v>
      </c>
      <c r="H795" s="7" t="s">
        <v>541</v>
      </c>
      <c r="I795" s="256"/>
      <c r="J795" s="256"/>
      <c r="K795" s="38">
        <v>952800</v>
      </c>
      <c r="L795" s="194" t="s">
        <v>265</v>
      </c>
      <c r="M795" s="194" t="s">
        <v>429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850"/>
      <c r="AB795" s="211"/>
      <c r="AC795" s="594" t="str">
        <f t="shared" si="273"/>
        <v/>
      </c>
      <c r="AD795" s="211"/>
    </row>
    <row r="796" spans="1:30" ht="15.75" customHeight="1">
      <c r="A796" s="204" t="str">
        <f>IF(B796&lt;&gt;"",IF(AND(B796&gt;=_TM1,B796&lt;=_TM2,OR(TH!L796="1111",TH!M796="1111")),TH!D796,""),"")</f>
        <v/>
      </c>
      <c r="B796" s="36">
        <f t="shared" si="278"/>
        <v>8</v>
      </c>
      <c r="C796" s="191">
        <f t="shared" ref="C796:C895" si="279">E796</f>
        <v>41500</v>
      </c>
      <c r="D796" s="184" t="s">
        <v>1070</v>
      </c>
      <c r="E796" s="191">
        <v>41500</v>
      </c>
      <c r="F796" s="192" t="s">
        <v>908</v>
      </c>
      <c r="G796" s="487" t="s">
        <v>909</v>
      </c>
      <c r="H796" s="7" t="s">
        <v>863</v>
      </c>
      <c r="I796" s="256">
        <v>85</v>
      </c>
      <c r="J796" s="256">
        <v>9700</v>
      </c>
      <c r="K796" s="38">
        <f>ROUND(I796*J796,0)</f>
        <v>824500</v>
      </c>
      <c r="L796" s="194" t="s">
        <v>265</v>
      </c>
      <c r="M796" s="194" t="s">
        <v>175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850"/>
      <c r="AB796" s="211"/>
      <c r="AC796" s="594"/>
      <c r="AD796" s="211"/>
    </row>
    <row r="797" spans="1:30" ht="15.75" customHeight="1">
      <c r="A797" s="204" t="str">
        <f>IF(B797&lt;&gt;"",IF(AND(B797&gt;=_TM1,B797&lt;=_TM2,OR(TH!L797="1111",TH!M797="1111")),TH!D797,""),"")</f>
        <v/>
      </c>
      <c r="B797" s="36">
        <f t="shared" si="278"/>
        <v>8</v>
      </c>
      <c r="C797" s="191">
        <f t="shared" si="279"/>
        <v>41500</v>
      </c>
      <c r="D797" s="184" t="s">
        <v>1070</v>
      </c>
      <c r="E797" s="191">
        <v>41500</v>
      </c>
      <c r="F797" s="192" t="s">
        <v>724</v>
      </c>
      <c r="G797" s="487" t="s">
        <v>909</v>
      </c>
      <c r="H797" s="7" t="s">
        <v>863</v>
      </c>
      <c r="I797" s="256"/>
      <c r="J797" s="256"/>
      <c r="K797" s="38">
        <v>82450</v>
      </c>
      <c r="L797" s="194" t="s">
        <v>265</v>
      </c>
      <c r="M797" s="194" t="s">
        <v>429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850"/>
      <c r="AB797" s="211"/>
      <c r="AC797" s="594" t="str">
        <f t="shared" si="273"/>
        <v/>
      </c>
      <c r="AD797" s="211"/>
    </row>
    <row r="798" spans="1:30" ht="15.75" customHeight="1">
      <c r="A798" s="204" t="str">
        <f>IF(B798&lt;&gt;"",IF(AND(B798&gt;=_TM1,B798&lt;=_TM2,OR(TH!L798="1111",TH!M798="1111")),TH!D798,""),"")</f>
        <v/>
      </c>
      <c r="B798" s="36">
        <f t="shared" si="278"/>
        <v>8</v>
      </c>
      <c r="C798" s="191">
        <f t="shared" si="279"/>
        <v>41502</v>
      </c>
      <c r="D798" s="184" t="s">
        <v>1071</v>
      </c>
      <c r="E798" s="191">
        <v>41502</v>
      </c>
      <c r="F798" s="192" t="s">
        <v>1131</v>
      </c>
      <c r="G798" s="487" t="s">
        <v>910</v>
      </c>
      <c r="H798" s="7" t="s">
        <v>541</v>
      </c>
      <c r="I798" s="256">
        <v>303</v>
      </c>
      <c r="J798" s="256">
        <v>9400</v>
      </c>
      <c r="K798" s="38">
        <f>ROUND(I798*J798,0)</f>
        <v>2848200</v>
      </c>
      <c r="L798" s="194" t="s">
        <v>265</v>
      </c>
      <c r="M798" s="194" t="s">
        <v>175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850"/>
      <c r="AB798" s="211"/>
      <c r="AC798" s="594"/>
      <c r="AD798" s="211"/>
    </row>
    <row r="799" spans="1:30" ht="15.75" customHeight="1">
      <c r="A799" s="204" t="str">
        <f>IF(B799&lt;&gt;"",IF(AND(B799&gt;=_TM1,B799&lt;=_TM2,OR(TH!L799="1111",TH!M799="1111")),TH!D799,""),"")</f>
        <v/>
      </c>
      <c r="B799" s="36">
        <f t="shared" si="278"/>
        <v>8</v>
      </c>
      <c r="C799" s="191">
        <f t="shared" si="279"/>
        <v>41502</v>
      </c>
      <c r="D799" s="184" t="s">
        <v>1071</v>
      </c>
      <c r="E799" s="191">
        <v>41502</v>
      </c>
      <c r="F799" s="192" t="s">
        <v>724</v>
      </c>
      <c r="G799" s="487" t="s">
        <v>910</v>
      </c>
      <c r="H799" s="7" t="s">
        <v>541</v>
      </c>
      <c r="I799" s="256"/>
      <c r="J799" s="256"/>
      <c r="K799" s="38">
        <v>284820</v>
      </c>
      <c r="L799" s="194" t="s">
        <v>265</v>
      </c>
      <c r="M799" s="194" t="s">
        <v>429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850"/>
      <c r="AB799" s="211"/>
      <c r="AC799" s="594" t="str">
        <f t="shared" si="273"/>
        <v/>
      </c>
      <c r="AD799" s="211"/>
    </row>
    <row r="800" spans="1:30" ht="15.75" customHeight="1">
      <c r="A800" s="204" t="str">
        <f>IF(B800&lt;&gt;"",IF(AND(B800&gt;=_TM1,B800&lt;=_TM2,OR(TH!L800="1111",TH!M800="1111")),TH!D800,""),"")</f>
        <v/>
      </c>
      <c r="B800" s="36">
        <f t="shared" si="278"/>
        <v>8</v>
      </c>
      <c r="C800" s="191">
        <f t="shared" si="279"/>
        <v>41502</v>
      </c>
      <c r="D800" s="184" t="s">
        <v>1072</v>
      </c>
      <c r="E800" s="191">
        <v>41502</v>
      </c>
      <c r="F800" s="192" t="s">
        <v>742</v>
      </c>
      <c r="G800" s="487" t="s">
        <v>911</v>
      </c>
      <c r="H800" s="7" t="s">
        <v>744</v>
      </c>
      <c r="I800" s="256">
        <v>285</v>
      </c>
      <c r="J800" s="256">
        <v>25000</v>
      </c>
      <c r="K800" s="38">
        <f>ROUND(I800*J800,0)</f>
        <v>7125000</v>
      </c>
      <c r="L800" s="194" t="s">
        <v>265</v>
      </c>
      <c r="M800" s="194" t="s">
        <v>175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850"/>
      <c r="AB800" s="211"/>
      <c r="AC800" s="594"/>
      <c r="AD800" s="211"/>
    </row>
    <row r="801" spans="1:30" ht="15.75" customHeight="1">
      <c r="A801" s="204" t="str">
        <f>IF(B801&lt;&gt;"",IF(AND(B801&gt;=_TM1,B801&lt;=_TM2,OR(TH!L801="1111",TH!M801="1111")),TH!D801,""),"")</f>
        <v/>
      </c>
      <c r="B801" s="36">
        <f t="shared" si="278"/>
        <v>8</v>
      </c>
      <c r="C801" s="191">
        <f t="shared" si="279"/>
        <v>41502</v>
      </c>
      <c r="D801" s="184" t="s">
        <v>1072</v>
      </c>
      <c r="E801" s="191">
        <v>41502</v>
      </c>
      <c r="F801" s="192" t="s">
        <v>724</v>
      </c>
      <c r="G801" s="487" t="s">
        <v>911</v>
      </c>
      <c r="H801" s="210" t="s">
        <v>744</v>
      </c>
      <c r="I801" s="256"/>
      <c r="J801" s="256"/>
      <c r="K801" s="38">
        <v>712500</v>
      </c>
      <c r="L801" s="194" t="s">
        <v>265</v>
      </c>
      <c r="M801" s="194" t="s">
        <v>429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850"/>
      <c r="AB801" s="211"/>
      <c r="AC801" s="594" t="str">
        <f t="shared" si="273"/>
        <v/>
      </c>
      <c r="AD801" s="211"/>
    </row>
    <row r="802" spans="1:30" ht="15.75" customHeight="1">
      <c r="A802" s="204" t="str">
        <f>IF(B802&lt;&gt;"",IF(AND(B802&gt;=_TM1,B802&lt;=_TM2,OR(TH!L802="1111",TH!M802="1111")),TH!D802,""),"")</f>
        <v/>
      </c>
      <c r="B802" s="36">
        <f t="shared" ref="B802" si="280">IF(C802&lt;&gt;"",MONTH(C802),"")</f>
        <v>8</v>
      </c>
      <c r="C802" s="191">
        <f t="shared" ref="C802" si="281">E802</f>
        <v>41502</v>
      </c>
      <c r="D802" s="184" t="s">
        <v>1072</v>
      </c>
      <c r="E802" s="191">
        <v>41502</v>
      </c>
      <c r="F802" s="189" t="s">
        <v>341</v>
      </c>
      <c r="G802" s="487" t="s">
        <v>911</v>
      </c>
      <c r="H802" s="210" t="s">
        <v>744</v>
      </c>
      <c r="I802" s="256"/>
      <c r="J802" s="256"/>
      <c r="K802" s="38">
        <v>7837500</v>
      </c>
      <c r="L802" s="194" t="s">
        <v>47</v>
      </c>
      <c r="M802" s="194" t="s">
        <v>265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>x</v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850"/>
      <c r="AB802" s="211"/>
      <c r="AC802" s="594" t="str">
        <f t="shared" ref="AC802" si="282">IF(VLOOKUP(H802,DS_131,1,0)&lt;&gt;"","","x")</f>
        <v/>
      </c>
      <c r="AD802" s="211"/>
    </row>
    <row r="803" spans="1:30" ht="15.75" customHeight="1">
      <c r="A803" s="204" t="str">
        <f>IF(B803&lt;&gt;"",IF(AND(B803&gt;=_TM1,B803&lt;=_TM2,OR(TH!L803="1111",TH!M803="1111")),TH!D803,""),"")</f>
        <v/>
      </c>
      <c r="B803" s="36">
        <f t="shared" si="278"/>
        <v>8</v>
      </c>
      <c r="C803" s="191">
        <f t="shared" si="279"/>
        <v>41505</v>
      </c>
      <c r="D803" s="184" t="s">
        <v>1073</v>
      </c>
      <c r="E803" s="191">
        <v>41505</v>
      </c>
      <c r="F803" s="192" t="s">
        <v>865</v>
      </c>
      <c r="G803" s="487" t="s">
        <v>912</v>
      </c>
      <c r="H803" s="7" t="s">
        <v>580</v>
      </c>
      <c r="I803" s="256">
        <v>505</v>
      </c>
      <c r="J803" s="256">
        <v>20300</v>
      </c>
      <c r="K803" s="38">
        <f>ROUND(I803*J803,0)</f>
        <v>10251500</v>
      </c>
      <c r="L803" s="194" t="s">
        <v>265</v>
      </c>
      <c r="M803" s="194" t="s">
        <v>175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850"/>
      <c r="AC803" s="594"/>
    </row>
    <row r="804" spans="1:30" ht="15.75" customHeight="1">
      <c r="A804" s="204" t="str">
        <f>IF(B804&lt;&gt;"",IF(AND(B804&gt;=_TM1,B804&lt;=_TM2,OR(TH!L804="1111",TH!M804="1111")),TH!D804,""),"")</f>
        <v/>
      </c>
      <c r="B804" s="36">
        <f t="shared" si="278"/>
        <v>8</v>
      </c>
      <c r="C804" s="191">
        <f t="shared" si="279"/>
        <v>41505</v>
      </c>
      <c r="D804" s="184" t="s">
        <v>1073</v>
      </c>
      <c r="E804" s="191">
        <v>41505</v>
      </c>
      <c r="F804" s="192" t="s">
        <v>724</v>
      </c>
      <c r="G804" s="487" t="s">
        <v>912</v>
      </c>
      <c r="H804" s="7" t="s">
        <v>580</v>
      </c>
      <c r="I804" s="256"/>
      <c r="J804" s="256"/>
      <c r="K804" s="38">
        <v>1025150</v>
      </c>
      <c r="L804" s="194" t="s">
        <v>265</v>
      </c>
      <c r="M804" s="194" t="s">
        <v>429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850"/>
      <c r="AC804" s="594" t="str">
        <f t="shared" si="273"/>
        <v/>
      </c>
    </row>
    <row r="805" spans="1:30" ht="15.75" customHeight="1">
      <c r="A805" s="204" t="str">
        <f>IF(B805&lt;&gt;"",IF(AND(B805&gt;=_TM1,B805&lt;=_TM2,OR(TH!L805="1111",TH!M805="1111")),TH!D805,""),"")</f>
        <v/>
      </c>
      <c r="B805" s="36">
        <f t="shared" ref="B805" si="283">IF(C805&lt;&gt;"",MONTH(C805),"")</f>
        <v>8</v>
      </c>
      <c r="C805" s="191">
        <f t="shared" ref="C805" si="284">E805</f>
        <v>41505</v>
      </c>
      <c r="D805" s="184" t="s">
        <v>1073</v>
      </c>
      <c r="E805" s="191">
        <v>41505</v>
      </c>
      <c r="F805" s="189" t="s">
        <v>341</v>
      </c>
      <c r="G805" s="487" t="s">
        <v>912</v>
      </c>
      <c r="H805" s="7" t="s">
        <v>580</v>
      </c>
      <c r="I805" s="256"/>
      <c r="J805" s="256"/>
      <c r="K805" s="38">
        <v>11276650</v>
      </c>
      <c r="L805" s="194" t="s">
        <v>47</v>
      </c>
      <c r="M805" s="194" t="s">
        <v>265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>x</v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850"/>
      <c r="AC805" s="594" t="str">
        <f t="shared" ref="AC805" si="285">IF(VLOOKUP(H805,DS_131,1,0)&lt;&gt;"","","x")</f>
        <v/>
      </c>
    </row>
    <row r="806" spans="1:30" ht="15.75" customHeight="1">
      <c r="A806" s="204" t="str">
        <f>IF(B806&lt;&gt;"",IF(AND(B806&gt;=_TM1,B806&lt;=_TM2,OR(TH!L806="1111",TH!M806="1111")),TH!D806,""),"")</f>
        <v/>
      </c>
      <c r="B806" s="36">
        <f t="shared" si="278"/>
        <v>8</v>
      </c>
      <c r="C806" s="191">
        <f t="shared" si="279"/>
        <v>41506</v>
      </c>
      <c r="D806" s="184" t="s">
        <v>1074</v>
      </c>
      <c r="E806" s="191">
        <v>41506</v>
      </c>
      <c r="F806" s="189" t="s">
        <v>1152</v>
      </c>
      <c r="G806" s="487" t="s">
        <v>913</v>
      </c>
      <c r="H806" s="210" t="s">
        <v>914</v>
      </c>
      <c r="I806" s="256">
        <v>2573</v>
      </c>
      <c r="J806" s="256">
        <v>5300</v>
      </c>
      <c r="K806" s="38">
        <f>ROUND(I806*J806,0)</f>
        <v>13636900</v>
      </c>
      <c r="L806" s="194" t="s">
        <v>265</v>
      </c>
      <c r="M806" s="194" t="s">
        <v>175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850"/>
      <c r="AC806" s="594"/>
    </row>
    <row r="807" spans="1:30" ht="15.75" customHeight="1">
      <c r="A807" s="204" t="str">
        <f>IF(B807&lt;&gt;"",IF(AND(B807&gt;=_TM1,B807&lt;=_TM2,OR(TH!L807="1111",TH!M807="1111")),TH!D807,""),"")</f>
        <v/>
      </c>
      <c r="B807" s="36">
        <f t="shared" si="278"/>
        <v>8</v>
      </c>
      <c r="C807" s="191">
        <f t="shared" si="279"/>
        <v>41506</v>
      </c>
      <c r="D807" s="184" t="s">
        <v>1074</v>
      </c>
      <c r="E807" s="191">
        <v>41506</v>
      </c>
      <c r="F807" s="192" t="s">
        <v>724</v>
      </c>
      <c r="G807" s="487" t="s">
        <v>913</v>
      </c>
      <c r="H807" s="210" t="s">
        <v>914</v>
      </c>
      <c r="I807" s="256"/>
      <c r="J807" s="256"/>
      <c r="K807" s="38">
        <v>1363690</v>
      </c>
      <c r="L807" s="194" t="s">
        <v>265</v>
      </c>
      <c r="M807" s="194" t="s">
        <v>429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850"/>
      <c r="AC807" s="594" t="str">
        <f t="shared" si="273"/>
        <v/>
      </c>
    </row>
    <row r="808" spans="1:30" ht="15.75" customHeight="1">
      <c r="A808" s="204" t="str">
        <f>IF(B808&lt;&gt;"",IF(AND(B808&gt;=_TM1,B808&lt;=_TM2,OR(TH!L808="1111",TH!M808="1111")),TH!D808,""),"")</f>
        <v/>
      </c>
      <c r="B808" s="36">
        <f t="shared" si="278"/>
        <v>8</v>
      </c>
      <c r="C808" s="191">
        <f t="shared" si="279"/>
        <v>41506</v>
      </c>
      <c r="D808" s="184" t="s">
        <v>1075</v>
      </c>
      <c r="E808" s="191">
        <v>41506</v>
      </c>
      <c r="F808" s="192" t="s">
        <v>1147</v>
      </c>
      <c r="G808" s="487" t="s">
        <v>915</v>
      </c>
      <c r="H808" s="7" t="s">
        <v>894</v>
      </c>
      <c r="I808" s="256">
        <v>2500</v>
      </c>
      <c r="J808" s="256">
        <v>4200</v>
      </c>
      <c r="K808" s="38">
        <f>ROUND(I808*J808,0)</f>
        <v>10500000</v>
      </c>
      <c r="L808" s="194" t="s">
        <v>265</v>
      </c>
      <c r="M808" s="194" t="s">
        <v>175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850"/>
      <c r="AC808" s="594"/>
    </row>
    <row r="809" spans="1:30" ht="15.75" customHeight="1">
      <c r="A809" s="204" t="str">
        <f>IF(B809&lt;&gt;"",IF(AND(B809&gt;=_TM1,B809&lt;=_TM2,OR(TH!L809="1111",TH!M809="1111")),TH!D809,""),"")</f>
        <v/>
      </c>
      <c r="B809" s="36">
        <f t="shared" si="278"/>
        <v>8</v>
      </c>
      <c r="C809" s="191">
        <f t="shared" si="279"/>
        <v>41506</v>
      </c>
      <c r="D809" s="184" t="s">
        <v>1075</v>
      </c>
      <c r="E809" s="191">
        <v>41506</v>
      </c>
      <c r="F809" s="192" t="s">
        <v>724</v>
      </c>
      <c r="G809" s="192" t="s">
        <v>915</v>
      </c>
      <c r="H809" s="193" t="s">
        <v>894</v>
      </c>
      <c r="I809" s="256"/>
      <c r="J809" s="256"/>
      <c r="K809" s="38">
        <v>1050000</v>
      </c>
      <c r="L809" s="194" t="s">
        <v>265</v>
      </c>
      <c r="M809" s="194" t="s">
        <v>429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850"/>
      <c r="AC809" s="594" t="str">
        <f t="shared" si="273"/>
        <v/>
      </c>
    </row>
    <row r="810" spans="1:30" ht="15.75" customHeight="1">
      <c r="A810" s="204" t="str">
        <f>IF(B810&lt;&gt;"",IF(AND(B810&gt;=_TM1,B810&lt;=_TM2,OR(TH!L810="1111",TH!M810="1111")),TH!D810,""),"")</f>
        <v/>
      </c>
      <c r="B810" s="36">
        <f t="shared" si="278"/>
        <v>8</v>
      </c>
      <c r="C810" s="191">
        <f t="shared" si="279"/>
        <v>41506</v>
      </c>
      <c r="D810" s="184" t="s">
        <v>1076</v>
      </c>
      <c r="E810" s="191">
        <v>41506</v>
      </c>
      <c r="F810" s="192" t="s">
        <v>1147</v>
      </c>
      <c r="G810" s="192" t="s">
        <v>916</v>
      </c>
      <c r="H810" s="193" t="s">
        <v>894</v>
      </c>
      <c r="I810" s="256">
        <v>3200</v>
      </c>
      <c r="J810" s="256">
        <v>4210</v>
      </c>
      <c r="K810" s="38">
        <f>ROUND(I810*J810,0)</f>
        <v>13472000</v>
      </c>
      <c r="L810" s="194" t="s">
        <v>265</v>
      </c>
      <c r="M810" s="194" t="s">
        <v>175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850"/>
      <c r="AC810" s="594"/>
    </row>
    <row r="811" spans="1:30" ht="15.75" customHeight="1">
      <c r="A811" s="204" t="str">
        <f>IF(B811&lt;&gt;"",IF(AND(B811&gt;=_TM1,B811&lt;=_TM2,OR(TH!L811="1111",TH!M811="1111")),TH!D811,""),"")</f>
        <v/>
      </c>
      <c r="B811" s="36">
        <f t="shared" si="278"/>
        <v>8</v>
      </c>
      <c r="C811" s="191">
        <f t="shared" si="279"/>
        <v>41506</v>
      </c>
      <c r="D811" s="184" t="s">
        <v>1076</v>
      </c>
      <c r="E811" s="191">
        <v>41506</v>
      </c>
      <c r="F811" s="192" t="s">
        <v>724</v>
      </c>
      <c r="G811" s="192" t="s">
        <v>916</v>
      </c>
      <c r="H811" s="193" t="s">
        <v>894</v>
      </c>
      <c r="I811" s="256"/>
      <c r="J811" s="256"/>
      <c r="K811" s="38">
        <v>1347200</v>
      </c>
      <c r="L811" s="194" t="s">
        <v>265</v>
      </c>
      <c r="M811" s="194" t="s">
        <v>429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850"/>
      <c r="AC811" s="594" t="str">
        <f t="shared" si="273"/>
        <v/>
      </c>
    </row>
    <row r="812" spans="1:30" ht="15.75" customHeight="1">
      <c r="A812" s="204" t="str">
        <f>IF(B812&lt;&gt;"",IF(AND(B812&gt;=_TM1,B812&lt;=_TM2,OR(TH!L812="1111",TH!M812="1111")),TH!D812,""),"")</f>
        <v/>
      </c>
      <c r="B812" s="36">
        <f t="shared" si="278"/>
        <v>8</v>
      </c>
      <c r="C812" s="191">
        <f t="shared" si="279"/>
        <v>41507</v>
      </c>
      <c r="D812" s="184" t="s">
        <v>1077</v>
      </c>
      <c r="E812" s="191">
        <v>41507</v>
      </c>
      <c r="F812" s="192" t="s">
        <v>758</v>
      </c>
      <c r="G812" s="192" t="s">
        <v>917</v>
      </c>
      <c r="H812" s="7" t="s">
        <v>741</v>
      </c>
      <c r="I812" s="256">
        <v>296</v>
      </c>
      <c r="J812" s="256">
        <v>8500</v>
      </c>
      <c r="K812" s="38">
        <f>ROUND(I812*J812,0)</f>
        <v>2516000</v>
      </c>
      <c r="L812" s="194" t="s">
        <v>265</v>
      </c>
      <c r="M812" s="194" t="s">
        <v>175</v>
      </c>
      <c r="N812" s="52" t="str">
        <f>IF(AND('331-CT'!$E$7=TH!H812,OR(L812="331",M812="331")),"331",IF(AND(OR(L812="131",M812="131"),H812='131-CT'!$E$7),"131",""))</f>
        <v>131</v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850"/>
      <c r="AC812" s="594"/>
    </row>
    <row r="813" spans="1:30" ht="15.75" customHeight="1">
      <c r="A813" s="204" t="str">
        <f>IF(B813&lt;&gt;"",IF(AND(B813&gt;=_TM1,B813&lt;=_TM2,OR(TH!L813="1111",TH!M813="1111")),TH!D813,""),"")</f>
        <v/>
      </c>
      <c r="B813" s="36">
        <f t="shared" si="278"/>
        <v>8</v>
      </c>
      <c r="C813" s="191">
        <f t="shared" si="279"/>
        <v>41507</v>
      </c>
      <c r="D813" s="184" t="s">
        <v>1077</v>
      </c>
      <c r="E813" s="191">
        <v>41507</v>
      </c>
      <c r="F813" s="192" t="s">
        <v>724</v>
      </c>
      <c r="G813" s="192" t="s">
        <v>917</v>
      </c>
      <c r="H813" s="7" t="s">
        <v>741</v>
      </c>
      <c r="I813" s="256"/>
      <c r="J813" s="256"/>
      <c r="K813" s="38">
        <v>251600</v>
      </c>
      <c r="L813" s="194" t="s">
        <v>265</v>
      </c>
      <c r="M813" s="194" t="s">
        <v>429</v>
      </c>
      <c r="N813" s="52" t="str">
        <f>IF(AND('331-CT'!$E$7=TH!H813,OR(L813="331",M813="331")),"331",IF(AND(OR(L813="131",M813="131"),H813='131-CT'!$E$7),"131",""))</f>
        <v>131</v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850"/>
      <c r="AB813" s="594"/>
      <c r="AC813" s="594" t="str">
        <f t="shared" si="273"/>
        <v/>
      </c>
      <c r="AD813" s="211"/>
    </row>
    <row r="814" spans="1:30" ht="15.75" customHeight="1">
      <c r="A814" s="204" t="str">
        <f>IF(B814&lt;&gt;"",IF(AND(B814&gt;=_TM1,B814&lt;=_TM2,OR(TH!L814="1111",TH!M814="1111")),TH!D814,""),"")</f>
        <v/>
      </c>
      <c r="B814" s="36">
        <f t="shared" ref="B814" si="286">IF(C814&lt;&gt;"",MONTH(C814),"")</f>
        <v>8</v>
      </c>
      <c r="C814" s="191">
        <f t="shared" ref="C814" si="287">E814</f>
        <v>41507</v>
      </c>
      <c r="D814" s="184" t="s">
        <v>1077</v>
      </c>
      <c r="E814" s="191">
        <v>41507</v>
      </c>
      <c r="F814" s="189" t="s">
        <v>341</v>
      </c>
      <c r="G814" s="192" t="s">
        <v>917</v>
      </c>
      <c r="H814" s="7" t="s">
        <v>741</v>
      </c>
      <c r="I814" s="256"/>
      <c r="J814" s="256"/>
      <c r="K814" s="38">
        <v>2767600</v>
      </c>
      <c r="L814" s="194" t="s">
        <v>47</v>
      </c>
      <c r="M814" s="194" t="s">
        <v>265</v>
      </c>
      <c r="N814" s="52" t="str">
        <f>IF(AND('331-CT'!$E$7=TH!H814,OR(L814="331",M814="331")),"331",IF(AND(OR(L814="131",M814="131"),H814='131-CT'!$E$7),"131",""))</f>
        <v>131</v>
      </c>
      <c r="O814" s="52" t="str">
        <f>IF(AND($B814&gt;='111'!$N$11,$B814&lt;='111'!$O$11,OR($L814=$O$7,$M814=$O$7)),"x","")</f>
        <v>x</v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850"/>
      <c r="AB814" s="594"/>
      <c r="AC814" s="594" t="str">
        <f t="shared" ref="AC814" si="288">IF(VLOOKUP(H814,DS_131,1,0)&lt;&gt;"","","x")</f>
        <v/>
      </c>
      <c r="AD814" s="211"/>
    </row>
    <row r="815" spans="1:30" ht="15.75" customHeight="1">
      <c r="A815" s="204" t="str">
        <f>IF(B815&lt;&gt;"",IF(AND(B815&gt;=_TM1,B815&lt;=_TM2,OR(TH!L815="1111",TH!M815="1111")),TH!D815,""),"")</f>
        <v/>
      </c>
      <c r="B815" s="36">
        <f t="shared" si="278"/>
        <v>8</v>
      </c>
      <c r="C815" s="191">
        <f t="shared" si="279"/>
        <v>41511</v>
      </c>
      <c r="D815" s="184" t="s">
        <v>1078</v>
      </c>
      <c r="E815" s="191">
        <v>41511</v>
      </c>
      <c r="F815" s="192" t="s">
        <v>918</v>
      </c>
      <c r="G815" s="192" t="s">
        <v>919</v>
      </c>
      <c r="H815" s="7" t="s">
        <v>542</v>
      </c>
      <c r="I815" s="256">
        <v>52</v>
      </c>
      <c r="J815" s="256">
        <v>9600</v>
      </c>
      <c r="K815" s="38">
        <f t="shared" ref="K815:K818" si="289">ROUND(I815*J815,0)</f>
        <v>499200</v>
      </c>
      <c r="L815" s="194" t="s">
        <v>265</v>
      </c>
      <c r="M815" s="194" t="s">
        <v>175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850"/>
      <c r="AB815" s="211"/>
      <c r="AC815" s="594"/>
      <c r="AD815" s="211"/>
    </row>
    <row r="816" spans="1:30" ht="15.75" customHeight="1">
      <c r="A816" s="204" t="str">
        <f>IF(B816&lt;&gt;"",IF(AND(B816&gt;=_TM1,B816&lt;=_TM2,OR(TH!L816="1111",TH!M816="1111")),TH!D816,""),"")</f>
        <v/>
      </c>
      <c r="B816" s="36">
        <f t="shared" si="278"/>
        <v>8</v>
      </c>
      <c r="C816" s="191">
        <f t="shared" si="279"/>
        <v>41511</v>
      </c>
      <c r="D816" s="184" t="s">
        <v>1078</v>
      </c>
      <c r="E816" s="191">
        <v>41511</v>
      </c>
      <c r="F816" s="192" t="s">
        <v>1160</v>
      </c>
      <c r="G816" s="192" t="s">
        <v>919</v>
      </c>
      <c r="H816" s="7" t="s">
        <v>542</v>
      </c>
      <c r="I816" s="256">
        <v>1390</v>
      </c>
      <c r="J816" s="256">
        <v>5950</v>
      </c>
      <c r="K816" s="38">
        <f t="shared" si="289"/>
        <v>8270500</v>
      </c>
      <c r="L816" s="194" t="s">
        <v>265</v>
      </c>
      <c r="M816" s="194" t="s">
        <v>175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850"/>
      <c r="AB816" s="594"/>
      <c r="AC816" s="594"/>
      <c r="AD816" s="211"/>
    </row>
    <row r="817" spans="1:30" ht="15.75" customHeight="1">
      <c r="A817" s="204" t="str">
        <f>IF(B817&lt;&gt;"",IF(AND(B817&gt;=_TM1,B817&lt;=_TM2,OR(TH!L817="1111",TH!M817="1111")),TH!D817,""),"")</f>
        <v/>
      </c>
      <c r="B817" s="36">
        <f t="shared" si="278"/>
        <v>8</v>
      </c>
      <c r="C817" s="191">
        <f t="shared" si="279"/>
        <v>41511</v>
      </c>
      <c r="D817" s="184" t="s">
        <v>1078</v>
      </c>
      <c r="E817" s="191">
        <v>41511</v>
      </c>
      <c r="F817" s="192" t="s">
        <v>920</v>
      </c>
      <c r="G817" s="192" t="s">
        <v>919</v>
      </c>
      <c r="H817" s="7" t="s">
        <v>542</v>
      </c>
      <c r="I817" s="256">
        <v>310</v>
      </c>
      <c r="J817" s="256">
        <v>5860</v>
      </c>
      <c r="K817" s="38">
        <f t="shared" si="289"/>
        <v>1816600</v>
      </c>
      <c r="L817" s="194" t="s">
        <v>265</v>
      </c>
      <c r="M817" s="194" t="s">
        <v>175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850"/>
      <c r="AB817" s="211"/>
      <c r="AC817" s="594"/>
      <c r="AD817" s="211"/>
    </row>
    <row r="818" spans="1:30" ht="15.75" customHeight="1">
      <c r="A818" s="204" t="str">
        <f>IF(B818&lt;&gt;"",IF(AND(B818&gt;=_TM1,B818&lt;=_TM2,OR(TH!L818="1111",TH!M818="1111")),TH!D818,""),"")</f>
        <v/>
      </c>
      <c r="B818" s="36">
        <f t="shared" si="278"/>
        <v>8</v>
      </c>
      <c r="C818" s="191">
        <f t="shared" si="279"/>
        <v>41511</v>
      </c>
      <c r="D818" s="184" t="s">
        <v>1078</v>
      </c>
      <c r="E818" s="191">
        <v>41511</v>
      </c>
      <c r="F818" s="192" t="s">
        <v>918</v>
      </c>
      <c r="G818" s="192" t="s">
        <v>919</v>
      </c>
      <c r="H818" s="7" t="s">
        <v>542</v>
      </c>
      <c r="I818" s="256">
        <v>90</v>
      </c>
      <c r="J818" s="256">
        <v>9120</v>
      </c>
      <c r="K818" s="38">
        <f t="shared" si="289"/>
        <v>820800</v>
      </c>
      <c r="L818" s="194" t="s">
        <v>265</v>
      </c>
      <c r="M818" s="194" t="s">
        <v>175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850"/>
      <c r="AB818" s="594">
        <v>6</v>
      </c>
      <c r="AC818" s="594"/>
      <c r="AD818" s="211"/>
    </row>
    <row r="819" spans="1:30" ht="15.75" customHeight="1">
      <c r="A819" s="204" t="str">
        <f>IF(B819&lt;&gt;"",IF(AND(B819&gt;=_TM1,B819&lt;=_TM2,OR(TH!L819="1111",TH!M819="1111")),TH!D819,""),"")</f>
        <v/>
      </c>
      <c r="B819" s="36">
        <f t="shared" si="278"/>
        <v>8</v>
      </c>
      <c r="C819" s="191">
        <f t="shared" si="279"/>
        <v>41511</v>
      </c>
      <c r="D819" s="184" t="s">
        <v>1078</v>
      </c>
      <c r="E819" s="191">
        <v>41511</v>
      </c>
      <c r="F819" s="192" t="s">
        <v>724</v>
      </c>
      <c r="G819" s="192" t="s">
        <v>919</v>
      </c>
      <c r="H819" s="7" t="s">
        <v>542</v>
      </c>
      <c r="I819" s="256"/>
      <c r="J819" s="256"/>
      <c r="K819" s="38">
        <v>1140710</v>
      </c>
      <c r="L819" s="194" t="s">
        <v>265</v>
      </c>
      <c r="M819" s="194" t="s">
        <v>429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850"/>
      <c r="AB819" s="211"/>
      <c r="AC819" s="594" t="str">
        <f t="shared" si="273"/>
        <v/>
      </c>
      <c r="AD819" s="211"/>
    </row>
    <row r="820" spans="1:30" ht="15.75" customHeight="1">
      <c r="A820" s="204" t="str">
        <f>IF(B820&lt;&gt;"",IF(AND(B820&gt;=_TM1,B820&lt;=_TM2,OR(TH!L820="1111",TH!M820="1111")),TH!D820,""),"")</f>
        <v/>
      </c>
      <c r="B820" s="36">
        <f t="shared" si="278"/>
        <v>8</v>
      </c>
      <c r="C820" s="191">
        <f t="shared" si="279"/>
        <v>41512</v>
      </c>
      <c r="D820" s="184" t="s">
        <v>1079</v>
      </c>
      <c r="E820" s="191">
        <v>41512</v>
      </c>
      <c r="F820" s="192" t="s">
        <v>1149</v>
      </c>
      <c r="G820" s="192" t="s">
        <v>921</v>
      </c>
      <c r="H820" s="193" t="s">
        <v>894</v>
      </c>
      <c r="I820" s="256">
        <v>1400</v>
      </c>
      <c r="J820" s="256">
        <v>4720</v>
      </c>
      <c r="K820" s="38">
        <f t="shared" ref="K820:K821" si="290">ROUND(I820*J820,0)</f>
        <v>6608000</v>
      </c>
      <c r="L820" s="194" t="s">
        <v>265</v>
      </c>
      <c r="M820" s="194" t="s">
        <v>175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850"/>
      <c r="AB820" s="211"/>
      <c r="AC820" s="594"/>
      <c r="AD820" s="211"/>
    </row>
    <row r="821" spans="1:30" ht="15.75" customHeight="1">
      <c r="A821" s="204" t="str">
        <f>IF(B821&lt;&gt;"",IF(AND(B821&gt;=_TM1,B821&lt;=_TM2,OR(TH!L821="1111",TH!M821="1111")),TH!D821,""),"")</f>
        <v/>
      </c>
      <c r="B821" s="36">
        <f t="shared" si="278"/>
        <v>8</v>
      </c>
      <c r="C821" s="191">
        <f t="shared" si="279"/>
        <v>41512</v>
      </c>
      <c r="D821" s="184" t="s">
        <v>1079</v>
      </c>
      <c r="E821" s="191">
        <v>41512</v>
      </c>
      <c r="F821" s="192" t="s">
        <v>1149</v>
      </c>
      <c r="G821" s="192" t="s">
        <v>921</v>
      </c>
      <c r="H821" s="193" t="s">
        <v>894</v>
      </c>
      <c r="I821" s="256">
        <v>2400</v>
      </c>
      <c r="J821" s="256">
        <v>4720</v>
      </c>
      <c r="K821" s="38">
        <f t="shared" si="290"/>
        <v>11328000</v>
      </c>
      <c r="L821" s="194" t="s">
        <v>265</v>
      </c>
      <c r="M821" s="194" t="s">
        <v>175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850"/>
      <c r="AB821" s="211"/>
      <c r="AC821" s="594"/>
      <c r="AD821" s="211"/>
    </row>
    <row r="822" spans="1:30" ht="15.75" customHeight="1">
      <c r="A822" s="204" t="str">
        <f>IF(B822&lt;&gt;"",IF(AND(B822&gt;=_TM1,B822&lt;=_TM2,OR(TH!L822="1111",TH!M822="1111")),TH!D822,""),"")</f>
        <v/>
      </c>
      <c r="B822" s="36">
        <f t="shared" si="278"/>
        <v>8</v>
      </c>
      <c r="C822" s="191">
        <f t="shared" si="279"/>
        <v>41512</v>
      </c>
      <c r="D822" s="184" t="s">
        <v>1079</v>
      </c>
      <c r="E822" s="191">
        <v>41512</v>
      </c>
      <c r="F822" s="192" t="s">
        <v>724</v>
      </c>
      <c r="G822" s="192" t="s">
        <v>921</v>
      </c>
      <c r="H822" s="193" t="s">
        <v>894</v>
      </c>
      <c r="I822" s="256"/>
      <c r="J822" s="256"/>
      <c r="K822" s="38">
        <v>1793600</v>
      </c>
      <c r="L822" s="194" t="s">
        <v>265</v>
      </c>
      <c r="M822" s="194" t="s">
        <v>429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850"/>
      <c r="AB822" s="211"/>
      <c r="AC822" s="594" t="str">
        <f t="shared" si="273"/>
        <v/>
      </c>
      <c r="AD822" s="211"/>
    </row>
    <row r="823" spans="1:30" ht="15.75" customHeight="1">
      <c r="A823" s="204" t="str">
        <f>IF(B823&lt;&gt;"",IF(AND(B823&gt;=_TM1,B823&lt;=_TM2,OR(TH!L823="1111",TH!M823="1111")),TH!D823,""),"")</f>
        <v/>
      </c>
      <c r="B823" s="36">
        <f t="shared" ref="B823:B825" si="291">IF(C823&lt;&gt;"",MONTH(C823),"")</f>
        <v>8</v>
      </c>
      <c r="C823" s="191">
        <f t="shared" ref="C823:C825" si="292">E823</f>
        <v>41512</v>
      </c>
      <c r="D823" s="184" t="s">
        <v>1080</v>
      </c>
      <c r="E823" s="191">
        <v>41512</v>
      </c>
      <c r="F823" s="189" t="s">
        <v>1140</v>
      </c>
      <c r="G823" s="192" t="s">
        <v>1114</v>
      </c>
      <c r="H823" s="193" t="s">
        <v>788</v>
      </c>
      <c r="I823" s="256">
        <v>1010</v>
      </c>
      <c r="J823" s="256">
        <v>5455</v>
      </c>
      <c r="K823" s="38">
        <f t="shared" ref="K823:K824" si="293">ROUND(I823*J823,0)</f>
        <v>5509550</v>
      </c>
      <c r="L823" s="194" t="s">
        <v>265</v>
      </c>
      <c r="M823" s="194" t="s">
        <v>175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850"/>
      <c r="AB823" s="211"/>
      <c r="AC823" s="594"/>
      <c r="AD823" s="211"/>
    </row>
    <row r="824" spans="1:30" ht="15.75" customHeight="1">
      <c r="A824" s="204" t="str">
        <f>IF(B824&lt;&gt;"",IF(AND(B824&gt;=_TM1,B824&lt;=_TM2,OR(TH!L824="1111",TH!M824="1111")),TH!D824,""),"")</f>
        <v/>
      </c>
      <c r="B824" s="36">
        <f t="shared" si="291"/>
        <v>8</v>
      </c>
      <c r="C824" s="191">
        <f t="shared" si="292"/>
        <v>41512</v>
      </c>
      <c r="D824" s="184" t="s">
        <v>1080</v>
      </c>
      <c r="E824" s="191">
        <v>41512</v>
      </c>
      <c r="F824" s="192" t="s">
        <v>1144</v>
      </c>
      <c r="G824" s="192" t="s">
        <v>1114</v>
      </c>
      <c r="H824" s="193" t="s">
        <v>788</v>
      </c>
      <c r="I824" s="256">
        <v>102</v>
      </c>
      <c r="J824" s="256">
        <v>12400</v>
      </c>
      <c r="K824" s="38">
        <f t="shared" si="293"/>
        <v>1264800</v>
      </c>
      <c r="L824" s="194" t="s">
        <v>265</v>
      </c>
      <c r="M824" s="194" t="s">
        <v>175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850"/>
      <c r="AB824" s="211"/>
      <c r="AC824" s="594"/>
      <c r="AD824" s="211"/>
    </row>
    <row r="825" spans="1:30" ht="15.75" customHeight="1">
      <c r="A825" s="204" t="str">
        <f>IF(B825&lt;&gt;"",IF(AND(B825&gt;=_TM1,B825&lt;=_TM2,OR(TH!L825="1111",TH!M825="1111")),TH!D825,""),"")</f>
        <v/>
      </c>
      <c r="B825" s="36">
        <f t="shared" si="291"/>
        <v>8</v>
      </c>
      <c r="C825" s="191">
        <f t="shared" si="292"/>
        <v>41512</v>
      </c>
      <c r="D825" s="184" t="s">
        <v>1080</v>
      </c>
      <c r="E825" s="191">
        <v>41512</v>
      </c>
      <c r="F825" s="192" t="s">
        <v>724</v>
      </c>
      <c r="G825" s="192" t="s">
        <v>1114</v>
      </c>
      <c r="H825" s="193" t="s">
        <v>788</v>
      </c>
      <c r="I825" s="256"/>
      <c r="J825" s="256"/>
      <c r="K825" s="38">
        <v>677435</v>
      </c>
      <c r="L825" s="194" t="s">
        <v>265</v>
      </c>
      <c r="M825" s="194" t="s">
        <v>429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850"/>
      <c r="AB825" s="211"/>
      <c r="AC825" s="594" t="str">
        <f t="shared" ref="AC825" si="294">IF(VLOOKUP(H825,DS_131,1,0)&lt;&gt;"","","x")</f>
        <v/>
      </c>
      <c r="AD825" s="211"/>
    </row>
    <row r="826" spans="1:30" ht="15.75" customHeight="1">
      <c r="A826" s="204" t="str">
        <f>IF(B826&lt;&gt;"",IF(AND(B826&gt;=_TM1,B826&lt;=_TM2,OR(TH!L826="1111",TH!M826="1111")),TH!D826,""),"")</f>
        <v/>
      </c>
      <c r="B826" s="36">
        <f t="shared" ref="B826:B834" si="295">IF(C826&lt;&gt;"",MONTH(C826),"")</f>
        <v>8</v>
      </c>
      <c r="C826" s="191">
        <f t="shared" ref="C826:C834" si="296">E826</f>
        <v>41516</v>
      </c>
      <c r="D826" s="184" t="s">
        <v>1081</v>
      </c>
      <c r="E826" s="191">
        <v>41516</v>
      </c>
      <c r="F826" s="192" t="s">
        <v>1008</v>
      </c>
      <c r="G826" s="192" t="s">
        <v>1115</v>
      </c>
      <c r="H826" s="193" t="s">
        <v>1006</v>
      </c>
      <c r="I826" s="256">
        <v>400</v>
      </c>
      <c r="J826" s="256">
        <v>13000</v>
      </c>
      <c r="K826" s="38">
        <f t="shared" ref="K826:K827" si="297">ROUND(I826*J826,0)</f>
        <v>5200000</v>
      </c>
      <c r="L826" s="194" t="s">
        <v>265</v>
      </c>
      <c r="M826" s="194" t="s">
        <v>175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850"/>
      <c r="AB826" s="211"/>
      <c r="AC826" s="594"/>
      <c r="AD826" s="211"/>
    </row>
    <row r="827" spans="1:30" ht="15.75" customHeight="1">
      <c r="A827" s="204" t="str">
        <f>IF(B827&lt;&gt;"",IF(AND(B827&gt;=_TM1,B827&lt;=_TM2,OR(TH!L827="1111",TH!M827="1111")),TH!D827,""),"")</f>
        <v/>
      </c>
      <c r="B827" s="36">
        <f t="shared" si="295"/>
        <v>8</v>
      </c>
      <c r="C827" s="191">
        <f t="shared" si="296"/>
        <v>41516</v>
      </c>
      <c r="D827" s="184" t="s">
        <v>1081</v>
      </c>
      <c r="E827" s="191">
        <v>41516</v>
      </c>
      <c r="F827" s="192" t="s">
        <v>1007</v>
      </c>
      <c r="G827" s="192" t="s">
        <v>1115</v>
      </c>
      <c r="H827" s="193" t="s">
        <v>1006</v>
      </c>
      <c r="I827" s="256">
        <v>210</v>
      </c>
      <c r="J827" s="256">
        <v>14200</v>
      </c>
      <c r="K827" s="38">
        <f t="shared" si="297"/>
        <v>2982000</v>
      </c>
      <c r="L827" s="194" t="s">
        <v>265</v>
      </c>
      <c r="M827" s="194" t="s">
        <v>175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850"/>
      <c r="AB827" s="211"/>
      <c r="AC827" s="594"/>
      <c r="AD827" s="211"/>
    </row>
    <row r="828" spans="1:30" ht="15.75" customHeight="1">
      <c r="A828" s="204" t="str">
        <f>IF(B828&lt;&gt;"",IF(AND(B828&gt;=_TM1,B828&lt;=_TM2,OR(TH!L828="1111",TH!M828="1111")),TH!D828,""),"")</f>
        <v/>
      </c>
      <c r="B828" s="36">
        <f t="shared" ref="B828" si="298">IF(C828&lt;&gt;"",MONTH(C828),"")</f>
        <v>8</v>
      </c>
      <c r="C828" s="191">
        <f t="shared" ref="C828" si="299">E828</f>
        <v>41516</v>
      </c>
      <c r="D828" s="184" t="s">
        <v>1081</v>
      </c>
      <c r="E828" s="191">
        <v>41516</v>
      </c>
      <c r="F828" s="192" t="s">
        <v>1004</v>
      </c>
      <c r="G828" s="192" t="s">
        <v>1115</v>
      </c>
      <c r="H828" s="193" t="s">
        <v>1006</v>
      </c>
      <c r="I828" s="256">
        <v>150</v>
      </c>
      <c r="J828" s="256">
        <v>8000</v>
      </c>
      <c r="K828" s="38">
        <f t="shared" ref="K828" si="300">ROUND(I828*J828,0)</f>
        <v>1200000</v>
      </c>
      <c r="L828" s="194" t="s">
        <v>265</v>
      </c>
      <c r="M828" s="194" t="s">
        <v>175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850"/>
      <c r="AB828" s="211"/>
      <c r="AC828" s="594"/>
      <c r="AD828" s="211"/>
    </row>
    <row r="829" spans="1:30" ht="15.75" customHeight="1">
      <c r="A829" s="204" t="str">
        <f>IF(B829&lt;&gt;"",IF(AND(B829&gt;=_TM1,B829&lt;=_TM2,OR(TH!L829="1111",TH!M829="1111")),TH!D829,""),"")</f>
        <v/>
      </c>
      <c r="B829" s="36">
        <f t="shared" si="295"/>
        <v>8</v>
      </c>
      <c r="C829" s="191">
        <f t="shared" si="296"/>
        <v>41516</v>
      </c>
      <c r="D829" s="184" t="s">
        <v>1081</v>
      </c>
      <c r="E829" s="191">
        <v>41516</v>
      </c>
      <c r="F829" s="192" t="s">
        <v>724</v>
      </c>
      <c r="G829" s="192" t="s">
        <v>1115</v>
      </c>
      <c r="H829" s="193" t="s">
        <v>1006</v>
      </c>
      <c r="I829" s="256"/>
      <c r="J829" s="256"/>
      <c r="K829" s="38">
        <v>938200</v>
      </c>
      <c r="L829" s="194" t="s">
        <v>265</v>
      </c>
      <c r="M829" s="194" t="s">
        <v>429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850"/>
      <c r="AB829" s="211"/>
      <c r="AC829" s="594" t="str">
        <f t="shared" ref="AC829:AC834" si="301">IF(VLOOKUP(H829,DS_131,1,0)&lt;&gt;"","","x")</f>
        <v/>
      </c>
      <c r="AD829" s="211"/>
    </row>
    <row r="830" spans="1:30" ht="15.75" customHeight="1">
      <c r="A830" s="204" t="str">
        <f>IF(B830&lt;&gt;"",IF(AND(B830&gt;=_TM1,B830&lt;=_TM2,OR(TH!L830="1111",TH!M830="1111")),TH!D830,""),"")</f>
        <v/>
      </c>
      <c r="B830" s="36">
        <f t="shared" si="295"/>
        <v>8</v>
      </c>
      <c r="C830" s="191">
        <f t="shared" si="296"/>
        <v>41512</v>
      </c>
      <c r="D830" s="184" t="s">
        <v>1082</v>
      </c>
      <c r="E830" s="191">
        <v>41512</v>
      </c>
      <c r="F830" s="192" t="s">
        <v>938</v>
      </c>
      <c r="G830" s="192" t="s">
        <v>1116</v>
      </c>
      <c r="H830" s="7" t="s">
        <v>548</v>
      </c>
      <c r="I830" s="256">
        <v>585</v>
      </c>
      <c r="J830" s="256">
        <v>18600</v>
      </c>
      <c r="K830" s="38">
        <f t="shared" ref="K830:K831" si="302">ROUND(I830*J830,0)</f>
        <v>10881000</v>
      </c>
      <c r="L830" s="194" t="s">
        <v>265</v>
      </c>
      <c r="M830" s="194" t="s">
        <v>175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850"/>
      <c r="AB830" s="211"/>
      <c r="AC830" s="594"/>
      <c r="AD830" s="211"/>
    </row>
    <row r="831" spans="1:30" ht="15.75" customHeight="1">
      <c r="A831" s="204" t="str">
        <f>IF(B831&lt;&gt;"",IF(AND(B831&gt;=_TM1,B831&lt;=_TM2,OR(TH!L831="1111",TH!M831="1111")),TH!D831,""),"")</f>
        <v/>
      </c>
      <c r="B831" s="36">
        <f t="shared" si="295"/>
        <v>8</v>
      </c>
      <c r="C831" s="191">
        <f t="shared" si="296"/>
        <v>41512</v>
      </c>
      <c r="D831" s="184" t="s">
        <v>1082</v>
      </c>
      <c r="E831" s="191">
        <v>41512</v>
      </c>
      <c r="F831" s="192" t="s">
        <v>940</v>
      </c>
      <c r="G831" s="192" t="s">
        <v>1116</v>
      </c>
      <c r="H831" s="7" t="s">
        <v>548</v>
      </c>
      <c r="I831" s="256">
        <v>371</v>
      </c>
      <c r="J831" s="256">
        <v>16300</v>
      </c>
      <c r="K831" s="38">
        <f t="shared" si="302"/>
        <v>6047300</v>
      </c>
      <c r="L831" s="194" t="s">
        <v>265</v>
      </c>
      <c r="M831" s="194" t="s">
        <v>175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850"/>
      <c r="AB831" s="211"/>
      <c r="AC831" s="594"/>
      <c r="AD831" s="211"/>
    </row>
    <row r="832" spans="1:30" ht="15.75" customHeight="1">
      <c r="A832" s="204" t="str">
        <f>IF(B832&lt;&gt;"",IF(AND(B832&gt;=_TM1,B832&lt;=_TM2,OR(TH!L832="1111",TH!M832="1111")),TH!D832,""),"")</f>
        <v/>
      </c>
      <c r="B832" s="36">
        <f t="shared" si="295"/>
        <v>8</v>
      </c>
      <c r="C832" s="191">
        <f t="shared" si="296"/>
        <v>41512</v>
      </c>
      <c r="D832" s="184" t="s">
        <v>1082</v>
      </c>
      <c r="E832" s="191">
        <v>41512</v>
      </c>
      <c r="F832" s="192" t="s">
        <v>724</v>
      </c>
      <c r="G832" s="192" t="s">
        <v>1116</v>
      </c>
      <c r="H832" s="7" t="s">
        <v>548</v>
      </c>
      <c r="I832" s="256"/>
      <c r="J832" s="256"/>
      <c r="K832" s="38">
        <v>1692830</v>
      </c>
      <c r="L832" s="194" t="s">
        <v>265</v>
      </c>
      <c r="M832" s="194" t="s">
        <v>429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850"/>
      <c r="AB832" s="211"/>
      <c r="AC832" s="594" t="str">
        <f t="shared" si="301"/>
        <v/>
      </c>
      <c r="AD832" s="211"/>
    </row>
    <row r="833" spans="1:30" ht="15.75" customHeight="1">
      <c r="A833" s="204" t="str">
        <f>IF(B833&lt;&gt;"",IF(AND(B833&gt;=_TM1,B833&lt;=_TM2,OR(TH!L833="1111",TH!M833="1111")),TH!D833,""),"")</f>
        <v/>
      </c>
      <c r="B833" s="36">
        <f t="shared" si="295"/>
        <v>9</v>
      </c>
      <c r="C833" s="191">
        <f t="shared" si="296"/>
        <v>41522</v>
      </c>
      <c r="D833" s="184" t="s">
        <v>1083</v>
      </c>
      <c r="E833" s="191">
        <v>41522</v>
      </c>
      <c r="F833" s="192" t="s">
        <v>1148</v>
      </c>
      <c r="G833" s="192" t="s">
        <v>1117</v>
      </c>
      <c r="H833" s="7" t="s">
        <v>894</v>
      </c>
      <c r="I833" s="256">
        <v>2700</v>
      </c>
      <c r="J833" s="256">
        <v>4700</v>
      </c>
      <c r="K833" s="38">
        <f>ROUND(I833*J833,0)</f>
        <v>12690000</v>
      </c>
      <c r="L833" s="194" t="s">
        <v>265</v>
      </c>
      <c r="M833" s="194" t="s">
        <v>175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850"/>
      <c r="AB833" s="211"/>
      <c r="AC833" s="594"/>
      <c r="AD833" s="211"/>
    </row>
    <row r="834" spans="1:30" s="211" customFormat="1" ht="15.75" customHeight="1">
      <c r="A834" s="204" t="str">
        <f>IF(B834&lt;&gt;"",IF(AND(B834&gt;=_TM1,B834&lt;=_TM2,OR(TH!L834="1111",TH!M834="1111")),TH!D834,""),"")</f>
        <v/>
      </c>
      <c r="B834" s="36">
        <f t="shared" si="295"/>
        <v>9</v>
      </c>
      <c r="C834" s="191">
        <f t="shared" si="296"/>
        <v>41522</v>
      </c>
      <c r="D834" s="184" t="s">
        <v>1083</v>
      </c>
      <c r="E834" s="191">
        <v>41522</v>
      </c>
      <c r="F834" s="192" t="s">
        <v>724</v>
      </c>
      <c r="G834" s="192" t="s">
        <v>1117</v>
      </c>
      <c r="H834" s="7" t="s">
        <v>894</v>
      </c>
      <c r="I834" s="256"/>
      <c r="J834" s="256"/>
      <c r="K834" s="38">
        <v>1269000</v>
      </c>
      <c r="L834" s="194" t="s">
        <v>265</v>
      </c>
      <c r="M834" s="194" t="s">
        <v>429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883"/>
      <c r="AC834" s="594" t="str">
        <f t="shared" si="301"/>
        <v/>
      </c>
    </row>
    <row r="835" spans="1:30" ht="15.75" customHeight="1">
      <c r="A835" s="204" t="str">
        <f>IF(B835&lt;&gt;"",IF(AND(B835&gt;=_TM1,B835&lt;=_TM2,OR(TH!L835="1111",TH!M835="1111")),TH!D835,""),"")</f>
        <v/>
      </c>
      <c r="B835" s="36">
        <f t="shared" ref="B835:B839" si="303">IF(C835&lt;&gt;"",MONTH(C835),"")</f>
        <v>9</v>
      </c>
      <c r="C835" s="191">
        <f t="shared" ref="C835:C839" si="304">E835</f>
        <v>41523</v>
      </c>
      <c r="D835" s="184" t="s">
        <v>1084</v>
      </c>
      <c r="E835" s="191">
        <v>41523</v>
      </c>
      <c r="F835" s="192" t="s">
        <v>1119</v>
      </c>
      <c r="G835" s="192" t="s">
        <v>1118</v>
      </c>
      <c r="H835" s="811" t="s">
        <v>534</v>
      </c>
      <c r="I835" s="256">
        <v>1010</v>
      </c>
      <c r="J835" s="256">
        <v>7500</v>
      </c>
      <c r="K835" s="38">
        <f t="shared" ref="K835:K836" si="305">ROUND(I835*J835,0)</f>
        <v>7575000</v>
      </c>
      <c r="L835" s="194" t="s">
        <v>265</v>
      </c>
      <c r="M835" s="194" t="s">
        <v>175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850"/>
      <c r="AB835" s="211"/>
      <c r="AC835" s="594"/>
      <c r="AD835" s="211"/>
    </row>
    <row r="836" spans="1:30" ht="15.75" customHeight="1">
      <c r="A836" s="204" t="str">
        <f>IF(B836&lt;&gt;"",IF(AND(B836&gt;=_TM1,B836&lt;=_TM2,OR(TH!L836="1111",TH!M836="1111")),TH!D836,""),"")</f>
        <v/>
      </c>
      <c r="B836" s="36">
        <f t="shared" si="303"/>
        <v>9</v>
      </c>
      <c r="C836" s="191">
        <f t="shared" si="304"/>
        <v>41523</v>
      </c>
      <c r="D836" s="184" t="s">
        <v>1084</v>
      </c>
      <c r="E836" s="191">
        <v>41523</v>
      </c>
      <c r="F836" s="192" t="s">
        <v>1120</v>
      </c>
      <c r="G836" s="192" t="s">
        <v>1118</v>
      </c>
      <c r="H836" s="811" t="s">
        <v>534</v>
      </c>
      <c r="I836" s="256">
        <v>1000</v>
      </c>
      <c r="J836" s="256">
        <v>6400</v>
      </c>
      <c r="K836" s="38">
        <f t="shared" si="305"/>
        <v>6400000</v>
      </c>
      <c r="L836" s="194" t="s">
        <v>265</v>
      </c>
      <c r="M836" s="194" t="s">
        <v>175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850"/>
      <c r="AB836" s="211"/>
      <c r="AC836" s="594"/>
      <c r="AD836" s="211"/>
    </row>
    <row r="837" spans="1:30" ht="15.75" customHeight="1">
      <c r="A837" s="204" t="str">
        <f>IF(B837&lt;&gt;"",IF(AND(B837&gt;=_TM1,B837&lt;=_TM2,OR(TH!L837="1111",TH!M837="1111")),TH!D837,""),"")</f>
        <v/>
      </c>
      <c r="B837" s="36">
        <f t="shared" si="303"/>
        <v>9</v>
      </c>
      <c r="C837" s="191">
        <f t="shared" si="304"/>
        <v>41523</v>
      </c>
      <c r="D837" s="184" t="s">
        <v>1084</v>
      </c>
      <c r="E837" s="191">
        <v>41523</v>
      </c>
      <c r="F837" s="192" t="s">
        <v>724</v>
      </c>
      <c r="G837" s="192" t="s">
        <v>1118</v>
      </c>
      <c r="H837" s="811" t="s">
        <v>534</v>
      </c>
      <c r="I837" s="256"/>
      <c r="J837" s="256"/>
      <c r="K837" s="38">
        <v>1397500</v>
      </c>
      <c r="L837" s="194" t="s">
        <v>265</v>
      </c>
      <c r="M837" s="194" t="s">
        <v>429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850"/>
      <c r="AB837" s="211"/>
      <c r="AC837" s="594" t="str">
        <f t="shared" ref="AC837:AC839" si="306">IF(VLOOKUP(H837,DS_131,1,0)&lt;&gt;"","","x")</f>
        <v/>
      </c>
      <c r="AD837" s="211"/>
    </row>
    <row r="838" spans="1:30" ht="15.75" customHeight="1">
      <c r="A838" s="204" t="str">
        <f>IF(B838&lt;&gt;"",IF(AND(B838&gt;=_TM1,B838&lt;=_TM2,OR(TH!L838="1111",TH!M838="1111")),TH!D838,""),"")</f>
        <v/>
      </c>
      <c r="B838" s="36">
        <f t="shared" si="303"/>
        <v>9</v>
      </c>
      <c r="C838" s="191">
        <f t="shared" si="304"/>
        <v>41526</v>
      </c>
      <c r="D838" s="184" t="s">
        <v>1085</v>
      </c>
      <c r="E838" s="191">
        <v>41526</v>
      </c>
      <c r="F838" s="192" t="s">
        <v>1135</v>
      </c>
      <c r="G838" s="192" t="s">
        <v>1121</v>
      </c>
      <c r="H838" s="7" t="s">
        <v>431</v>
      </c>
      <c r="I838" s="256">
        <v>990</v>
      </c>
      <c r="J838" s="256">
        <v>6250</v>
      </c>
      <c r="K838" s="38">
        <f>ROUND(I838*J838,0)</f>
        <v>6187500</v>
      </c>
      <c r="L838" s="194" t="s">
        <v>265</v>
      </c>
      <c r="M838" s="194" t="s">
        <v>175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850"/>
      <c r="AB838" s="211"/>
      <c r="AC838" s="594"/>
      <c r="AD838" s="211"/>
    </row>
    <row r="839" spans="1:30" s="211" customFormat="1" ht="15.75" customHeight="1">
      <c r="A839" s="204" t="str">
        <f>IF(B839&lt;&gt;"",IF(AND(B839&gt;=_TM1,B839&lt;=_TM2,OR(TH!L839="1111",TH!M839="1111")),TH!D839,""),"")</f>
        <v/>
      </c>
      <c r="B839" s="36">
        <f t="shared" si="303"/>
        <v>9</v>
      </c>
      <c r="C839" s="191">
        <f t="shared" si="304"/>
        <v>41526</v>
      </c>
      <c r="D839" s="184" t="s">
        <v>1085</v>
      </c>
      <c r="E839" s="191">
        <v>41526</v>
      </c>
      <c r="F839" s="192" t="s">
        <v>724</v>
      </c>
      <c r="G839" s="192" t="s">
        <v>1121</v>
      </c>
      <c r="H839" s="7" t="s">
        <v>431</v>
      </c>
      <c r="I839" s="256"/>
      <c r="J839" s="256"/>
      <c r="K839" s="38">
        <v>618750</v>
      </c>
      <c r="L839" s="194" t="s">
        <v>265</v>
      </c>
      <c r="M839" s="194" t="s">
        <v>429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883"/>
      <c r="AC839" s="594" t="str">
        <f t="shared" si="306"/>
        <v/>
      </c>
    </row>
    <row r="840" spans="1:30" ht="15.75" customHeight="1">
      <c r="A840" s="204" t="str">
        <f>IF(B840&lt;&gt;"",IF(AND(B840&gt;=_TM1,B840&lt;=_TM2,OR(TH!L840="1111",TH!M840="1111")),TH!D840,""),"")</f>
        <v/>
      </c>
      <c r="B840" s="36">
        <f t="shared" ref="B840:B845" si="307">IF(C840&lt;&gt;"",MONTH(C840),"")</f>
        <v>9</v>
      </c>
      <c r="C840" s="191">
        <f t="shared" ref="C840:C845" si="308">E840</f>
        <v>41526</v>
      </c>
      <c r="D840" s="184" t="s">
        <v>1086</v>
      </c>
      <c r="E840" s="191">
        <v>41526</v>
      </c>
      <c r="F840" s="192" t="s">
        <v>865</v>
      </c>
      <c r="G840" s="192" t="s">
        <v>1122</v>
      </c>
      <c r="H840" s="7" t="s">
        <v>580</v>
      </c>
      <c r="I840" s="256">
        <v>505</v>
      </c>
      <c r="J840" s="256">
        <v>20300</v>
      </c>
      <c r="K840" s="38">
        <f>ROUND(I840*J840,0)</f>
        <v>10251500</v>
      </c>
      <c r="L840" s="194" t="s">
        <v>265</v>
      </c>
      <c r="M840" s="194" t="s">
        <v>175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850"/>
      <c r="AB840" s="211"/>
      <c r="AC840" s="594"/>
      <c r="AD840" s="211"/>
    </row>
    <row r="841" spans="1:30" s="211" customFormat="1" ht="15.75" customHeight="1">
      <c r="A841" s="204" t="str">
        <f>IF(B841&lt;&gt;"",IF(AND(B841&gt;=_TM1,B841&lt;=_TM2,OR(TH!L841="1111",TH!M841="1111")),TH!D841,""),"")</f>
        <v/>
      </c>
      <c r="B841" s="36">
        <f t="shared" si="307"/>
        <v>9</v>
      </c>
      <c r="C841" s="191">
        <f t="shared" si="308"/>
        <v>41526</v>
      </c>
      <c r="D841" s="184" t="s">
        <v>1086</v>
      </c>
      <c r="E841" s="191">
        <v>41526</v>
      </c>
      <c r="F841" s="192" t="s">
        <v>724</v>
      </c>
      <c r="G841" s="192" t="s">
        <v>1122</v>
      </c>
      <c r="H841" s="7" t="s">
        <v>580</v>
      </c>
      <c r="I841" s="256"/>
      <c r="J841" s="256"/>
      <c r="K841" s="38">
        <v>1025150</v>
      </c>
      <c r="L841" s="194" t="s">
        <v>265</v>
      </c>
      <c r="M841" s="194" t="s">
        <v>429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883"/>
      <c r="AC841" s="594" t="str">
        <f t="shared" ref="AC841:AC845" si="309">IF(VLOOKUP(H841,DS_131,1,0)&lt;&gt;"","","x")</f>
        <v/>
      </c>
    </row>
    <row r="842" spans="1:30" s="211" customFormat="1" ht="15.75" customHeight="1">
      <c r="A842" s="204" t="str">
        <f>IF(B842&lt;&gt;"",IF(AND(B842&gt;=_TM1,B842&lt;=_TM2,OR(TH!L842="1111",TH!M842="1111")),TH!D842,""),"")</f>
        <v/>
      </c>
      <c r="B842" s="36">
        <f t="shared" ref="B842" si="310">IF(C842&lt;&gt;"",MONTH(C842),"")</f>
        <v>9</v>
      </c>
      <c r="C842" s="191">
        <f t="shared" ref="C842" si="311">E842</f>
        <v>41526</v>
      </c>
      <c r="D842" s="184" t="s">
        <v>1086</v>
      </c>
      <c r="E842" s="191">
        <v>41526</v>
      </c>
      <c r="F842" s="189" t="s">
        <v>341</v>
      </c>
      <c r="G842" s="192" t="s">
        <v>1122</v>
      </c>
      <c r="H842" s="7" t="s">
        <v>580</v>
      </c>
      <c r="I842" s="256"/>
      <c r="J842" s="256"/>
      <c r="K842" s="38">
        <v>11276650</v>
      </c>
      <c r="L842" s="194" t="s">
        <v>47</v>
      </c>
      <c r="M842" s="194" t="s">
        <v>265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>x</v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883"/>
      <c r="AC842" s="594" t="str">
        <f t="shared" ref="AC842" si="312">IF(VLOOKUP(H842,DS_131,1,0)&lt;&gt;"","","x")</f>
        <v/>
      </c>
    </row>
    <row r="843" spans="1:30" ht="15.75" customHeight="1">
      <c r="A843" s="204" t="str">
        <f>IF(B843&lt;&gt;"",IF(AND(B843&gt;=_TM1,B843&lt;=_TM2,OR(TH!L843="1111",TH!M843="1111")),TH!D843,""),"")</f>
        <v/>
      </c>
      <c r="B843" s="36">
        <f t="shared" si="307"/>
        <v>9</v>
      </c>
      <c r="C843" s="191">
        <f t="shared" si="308"/>
        <v>41526</v>
      </c>
      <c r="D843" s="184" t="s">
        <v>1087</v>
      </c>
      <c r="E843" s="191">
        <v>41526</v>
      </c>
      <c r="F843" s="192" t="s">
        <v>938</v>
      </c>
      <c r="G843" s="192" t="s">
        <v>1123</v>
      </c>
      <c r="H843" s="7" t="s">
        <v>548</v>
      </c>
      <c r="I843" s="256">
        <v>585</v>
      </c>
      <c r="J843" s="256">
        <v>18600</v>
      </c>
      <c r="K843" s="38">
        <f t="shared" ref="K843:K844" si="313">ROUND(I843*J843,0)</f>
        <v>10881000</v>
      </c>
      <c r="L843" s="194" t="s">
        <v>265</v>
      </c>
      <c r="M843" s="194" t="s">
        <v>175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850"/>
      <c r="AB843" s="211"/>
      <c r="AC843" s="594"/>
      <c r="AD843" s="211"/>
    </row>
    <row r="844" spans="1:30" ht="15.75" customHeight="1">
      <c r="A844" s="204" t="str">
        <f>IF(B844&lt;&gt;"",IF(AND(B844&gt;=_TM1,B844&lt;=_TM2,OR(TH!L844="1111",TH!M844="1111")),TH!D844,""),"")</f>
        <v/>
      </c>
      <c r="B844" s="36">
        <f t="shared" si="307"/>
        <v>9</v>
      </c>
      <c r="C844" s="191">
        <f t="shared" si="308"/>
        <v>41526</v>
      </c>
      <c r="D844" s="184" t="s">
        <v>1087</v>
      </c>
      <c r="E844" s="191">
        <v>41526</v>
      </c>
      <c r="F844" s="192" t="s">
        <v>940</v>
      </c>
      <c r="G844" s="192" t="s">
        <v>1123</v>
      </c>
      <c r="H844" s="7" t="s">
        <v>548</v>
      </c>
      <c r="I844" s="256">
        <v>300</v>
      </c>
      <c r="J844" s="256">
        <v>16300</v>
      </c>
      <c r="K844" s="38">
        <f t="shared" si="313"/>
        <v>4890000</v>
      </c>
      <c r="L844" s="194" t="s">
        <v>265</v>
      </c>
      <c r="M844" s="194" t="s">
        <v>175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850"/>
      <c r="AB844" s="211"/>
      <c r="AC844" s="594"/>
      <c r="AD844" s="211"/>
    </row>
    <row r="845" spans="1:30" ht="15.75" customHeight="1">
      <c r="A845" s="204" t="str">
        <f>IF(B845&lt;&gt;"",IF(AND(B845&gt;=_TM1,B845&lt;=_TM2,OR(TH!L845="1111",TH!M845="1111")),TH!D845,""),"")</f>
        <v/>
      </c>
      <c r="B845" s="36">
        <f t="shared" si="307"/>
        <v>9</v>
      </c>
      <c r="C845" s="191">
        <f t="shared" si="308"/>
        <v>41526</v>
      </c>
      <c r="D845" s="184" t="s">
        <v>1087</v>
      </c>
      <c r="E845" s="191">
        <v>41526</v>
      </c>
      <c r="F845" s="192" t="s">
        <v>724</v>
      </c>
      <c r="G845" s="192" t="s">
        <v>1123</v>
      </c>
      <c r="H845" s="7" t="s">
        <v>548</v>
      </c>
      <c r="I845" s="256"/>
      <c r="J845" s="256"/>
      <c r="K845" s="38">
        <v>1577100</v>
      </c>
      <c r="L845" s="194" t="s">
        <v>265</v>
      </c>
      <c r="M845" s="194" t="s">
        <v>429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850"/>
      <c r="AB845" s="211"/>
      <c r="AC845" s="594" t="str">
        <f t="shared" si="309"/>
        <v/>
      </c>
      <c r="AD845" s="211"/>
    </row>
    <row r="846" spans="1:30" ht="15.75" customHeight="1">
      <c r="A846" s="204" t="str">
        <f>IF(B846&lt;&gt;"",IF(AND(B846&gt;=_TM1,B846&lt;=_TM2,OR(TH!L846="1111",TH!M846="1111")),TH!D846,""),"")</f>
        <v/>
      </c>
      <c r="B846" s="36">
        <f t="shared" si="278"/>
        <v>9</v>
      </c>
      <c r="C846" s="191">
        <f t="shared" si="279"/>
        <v>41526</v>
      </c>
      <c r="D846" s="184" t="s">
        <v>1088</v>
      </c>
      <c r="E846" s="191">
        <v>41526</v>
      </c>
      <c r="F846" s="192" t="s">
        <v>1148</v>
      </c>
      <c r="G846" s="192" t="s">
        <v>922</v>
      </c>
      <c r="H846" s="7" t="s">
        <v>894</v>
      </c>
      <c r="I846" s="256">
        <v>2680</v>
      </c>
      <c r="J846" s="256">
        <v>4700</v>
      </c>
      <c r="K846" s="38">
        <f>ROUND(I846*J846,0)</f>
        <v>12596000</v>
      </c>
      <c r="L846" s="194" t="s">
        <v>265</v>
      </c>
      <c r="M846" s="194" t="s">
        <v>175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850"/>
      <c r="AB846" s="211"/>
      <c r="AC846" s="594"/>
      <c r="AD846" s="211"/>
    </row>
    <row r="847" spans="1:30" s="211" customFormat="1" ht="15.75" customHeight="1">
      <c r="A847" s="204" t="str">
        <f>IF(B847&lt;&gt;"",IF(AND(B847&gt;=_TM1,B847&lt;=_TM2,OR(TH!L847="1111",TH!M847="1111")),TH!D847,""),"")</f>
        <v/>
      </c>
      <c r="B847" s="36">
        <f t="shared" si="278"/>
        <v>9</v>
      </c>
      <c r="C847" s="191">
        <f t="shared" si="279"/>
        <v>41526</v>
      </c>
      <c r="D847" s="184" t="s">
        <v>1088</v>
      </c>
      <c r="E847" s="191">
        <v>41526</v>
      </c>
      <c r="F847" s="192" t="s">
        <v>724</v>
      </c>
      <c r="G847" s="192" t="s">
        <v>922</v>
      </c>
      <c r="H847" s="7" t="s">
        <v>894</v>
      </c>
      <c r="I847" s="256"/>
      <c r="J847" s="256"/>
      <c r="K847" s="38">
        <v>1259600</v>
      </c>
      <c r="L847" s="194" t="s">
        <v>265</v>
      </c>
      <c r="M847" s="194" t="s">
        <v>429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883"/>
      <c r="AC847" s="594" t="str">
        <f t="shared" si="273"/>
        <v/>
      </c>
    </row>
    <row r="848" spans="1:30" ht="15.75" customHeight="1">
      <c r="A848" s="204" t="str">
        <f>IF(B848&lt;&gt;"",IF(AND(B848&gt;=_TM1,B848&lt;=_TM2,OR(TH!L848="1111",TH!M848="1111")),TH!D848,""),"")</f>
        <v/>
      </c>
      <c r="B848" s="36">
        <f t="shared" si="278"/>
        <v>9</v>
      </c>
      <c r="C848" s="191">
        <f t="shared" si="279"/>
        <v>41528</v>
      </c>
      <c r="D848" s="184" t="s">
        <v>1089</v>
      </c>
      <c r="E848" s="191">
        <v>41528</v>
      </c>
      <c r="F848" s="192" t="s">
        <v>923</v>
      </c>
      <c r="G848" s="192" t="s">
        <v>924</v>
      </c>
      <c r="H848" s="7" t="s">
        <v>925</v>
      </c>
      <c r="I848" s="256">
        <v>100</v>
      </c>
      <c r="J848" s="256">
        <v>13000</v>
      </c>
      <c r="K848" s="38">
        <f t="shared" ref="K848:K849" si="314">ROUND(I848*J848,0)</f>
        <v>1300000</v>
      </c>
      <c r="L848" s="194" t="s">
        <v>265</v>
      </c>
      <c r="M848" s="194" t="s">
        <v>175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850"/>
      <c r="AB848" s="594"/>
      <c r="AC848" s="594"/>
      <c r="AD848" s="594"/>
    </row>
    <row r="849" spans="1:30" ht="15.75" customHeight="1">
      <c r="A849" s="204" t="str">
        <f>IF(B849&lt;&gt;"",IF(AND(B849&gt;=_TM1,B849&lt;=_TM2,OR(TH!L849="1111",TH!M849="1111")),TH!D849,""),"")</f>
        <v/>
      </c>
      <c r="B849" s="36">
        <f t="shared" si="278"/>
        <v>9</v>
      </c>
      <c r="C849" s="191">
        <f t="shared" si="279"/>
        <v>41528</v>
      </c>
      <c r="D849" s="184" t="s">
        <v>1089</v>
      </c>
      <c r="E849" s="191">
        <v>41528</v>
      </c>
      <c r="F849" s="192" t="s">
        <v>926</v>
      </c>
      <c r="G849" s="192" t="s">
        <v>924</v>
      </c>
      <c r="H849" s="7" t="s">
        <v>925</v>
      </c>
      <c r="I849" s="256">
        <v>102</v>
      </c>
      <c r="J849" s="256">
        <v>14600</v>
      </c>
      <c r="K849" s="38">
        <f t="shared" si="314"/>
        <v>1489200</v>
      </c>
      <c r="L849" s="194" t="s">
        <v>265</v>
      </c>
      <c r="M849" s="194" t="s">
        <v>175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850"/>
      <c r="AB849" s="211"/>
      <c r="AC849" s="594"/>
      <c r="AD849" s="211"/>
    </row>
    <row r="850" spans="1:30" ht="15.75" customHeight="1">
      <c r="A850" s="204" t="str">
        <f>IF(B850&lt;&gt;"",IF(AND(B850&gt;=_TM1,B850&lt;=_TM2,OR(TH!L850="1111",TH!M850="1111")),TH!D850,""),"")</f>
        <v/>
      </c>
      <c r="B850" s="36">
        <f t="shared" si="278"/>
        <v>9</v>
      </c>
      <c r="C850" s="191">
        <f t="shared" si="279"/>
        <v>41528</v>
      </c>
      <c r="D850" s="184" t="s">
        <v>1089</v>
      </c>
      <c r="E850" s="191">
        <v>41528</v>
      </c>
      <c r="F850" s="192" t="s">
        <v>724</v>
      </c>
      <c r="G850" s="192" t="s">
        <v>924</v>
      </c>
      <c r="H850" s="193" t="s">
        <v>925</v>
      </c>
      <c r="I850" s="256"/>
      <c r="J850" s="256"/>
      <c r="K850" s="38">
        <v>278920</v>
      </c>
      <c r="L850" s="194" t="s">
        <v>265</v>
      </c>
      <c r="M850" s="194" t="s">
        <v>429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850"/>
      <c r="AB850" s="594"/>
      <c r="AC850" s="594" t="str">
        <f t="shared" si="273"/>
        <v/>
      </c>
      <c r="AD850" s="211"/>
    </row>
    <row r="851" spans="1:30" ht="15.75" customHeight="1">
      <c r="A851" s="204" t="str">
        <f>IF(B851&lt;&gt;"",IF(AND(B851&gt;=_TM1,B851&lt;=_TM2,OR(TH!L851="1111",TH!M851="1111")),TH!D851,""),"")</f>
        <v/>
      </c>
      <c r="B851" s="36">
        <f t="shared" si="278"/>
        <v>9</v>
      </c>
      <c r="C851" s="191">
        <f t="shared" si="279"/>
        <v>41533</v>
      </c>
      <c r="D851" s="184" t="s">
        <v>1090</v>
      </c>
      <c r="E851" s="191">
        <v>41533</v>
      </c>
      <c r="F851" s="192" t="s">
        <v>836</v>
      </c>
      <c r="G851" s="192" t="s">
        <v>927</v>
      </c>
      <c r="H851" s="193" t="s">
        <v>741</v>
      </c>
      <c r="I851" s="256">
        <v>992</v>
      </c>
      <c r="J851" s="256">
        <v>10500</v>
      </c>
      <c r="K851" s="38">
        <f>ROUND(I851*J851,0)</f>
        <v>10416000</v>
      </c>
      <c r="L851" s="194" t="s">
        <v>265</v>
      </c>
      <c r="M851" s="194" t="s">
        <v>175</v>
      </c>
      <c r="N851" s="52" t="str">
        <f>IF(AND('331-CT'!$E$7=TH!H851,OR(L851="331",M851="331")),"331",IF(AND(OR(L851="131",M851="131"),H851='131-CT'!$E$7),"131",""))</f>
        <v>131</v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850"/>
      <c r="AB851" s="211"/>
      <c r="AC851" s="594"/>
      <c r="AD851" s="211"/>
    </row>
    <row r="852" spans="1:30" ht="15.75" customHeight="1">
      <c r="A852" s="204" t="str">
        <f>IF(B852&lt;&gt;"",IF(AND(B852&gt;=_TM1,B852&lt;=_TM2,OR(TH!L852="1111",TH!M852="1111")),TH!D852,""),"")</f>
        <v/>
      </c>
      <c r="B852" s="36">
        <f t="shared" si="278"/>
        <v>9</v>
      </c>
      <c r="C852" s="191">
        <f t="shared" si="279"/>
        <v>41533</v>
      </c>
      <c r="D852" s="184" t="s">
        <v>1090</v>
      </c>
      <c r="E852" s="191">
        <v>41533</v>
      </c>
      <c r="F852" s="192" t="s">
        <v>724</v>
      </c>
      <c r="G852" s="487" t="s">
        <v>927</v>
      </c>
      <c r="H852" s="193" t="s">
        <v>741</v>
      </c>
      <c r="I852" s="256"/>
      <c r="J852" s="256"/>
      <c r="K852" s="38">
        <v>1041600</v>
      </c>
      <c r="L852" s="194" t="s">
        <v>265</v>
      </c>
      <c r="M852" s="194" t="s">
        <v>429</v>
      </c>
      <c r="N852" s="52" t="str">
        <f>IF(AND('331-CT'!$E$7=TH!H852,OR(L852="331",M852="331")),"331",IF(AND(OR(L852="131",M852="131"),H852='131-CT'!$E$7),"131",""))</f>
        <v>131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850"/>
      <c r="AB852" s="594"/>
      <c r="AC852" s="594" t="str">
        <f t="shared" si="273"/>
        <v/>
      </c>
      <c r="AD852" s="211"/>
    </row>
    <row r="853" spans="1:30" ht="15.75" customHeight="1">
      <c r="A853" s="204" t="str">
        <f>IF(B853&lt;&gt;"",IF(AND(B853&gt;=_TM1,B853&lt;=_TM2,OR(TH!L853="1111",TH!M853="1111")),TH!D853,""),"")</f>
        <v/>
      </c>
      <c r="B853" s="36">
        <f t="shared" ref="B853" si="315">IF(C853&lt;&gt;"",MONTH(C853),"")</f>
        <v>9</v>
      </c>
      <c r="C853" s="191">
        <f t="shared" ref="C853" si="316">E853</f>
        <v>41533</v>
      </c>
      <c r="D853" s="184" t="s">
        <v>1090</v>
      </c>
      <c r="E853" s="191">
        <v>41533</v>
      </c>
      <c r="F853" s="189" t="s">
        <v>341</v>
      </c>
      <c r="G853" s="487" t="s">
        <v>927</v>
      </c>
      <c r="H853" s="193" t="s">
        <v>741</v>
      </c>
      <c r="I853" s="256"/>
      <c r="J853" s="256"/>
      <c r="K853" s="38">
        <v>11457600</v>
      </c>
      <c r="L853" s="194" t="s">
        <v>47</v>
      </c>
      <c r="M853" s="194" t="s">
        <v>265</v>
      </c>
      <c r="N853" s="52" t="str">
        <f>IF(AND('331-CT'!$E$7=TH!H853,OR(L853="331",M853="331")),"331",IF(AND(OR(L853="131",M853="131"),H853='131-CT'!$E$7),"131",""))</f>
        <v>131</v>
      </c>
      <c r="O853" s="52" t="str">
        <f>IF(AND($B853&gt;='111'!$N$11,$B853&lt;='111'!$O$11,OR($L853=$O$7,$M853=$O$7)),"x","")</f>
        <v>x</v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850"/>
      <c r="AB853" s="594"/>
      <c r="AC853" s="594" t="str">
        <f t="shared" ref="AC853" si="317">IF(VLOOKUP(H853,DS_131,1,0)&lt;&gt;"","","x")</f>
        <v/>
      </c>
      <c r="AD853" s="211"/>
    </row>
    <row r="854" spans="1:30" ht="15.75" customHeight="1">
      <c r="A854" s="204" t="str">
        <f>IF(B854&lt;&gt;"",IF(AND(B854&gt;=_TM1,B854&lt;=_TM2,OR(TH!L854="1111",TH!M854="1111")),TH!D854,""),"")</f>
        <v/>
      </c>
      <c r="B854" s="36">
        <f t="shared" si="278"/>
        <v>9</v>
      </c>
      <c r="C854" s="191">
        <f t="shared" si="279"/>
        <v>41535</v>
      </c>
      <c r="D854" s="184" t="s">
        <v>1091</v>
      </c>
      <c r="E854" s="191">
        <v>41535</v>
      </c>
      <c r="F854" s="192" t="s">
        <v>865</v>
      </c>
      <c r="G854" s="487" t="s">
        <v>928</v>
      </c>
      <c r="H854" s="7" t="s">
        <v>580</v>
      </c>
      <c r="I854" s="256">
        <v>496</v>
      </c>
      <c r="J854" s="256">
        <v>20300</v>
      </c>
      <c r="K854" s="38">
        <f>ROUND(I854*J854,0)</f>
        <v>10068800</v>
      </c>
      <c r="L854" s="194" t="s">
        <v>265</v>
      </c>
      <c r="M854" s="194" t="s">
        <v>175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850"/>
      <c r="AB854" s="211"/>
      <c r="AC854" s="594"/>
      <c r="AD854" s="211"/>
    </row>
    <row r="855" spans="1:30" ht="15.75" customHeight="1">
      <c r="A855" s="204" t="str">
        <f>IF(B855&lt;&gt;"",IF(AND(B855&gt;=_TM1,B855&lt;=_TM2,OR(TH!L855="1111",TH!M855="1111")),TH!D855,""),"")</f>
        <v/>
      </c>
      <c r="B855" s="36">
        <f t="shared" si="278"/>
        <v>9</v>
      </c>
      <c r="C855" s="191">
        <f t="shared" si="279"/>
        <v>41535</v>
      </c>
      <c r="D855" s="184" t="s">
        <v>1091</v>
      </c>
      <c r="E855" s="191">
        <v>41535</v>
      </c>
      <c r="F855" s="192" t="s">
        <v>724</v>
      </c>
      <c r="G855" s="192" t="s">
        <v>928</v>
      </c>
      <c r="H855" s="7" t="s">
        <v>580</v>
      </c>
      <c r="I855" s="256"/>
      <c r="J855" s="256"/>
      <c r="K855" s="38">
        <v>1006880</v>
      </c>
      <c r="L855" s="194" t="s">
        <v>265</v>
      </c>
      <c r="M855" s="194" t="s">
        <v>429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850"/>
      <c r="AB855" s="594"/>
      <c r="AC855" s="594" t="str">
        <f t="shared" si="273"/>
        <v/>
      </c>
      <c r="AD855" s="211"/>
    </row>
    <row r="856" spans="1:30" ht="15.75" customHeight="1">
      <c r="A856" s="204" t="str">
        <f>IF(B856&lt;&gt;"",IF(AND(B856&gt;=_TM1,B856&lt;=_TM2,OR(TH!L856="1111",TH!M856="1111")),TH!D856,""),"")</f>
        <v/>
      </c>
      <c r="B856" s="36">
        <f t="shared" ref="B856" si="318">IF(C856&lt;&gt;"",MONTH(C856),"")</f>
        <v>9</v>
      </c>
      <c r="C856" s="191">
        <f t="shared" ref="C856" si="319">E856</f>
        <v>41535</v>
      </c>
      <c r="D856" s="184" t="s">
        <v>1091</v>
      </c>
      <c r="E856" s="191">
        <v>41535</v>
      </c>
      <c r="F856" s="189" t="s">
        <v>341</v>
      </c>
      <c r="G856" s="192" t="s">
        <v>928</v>
      </c>
      <c r="H856" s="7" t="s">
        <v>580</v>
      </c>
      <c r="I856" s="256"/>
      <c r="J856" s="256"/>
      <c r="K856" s="38">
        <v>11075680</v>
      </c>
      <c r="L856" s="194" t="s">
        <v>47</v>
      </c>
      <c r="M856" s="194" t="s">
        <v>265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>x</v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850"/>
      <c r="AB856" s="594"/>
      <c r="AC856" s="594" t="str">
        <f t="shared" ref="AC856" si="320">IF(VLOOKUP(H856,DS_131,1,0)&lt;&gt;"","","x")</f>
        <v/>
      </c>
      <c r="AD856" s="211"/>
    </row>
    <row r="857" spans="1:30" ht="15.75" customHeight="1">
      <c r="A857" s="204" t="str">
        <f>IF(B857&lt;&gt;"",IF(AND(B857&gt;=_TM1,B857&lt;=_TM2,OR(TH!L857="1111",TH!M857="1111")),TH!D857,""),"")</f>
        <v/>
      </c>
      <c r="B857" s="36">
        <f t="shared" si="278"/>
        <v>9</v>
      </c>
      <c r="C857" s="191">
        <f t="shared" si="279"/>
        <v>41536</v>
      </c>
      <c r="D857" s="184" t="s">
        <v>1092</v>
      </c>
      <c r="E857" s="191">
        <v>41536</v>
      </c>
      <c r="F857" s="192" t="s">
        <v>929</v>
      </c>
      <c r="G857" s="192" t="s">
        <v>930</v>
      </c>
      <c r="H857" s="7" t="s">
        <v>542</v>
      </c>
      <c r="I857" s="256">
        <v>294</v>
      </c>
      <c r="J857" s="256">
        <v>4870</v>
      </c>
      <c r="K857" s="38">
        <f>ROUND(I857*J857,0)</f>
        <v>1431780</v>
      </c>
      <c r="L857" s="194" t="s">
        <v>265</v>
      </c>
      <c r="M857" s="194" t="s">
        <v>175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850"/>
      <c r="AB857" s="211"/>
      <c r="AC857" s="594"/>
      <c r="AD857" s="211"/>
    </row>
    <row r="858" spans="1:30" ht="15.75" customHeight="1">
      <c r="A858" s="204" t="str">
        <f>IF(B858&lt;&gt;"",IF(AND(B858&gt;=_TM1,B858&lt;=_TM2,OR(TH!L858="1111",TH!M858="1111")),TH!D858,""),"")</f>
        <v/>
      </c>
      <c r="B858" s="36">
        <f t="shared" si="278"/>
        <v>9</v>
      </c>
      <c r="C858" s="191">
        <f t="shared" si="279"/>
        <v>41536</v>
      </c>
      <c r="D858" s="184" t="s">
        <v>1092</v>
      </c>
      <c r="E858" s="191">
        <v>41536</v>
      </c>
      <c r="F858" s="192" t="s">
        <v>724</v>
      </c>
      <c r="G858" s="192" t="s">
        <v>930</v>
      </c>
      <c r="H858" s="193" t="s">
        <v>542</v>
      </c>
      <c r="I858" s="256"/>
      <c r="J858" s="256"/>
      <c r="K858" s="38">
        <v>143178</v>
      </c>
      <c r="L858" s="194" t="s">
        <v>265</v>
      </c>
      <c r="M858" s="194" t="s">
        <v>429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850"/>
      <c r="AB858" s="594"/>
      <c r="AC858" s="594" t="str">
        <f t="shared" si="273"/>
        <v/>
      </c>
      <c r="AD858" s="211"/>
    </row>
    <row r="859" spans="1:30" ht="15.75" customHeight="1">
      <c r="A859" s="204" t="str">
        <f>IF(B859&lt;&gt;"",IF(AND(B859&gt;=_TM1,B859&lt;=_TM2,OR(TH!L859="1111",TH!M859="1111")),TH!D859,""),"")</f>
        <v/>
      </c>
      <c r="B859" s="36">
        <f t="shared" si="278"/>
        <v>9</v>
      </c>
      <c r="C859" s="191">
        <f t="shared" si="279"/>
        <v>41537</v>
      </c>
      <c r="D859" s="184" t="s">
        <v>1093</v>
      </c>
      <c r="E859" s="191">
        <v>41537</v>
      </c>
      <c r="F859" s="192" t="s">
        <v>885</v>
      </c>
      <c r="G859" s="487" t="s">
        <v>931</v>
      </c>
      <c r="H859" s="193" t="s">
        <v>863</v>
      </c>
      <c r="I859" s="256">
        <v>510</v>
      </c>
      <c r="J859" s="256">
        <v>8200</v>
      </c>
      <c r="K859" s="38">
        <f>ROUND(I859*J859,0)</f>
        <v>4182000</v>
      </c>
      <c r="L859" s="194" t="s">
        <v>265</v>
      </c>
      <c r="M859" s="194" t="s">
        <v>175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850"/>
      <c r="AB859" s="211"/>
      <c r="AC859" s="594"/>
      <c r="AD859" s="211"/>
    </row>
    <row r="860" spans="1:30" ht="15.75" customHeight="1">
      <c r="A860" s="204" t="str">
        <f>IF(B860&lt;&gt;"",IF(AND(B860&gt;=_TM1,B860&lt;=_TM2,OR(TH!L860="1111",TH!M860="1111")),TH!D860,""),"")</f>
        <v/>
      </c>
      <c r="B860" s="36">
        <f t="shared" si="278"/>
        <v>9</v>
      </c>
      <c r="C860" s="191">
        <f t="shared" si="279"/>
        <v>41537</v>
      </c>
      <c r="D860" s="184" t="s">
        <v>1093</v>
      </c>
      <c r="E860" s="191">
        <v>41537</v>
      </c>
      <c r="F860" s="192" t="s">
        <v>724</v>
      </c>
      <c r="G860" s="487" t="s">
        <v>931</v>
      </c>
      <c r="H860" s="193" t="s">
        <v>863</v>
      </c>
      <c r="I860" s="256"/>
      <c r="J860" s="256"/>
      <c r="K860" s="38">
        <v>418200</v>
      </c>
      <c r="L860" s="194" t="s">
        <v>265</v>
      </c>
      <c r="M860" s="194" t="s">
        <v>429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850"/>
      <c r="AB860" s="211"/>
      <c r="AC860" s="594" t="str">
        <f t="shared" si="273"/>
        <v/>
      </c>
      <c r="AD860" s="211"/>
    </row>
    <row r="861" spans="1:30" ht="15.75" customHeight="1">
      <c r="A861" s="204" t="str">
        <f>IF(B861&lt;&gt;"",IF(AND(B861&gt;=_TM1,B861&lt;=_TM2,OR(TH!L861="1111",TH!M861="1111")),TH!D861,""),"")</f>
        <v/>
      </c>
      <c r="B861" s="36">
        <f t="shared" si="278"/>
        <v>9</v>
      </c>
      <c r="C861" s="191">
        <f t="shared" si="279"/>
        <v>41538</v>
      </c>
      <c r="D861" s="184" t="s">
        <v>1094</v>
      </c>
      <c r="E861" s="191">
        <v>41538</v>
      </c>
      <c r="F861" s="192" t="s">
        <v>742</v>
      </c>
      <c r="G861" s="487" t="s">
        <v>932</v>
      </c>
      <c r="H861" s="193" t="s">
        <v>744</v>
      </c>
      <c r="I861" s="256">
        <v>331</v>
      </c>
      <c r="J861" s="256">
        <v>25000</v>
      </c>
      <c r="K861" s="38">
        <f>ROUND(I861*J861,0)</f>
        <v>8275000</v>
      </c>
      <c r="L861" s="194" t="s">
        <v>265</v>
      </c>
      <c r="M861" s="194" t="s">
        <v>175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850"/>
      <c r="AC861" s="594"/>
    </row>
    <row r="862" spans="1:30" ht="15.75" customHeight="1">
      <c r="A862" s="204" t="str">
        <f>IF(B862&lt;&gt;"",IF(AND(B862&gt;=_TM1,B862&lt;=_TM2,OR(TH!L862="1111",TH!M862="1111")),TH!D862,""),"")</f>
        <v/>
      </c>
      <c r="B862" s="36">
        <f t="shared" si="278"/>
        <v>9</v>
      </c>
      <c r="C862" s="191">
        <f t="shared" si="279"/>
        <v>41538</v>
      </c>
      <c r="D862" s="184" t="s">
        <v>1094</v>
      </c>
      <c r="E862" s="191">
        <v>41538</v>
      </c>
      <c r="F862" s="192" t="s">
        <v>724</v>
      </c>
      <c r="G862" s="487" t="s">
        <v>932</v>
      </c>
      <c r="H862" s="193" t="s">
        <v>744</v>
      </c>
      <c r="I862" s="256"/>
      <c r="J862" s="256"/>
      <c r="K862" s="38">
        <v>827500</v>
      </c>
      <c r="L862" s="194" t="s">
        <v>265</v>
      </c>
      <c r="M862" s="194" t="s">
        <v>429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850"/>
      <c r="AC862" s="594" t="str">
        <f t="shared" si="273"/>
        <v/>
      </c>
    </row>
    <row r="863" spans="1:30" ht="15.75" customHeight="1">
      <c r="A863" s="204" t="str">
        <f>IF(B863&lt;&gt;"",IF(AND(B863&gt;=_TM1,B863&lt;=_TM2,OR(TH!L863="1111",TH!M863="1111")),TH!D863,""),"")</f>
        <v/>
      </c>
      <c r="B863" s="36">
        <f t="shared" ref="B863" si="321">IF(C863&lt;&gt;"",MONTH(C863),"")</f>
        <v>9</v>
      </c>
      <c r="C863" s="191">
        <f t="shared" ref="C863" si="322">E863</f>
        <v>41538</v>
      </c>
      <c r="D863" s="184" t="s">
        <v>1094</v>
      </c>
      <c r="E863" s="191">
        <v>41538</v>
      </c>
      <c r="F863" s="189" t="s">
        <v>341</v>
      </c>
      <c r="G863" s="487" t="s">
        <v>932</v>
      </c>
      <c r="H863" s="193" t="s">
        <v>744</v>
      </c>
      <c r="I863" s="256"/>
      <c r="J863" s="256"/>
      <c r="K863" s="38">
        <v>9102500</v>
      </c>
      <c r="L863" s="194" t="s">
        <v>47</v>
      </c>
      <c r="M863" s="194" t="s">
        <v>265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850"/>
      <c r="AC863" s="594" t="str">
        <f t="shared" ref="AC863" si="323">IF(VLOOKUP(H863,DS_131,1,0)&lt;&gt;"","","x")</f>
        <v/>
      </c>
    </row>
    <row r="864" spans="1:30" ht="15.75" customHeight="1">
      <c r="A864" s="204" t="str">
        <f>IF(B864&lt;&gt;"",IF(AND(B864&gt;=_TM1,B864&lt;=_TM2,OR(TH!L864="1111",TH!M864="1111")),TH!D864,""),"")</f>
        <v/>
      </c>
      <c r="B864" s="36">
        <f t="shared" ref="B864:B865" si="324">IF(C864&lt;&gt;"",MONTH(C864),"")</f>
        <v>9</v>
      </c>
      <c r="C864" s="191">
        <f t="shared" ref="C864:C865" si="325">E864</f>
        <v>41540</v>
      </c>
      <c r="D864" s="184" t="s">
        <v>1095</v>
      </c>
      <c r="E864" s="191">
        <v>41540</v>
      </c>
      <c r="F864" s="192" t="s">
        <v>883</v>
      </c>
      <c r="G864" s="487" t="s">
        <v>1124</v>
      </c>
      <c r="H864" s="7" t="s">
        <v>541</v>
      </c>
      <c r="I864" s="256">
        <v>430</v>
      </c>
      <c r="J864" s="256">
        <v>8600</v>
      </c>
      <c r="K864" s="38">
        <f>ROUND(I864*J864,0)</f>
        <v>3698000</v>
      </c>
      <c r="L864" s="194" t="s">
        <v>265</v>
      </c>
      <c r="M864" s="194" t="s">
        <v>175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850"/>
      <c r="AC864" s="594"/>
    </row>
    <row r="865" spans="1:30" ht="15.75" customHeight="1">
      <c r="A865" s="204" t="str">
        <f>IF(B865&lt;&gt;"",IF(AND(B865&gt;=_TM1,B865&lt;=_TM2,OR(TH!L865="1111",TH!M865="1111")),TH!D865,""),"")</f>
        <v/>
      </c>
      <c r="B865" s="36">
        <f t="shared" si="324"/>
        <v>9</v>
      </c>
      <c r="C865" s="191">
        <f t="shared" si="325"/>
        <v>41540</v>
      </c>
      <c r="D865" s="184" t="s">
        <v>1095</v>
      </c>
      <c r="E865" s="191">
        <v>41540</v>
      </c>
      <c r="F865" s="192" t="s">
        <v>1132</v>
      </c>
      <c r="G865" s="487" t="s">
        <v>1124</v>
      </c>
      <c r="H865" s="7" t="s">
        <v>541</v>
      </c>
      <c r="I865" s="256">
        <v>200</v>
      </c>
      <c r="J865" s="256">
        <v>12900</v>
      </c>
      <c r="K865" s="38">
        <f>ROUND(I865*J865,0)</f>
        <v>2580000</v>
      </c>
      <c r="L865" s="194" t="s">
        <v>265</v>
      </c>
      <c r="M865" s="194" t="s">
        <v>175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850"/>
      <c r="AC865" s="594"/>
    </row>
    <row r="866" spans="1:30" ht="15.75" customHeight="1">
      <c r="A866" s="204" t="str">
        <f>IF(B866&lt;&gt;"",IF(AND(B866&gt;=_TM1,B866&lt;=_TM2,OR(TH!L866="1111",TH!M866="1111")),TH!D866,""),"")</f>
        <v/>
      </c>
      <c r="B866" s="36">
        <f t="shared" si="278"/>
        <v>9</v>
      </c>
      <c r="C866" s="191">
        <f t="shared" si="279"/>
        <v>41540</v>
      </c>
      <c r="D866" s="184" t="s">
        <v>1095</v>
      </c>
      <c r="E866" s="191">
        <v>41540</v>
      </c>
      <c r="F866" s="192" t="s">
        <v>1130</v>
      </c>
      <c r="G866" s="487" t="s">
        <v>1124</v>
      </c>
      <c r="H866" s="7" t="s">
        <v>541</v>
      </c>
      <c r="I866" s="256">
        <v>108</v>
      </c>
      <c r="J866" s="256">
        <v>13500</v>
      </c>
      <c r="K866" s="38">
        <f>ROUND(I866*J866,0)</f>
        <v>1458000</v>
      </c>
      <c r="L866" s="194" t="s">
        <v>265</v>
      </c>
      <c r="M866" s="194" t="s">
        <v>175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850"/>
      <c r="AC866" s="594"/>
    </row>
    <row r="867" spans="1:30" ht="15.75" customHeight="1">
      <c r="A867" s="204" t="str">
        <f>IF(B867&lt;&gt;"",IF(AND(B867&gt;=_TM1,B867&lt;=_TM2,OR(TH!L867="1111",TH!M867="1111")),TH!D867,""),"")</f>
        <v/>
      </c>
      <c r="B867" s="36">
        <f t="shared" ref="B867:B868" si="326">IF(C867&lt;&gt;"",MONTH(C867),"")</f>
        <v>9</v>
      </c>
      <c r="C867" s="191">
        <f t="shared" ref="C867:C868" si="327">E867</f>
        <v>41540</v>
      </c>
      <c r="D867" s="184" t="s">
        <v>1095</v>
      </c>
      <c r="E867" s="191">
        <v>41540</v>
      </c>
      <c r="F867" s="192" t="s">
        <v>1133</v>
      </c>
      <c r="G867" s="487" t="s">
        <v>1124</v>
      </c>
      <c r="H867" s="7" t="s">
        <v>541</v>
      </c>
      <c r="I867" s="256">
        <v>257</v>
      </c>
      <c r="J867" s="256">
        <v>7000</v>
      </c>
      <c r="K867" s="38">
        <f>ROUND(I867*J867,0)</f>
        <v>1799000</v>
      </c>
      <c r="L867" s="194" t="s">
        <v>265</v>
      </c>
      <c r="M867" s="194" t="s">
        <v>175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850"/>
      <c r="AC867" s="594"/>
    </row>
    <row r="868" spans="1:30" ht="15.75" customHeight="1">
      <c r="A868" s="204" t="str">
        <f>IF(B868&lt;&gt;"",IF(AND(B868&gt;=_TM1,B868&lt;=_TM2,OR(TH!L868="1111",TH!M868="1111")),TH!D868,""),"")</f>
        <v/>
      </c>
      <c r="B868" s="36">
        <f t="shared" si="326"/>
        <v>9</v>
      </c>
      <c r="C868" s="191">
        <f t="shared" si="327"/>
        <v>41540</v>
      </c>
      <c r="D868" s="184" t="s">
        <v>1095</v>
      </c>
      <c r="E868" s="191">
        <v>41540</v>
      </c>
      <c r="F868" s="192" t="s">
        <v>724</v>
      </c>
      <c r="G868" s="487" t="s">
        <v>1124</v>
      </c>
      <c r="H868" s="7" t="s">
        <v>541</v>
      </c>
      <c r="I868" s="256"/>
      <c r="J868" s="256"/>
      <c r="K868" s="38">
        <v>953500</v>
      </c>
      <c r="L868" s="194" t="s">
        <v>265</v>
      </c>
      <c r="M868" s="194" t="s">
        <v>429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850"/>
      <c r="AC868" s="594" t="str">
        <f t="shared" ref="AC868" si="328">IF(VLOOKUP(H868,DS_131,1,0)&lt;&gt;"","","x")</f>
        <v/>
      </c>
    </row>
    <row r="869" spans="1:30" ht="15.75" customHeight="1">
      <c r="A869" s="204" t="str">
        <f>IF(B869&lt;&gt;"",IF(AND(B869&gt;=_TM1,B869&lt;=_TM2,OR(TH!L869="1111",TH!M869="1111")),TH!D869,""),"")</f>
        <v/>
      </c>
      <c r="B869" s="36">
        <f t="shared" si="278"/>
        <v>9</v>
      </c>
      <c r="C869" s="191">
        <f t="shared" si="279"/>
        <v>41540</v>
      </c>
      <c r="D869" s="184" t="s">
        <v>1096</v>
      </c>
      <c r="E869" s="191">
        <v>41540</v>
      </c>
      <c r="F869" s="192" t="s">
        <v>815</v>
      </c>
      <c r="G869" s="487" t="s">
        <v>933</v>
      </c>
      <c r="H869" s="7" t="s">
        <v>1111</v>
      </c>
      <c r="I869" s="256">
        <v>424</v>
      </c>
      <c r="J869" s="256">
        <v>17300</v>
      </c>
      <c r="K869" s="38">
        <f>ROUND(I869*J869,0)</f>
        <v>7335200</v>
      </c>
      <c r="L869" s="194" t="s">
        <v>265</v>
      </c>
      <c r="M869" s="194" t="s">
        <v>175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850"/>
      <c r="AC869" s="594"/>
    </row>
    <row r="870" spans="1:30" ht="15.75" customHeight="1">
      <c r="A870" s="204" t="str">
        <f>IF(B870&lt;&gt;"",IF(AND(B870&gt;=_TM1,B870&lt;=_TM2,OR(TH!L870="1111",TH!M870="1111")),TH!D870,""),"")</f>
        <v/>
      </c>
      <c r="B870" s="36">
        <f t="shared" si="278"/>
        <v>9</v>
      </c>
      <c r="C870" s="191">
        <f t="shared" si="279"/>
        <v>41540</v>
      </c>
      <c r="D870" s="184" t="s">
        <v>1096</v>
      </c>
      <c r="E870" s="191">
        <v>41540</v>
      </c>
      <c r="F870" s="192" t="s">
        <v>724</v>
      </c>
      <c r="G870" s="487" t="s">
        <v>933</v>
      </c>
      <c r="H870" s="7" t="s">
        <v>1111</v>
      </c>
      <c r="I870" s="256"/>
      <c r="J870" s="256"/>
      <c r="K870" s="38">
        <v>733520</v>
      </c>
      <c r="L870" s="194" t="s">
        <v>265</v>
      </c>
      <c r="M870" s="194" t="s">
        <v>429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850"/>
      <c r="AC870" s="594" t="str">
        <f t="shared" si="273"/>
        <v/>
      </c>
    </row>
    <row r="871" spans="1:30" ht="15.75" customHeight="1">
      <c r="A871" s="204" t="str">
        <f>IF(B871&lt;&gt;"",IF(AND(B871&gt;=_TM1,B871&lt;=_TM2,OR(TH!L871="1111",TH!M871="1111")),TH!D871,""),"")</f>
        <v/>
      </c>
      <c r="B871" s="36">
        <f t="shared" si="278"/>
        <v>9</v>
      </c>
      <c r="C871" s="191">
        <f t="shared" si="279"/>
        <v>41540</v>
      </c>
      <c r="D871" s="184" t="s">
        <v>1097</v>
      </c>
      <c r="E871" s="191">
        <v>41540</v>
      </c>
      <c r="F871" s="192" t="s">
        <v>887</v>
      </c>
      <c r="G871" s="487" t="s">
        <v>934</v>
      </c>
      <c r="H871" s="7" t="s">
        <v>863</v>
      </c>
      <c r="I871" s="256">
        <v>980</v>
      </c>
      <c r="J871" s="256">
        <v>6300</v>
      </c>
      <c r="K871" s="38">
        <f>ROUND(I871*J871,0)</f>
        <v>6174000</v>
      </c>
      <c r="L871" s="194" t="s">
        <v>265</v>
      </c>
      <c r="M871" s="194" t="s">
        <v>175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850"/>
      <c r="AC871" s="594"/>
    </row>
    <row r="872" spans="1:30" ht="15.75" customHeight="1">
      <c r="A872" s="204" t="str">
        <f>IF(B872&lt;&gt;"",IF(AND(B872&gt;=_TM1,B872&lt;=_TM2,OR(TH!L872="1111",TH!M872="1111")),TH!D872,""),"")</f>
        <v/>
      </c>
      <c r="B872" s="36">
        <f t="shared" si="278"/>
        <v>9</v>
      </c>
      <c r="C872" s="191">
        <f t="shared" si="279"/>
        <v>41540</v>
      </c>
      <c r="D872" s="184" t="s">
        <v>1097</v>
      </c>
      <c r="E872" s="191">
        <v>41540</v>
      </c>
      <c r="F872" s="192" t="s">
        <v>724</v>
      </c>
      <c r="G872" s="487" t="s">
        <v>934</v>
      </c>
      <c r="H872" s="7" t="s">
        <v>863</v>
      </c>
      <c r="I872" s="256"/>
      <c r="J872" s="256"/>
      <c r="K872" s="38">
        <v>617400</v>
      </c>
      <c r="L872" s="194" t="s">
        <v>265</v>
      </c>
      <c r="M872" s="194" t="s">
        <v>429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850"/>
      <c r="AB872" s="211"/>
      <c r="AC872" s="594" t="str">
        <f t="shared" si="273"/>
        <v/>
      </c>
      <c r="AD872" s="211"/>
    </row>
    <row r="873" spans="1:30" ht="15.75" customHeight="1">
      <c r="A873" s="204" t="str">
        <f>IF(B873&lt;&gt;"",IF(AND(B873&gt;=_TM1,B873&lt;=_TM2,OR(TH!L873="1111",TH!M873="1111")),TH!D873,""),"")</f>
        <v/>
      </c>
      <c r="B873" s="36">
        <f t="shared" si="278"/>
        <v>9</v>
      </c>
      <c r="C873" s="191">
        <f t="shared" si="279"/>
        <v>41542</v>
      </c>
      <c r="D873" s="184" t="s">
        <v>1098</v>
      </c>
      <c r="E873" s="191">
        <v>41542</v>
      </c>
      <c r="F873" s="192" t="s">
        <v>1148</v>
      </c>
      <c r="G873" s="487" t="s">
        <v>935</v>
      </c>
      <c r="H873" s="7" t="s">
        <v>894</v>
      </c>
      <c r="I873" s="256">
        <v>2700</v>
      </c>
      <c r="J873" s="256">
        <v>4700</v>
      </c>
      <c r="K873" s="38">
        <f>ROUND(I873*J873,0)</f>
        <v>12690000</v>
      </c>
      <c r="L873" s="194" t="s">
        <v>265</v>
      </c>
      <c r="M873" s="194" t="s">
        <v>175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850"/>
      <c r="AB873" s="594"/>
      <c r="AC873" s="594"/>
      <c r="AD873" s="211"/>
    </row>
    <row r="874" spans="1:30" ht="15.75" customHeight="1">
      <c r="A874" s="204" t="str">
        <f>IF(B874&lt;&gt;"",IF(AND(B874&gt;=_TM1,B874&lt;=_TM2,OR(TH!L874="1111",TH!M874="1111")),TH!D874,""),"")</f>
        <v/>
      </c>
      <c r="B874" s="36">
        <f t="shared" si="278"/>
        <v>9</v>
      </c>
      <c r="C874" s="191">
        <f t="shared" si="279"/>
        <v>41542</v>
      </c>
      <c r="D874" s="184" t="s">
        <v>1098</v>
      </c>
      <c r="E874" s="191">
        <v>41542</v>
      </c>
      <c r="F874" s="192" t="s">
        <v>724</v>
      </c>
      <c r="G874" s="487" t="s">
        <v>935</v>
      </c>
      <c r="H874" s="193" t="s">
        <v>894</v>
      </c>
      <c r="I874" s="256"/>
      <c r="J874" s="256"/>
      <c r="K874" s="38">
        <v>1269000</v>
      </c>
      <c r="L874" s="194" t="s">
        <v>265</v>
      </c>
      <c r="M874" s="194" t="s">
        <v>429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850"/>
      <c r="AB874" s="211"/>
      <c r="AC874" s="594" t="str">
        <f t="shared" si="273"/>
        <v/>
      </c>
      <c r="AD874" s="666"/>
    </row>
    <row r="875" spans="1:30" ht="15.75" customHeight="1">
      <c r="A875" s="204" t="str">
        <f>IF(B875&lt;&gt;"",IF(AND(B875&gt;=_TM1,B875&lt;=_TM2,OR(TH!L875="1111",TH!M875="1111")),TH!D875,""),"")</f>
        <v/>
      </c>
      <c r="B875" s="36">
        <f t="shared" si="278"/>
        <v>9</v>
      </c>
      <c r="C875" s="191">
        <f t="shared" si="279"/>
        <v>41543</v>
      </c>
      <c r="D875" s="184" t="s">
        <v>1099</v>
      </c>
      <c r="E875" s="191">
        <v>41543</v>
      </c>
      <c r="F875" s="192" t="s">
        <v>1151</v>
      </c>
      <c r="G875" s="192" t="s">
        <v>936</v>
      </c>
      <c r="H875" s="193" t="s">
        <v>894</v>
      </c>
      <c r="I875" s="256">
        <v>3500</v>
      </c>
      <c r="J875" s="256">
        <v>4080</v>
      </c>
      <c r="K875" s="38">
        <f>ROUND(I875*J875,0)</f>
        <v>14280000</v>
      </c>
      <c r="L875" s="194" t="s">
        <v>265</v>
      </c>
      <c r="M875" s="194" t="s">
        <v>175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850"/>
      <c r="AB875" s="594"/>
      <c r="AC875" s="594"/>
      <c r="AD875" s="211"/>
    </row>
    <row r="876" spans="1:30" ht="15.75" customHeight="1">
      <c r="A876" s="204" t="str">
        <f>IF(B876&lt;&gt;"",IF(AND(B876&gt;=_TM1,B876&lt;=_TM2,OR(TH!L876="1111",TH!M876="1111")),TH!D876,""),"")</f>
        <v/>
      </c>
      <c r="B876" s="36">
        <f t="shared" si="278"/>
        <v>9</v>
      </c>
      <c r="C876" s="191">
        <f t="shared" si="279"/>
        <v>41543</v>
      </c>
      <c r="D876" s="184" t="s">
        <v>1099</v>
      </c>
      <c r="E876" s="191">
        <v>41543</v>
      </c>
      <c r="F876" s="192" t="s">
        <v>724</v>
      </c>
      <c r="G876" s="192" t="s">
        <v>936</v>
      </c>
      <c r="H876" s="193" t="s">
        <v>894</v>
      </c>
      <c r="I876" s="256"/>
      <c r="J876" s="256"/>
      <c r="K876" s="38">
        <v>1428000</v>
      </c>
      <c r="L876" s="194" t="s">
        <v>265</v>
      </c>
      <c r="M876" s="194" t="s">
        <v>429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850"/>
      <c r="AB876" s="211"/>
      <c r="AC876" s="594" t="str">
        <f t="shared" si="273"/>
        <v/>
      </c>
      <c r="AD876" s="211"/>
    </row>
    <row r="877" spans="1:30" ht="15.75" customHeight="1">
      <c r="A877" s="204" t="str">
        <f>IF(B877&lt;&gt;"",IF(AND(B877&gt;=_TM1,B877&lt;=_TM2,OR(TH!L877="1111",TH!M877="1111")),TH!D877,""),"")</f>
        <v/>
      </c>
      <c r="B877" s="36">
        <f t="shared" si="278"/>
        <v>9</v>
      </c>
      <c r="C877" s="191">
        <f t="shared" si="279"/>
        <v>41547</v>
      </c>
      <c r="D877" s="184" t="s">
        <v>1100</v>
      </c>
      <c r="E877" s="191">
        <v>41547</v>
      </c>
      <c r="F877" s="192" t="s">
        <v>836</v>
      </c>
      <c r="G877" s="487" t="s">
        <v>937</v>
      </c>
      <c r="H877" s="193" t="s">
        <v>741</v>
      </c>
      <c r="I877" s="256">
        <v>1004</v>
      </c>
      <c r="J877" s="256">
        <v>10500</v>
      </c>
      <c r="K877" s="38">
        <f>ROUND(I877*J877,0)</f>
        <v>10542000</v>
      </c>
      <c r="L877" s="194" t="s">
        <v>265</v>
      </c>
      <c r="M877" s="194" t="s">
        <v>175</v>
      </c>
      <c r="N877" s="52" t="str">
        <f>IF(AND('331-CT'!$E$7=TH!H877,OR(L877="331",M877="331")),"331",IF(AND(OR(L877="131",M877="131"),H877='131-CT'!$E$7),"131",""))</f>
        <v>131</v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850"/>
      <c r="AB877" s="594"/>
      <c r="AC877" s="594"/>
      <c r="AD877" s="211"/>
    </row>
    <row r="878" spans="1:30" ht="15.75" customHeight="1">
      <c r="A878" s="204" t="str">
        <f>IF(B878&lt;&gt;"",IF(AND(B878&gt;=_TM1,B878&lt;=_TM2,OR(TH!L878="1111",TH!M878="1111")),TH!D878,""),"")</f>
        <v/>
      </c>
      <c r="B878" s="36">
        <f t="shared" si="278"/>
        <v>9</v>
      </c>
      <c r="C878" s="191">
        <f t="shared" si="279"/>
        <v>41547</v>
      </c>
      <c r="D878" s="184" t="s">
        <v>1100</v>
      </c>
      <c r="E878" s="191">
        <v>41547</v>
      </c>
      <c r="F878" s="192" t="s">
        <v>724</v>
      </c>
      <c r="G878" s="487" t="s">
        <v>937</v>
      </c>
      <c r="H878" s="193" t="s">
        <v>741</v>
      </c>
      <c r="I878" s="256"/>
      <c r="J878" s="256"/>
      <c r="K878" s="38">
        <v>1054200</v>
      </c>
      <c r="L878" s="194" t="s">
        <v>265</v>
      </c>
      <c r="M878" s="194" t="s">
        <v>429</v>
      </c>
      <c r="N878" s="52" t="str">
        <f>IF(AND('331-CT'!$E$7=TH!H878,OR(L878="331",M878="331")),"331",IF(AND(OR(L878="131",M878="131"),H878='131-CT'!$E$7),"131",""))</f>
        <v>131</v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850"/>
      <c r="AB878" s="211"/>
      <c r="AC878" s="594" t="str">
        <f t="shared" si="273"/>
        <v/>
      </c>
      <c r="AD878" s="211"/>
    </row>
    <row r="879" spans="1:30" ht="15.75" customHeight="1">
      <c r="A879" s="204" t="str">
        <f>IF(B879&lt;&gt;"",IF(AND(B879&gt;=_TM1,B879&lt;=_TM2,OR(TH!L879="1111",TH!M879="1111")),TH!D879,""),"")</f>
        <v/>
      </c>
      <c r="B879" s="36">
        <f t="shared" ref="B879" si="329">IF(C879&lt;&gt;"",MONTH(C879),"")</f>
        <v>9</v>
      </c>
      <c r="C879" s="191">
        <f t="shared" ref="C879" si="330">E879</f>
        <v>41547</v>
      </c>
      <c r="D879" s="184" t="s">
        <v>1100</v>
      </c>
      <c r="E879" s="191">
        <v>41547</v>
      </c>
      <c r="F879" s="189" t="s">
        <v>341</v>
      </c>
      <c r="G879" s="487" t="s">
        <v>937</v>
      </c>
      <c r="H879" s="193" t="s">
        <v>741</v>
      </c>
      <c r="I879" s="256"/>
      <c r="J879" s="256"/>
      <c r="K879" s="38">
        <v>11596200</v>
      </c>
      <c r="L879" s="194" t="s">
        <v>47</v>
      </c>
      <c r="M879" s="194" t="s">
        <v>265</v>
      </c>
      <c r="N879" s="52" t="str">
        <f>IF(AND('331-CT'!$E$7=TH!H879,OR(L879="331",M879="331")),"331",IF(AND(OR(L879="131",M879="131"),H879='131-CT'!$E$7),"131",""))</f>
        <v>131</v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850"/>
      <c r="AB879" s="211"/>
      <c r="AC879" s="594" t="str">
        <f t="shared" ref="AC879" si="331">IF(VLOOKUP(H879,DS_131,1,0)&lt;&gt;"","","x")</f>
        <v/>
      </c>
      <c r="AD879" s="211"/>
    </row>
    <row r="880" spans="1:30" ht="15.75" customHeight="1">
      <c r="A880" s="204" t="str">
        <f>IF(B880&lt;&gt;"",IF(AND(B880&gt;=_TM1,B880&lt;=_TM2,OR(TH!L880="1111",TH!M880="1111")),TH!D880,""),"")</f>
        <v/>
      </c>
      <c r="B880" s="36">
        <f t="shared" si="278"/>
        <v>9</v>
      </c>
      <c r="C880" s="191">
        <f t="shared" si="279"/>
        <v>41547</v>
      </c>
      <c r="D880" s="184" t="s">
        <v>1101</v>
      </c>
      <c r="E880" s="191">
        <v>41547</v>
      </c>
      <c r="F880" s="192" t="s">
        <v>938</v>
      </c>
      <c r="G880" s="487" t="s">
        <v>939</v>
      </c>
      <c r="H880" s="193" t="s">
        <v>548</v>
      </c>
      <c r="I880" s="256">
        <v>525</v>
      </c>
      <c r="J880" s="256">
        <v>18600</v>
      </c>
      <c r="K880" s="38">
        <f t="shared" ref="K880:K881" si="332">ROUND(I880*J880,0)</f>
        <v>9765000</v>
      </c>
      <c r="L880" s="194" t="s">
        <v>265</v>
      </c>
      <c r="M880" s="194" t="s">
        <v>175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850"/>
      <c r="AB880" s="594"/>
      <c r="AC880" s="594"/>
      <c r="AD880" s="211"/>
    </row>
    <row r="881" spans="1:30" ht="15.75" customHeight="1">
      <c r="A881" s="204" t="str">
        <f>IF(B881&lt;&gt;"",IF(AND(B881&gt;=_TM1,B881&lt;=_TM2,OR(TH!L881="1111",TH!M881="1111")),TH!D881,""),"")</f>
        <v/>
      </c>
      <c r="B881" s="36">
        <f t="shared" si="278"/>
        <v>9</v>
      </c>
      <c r="C881" s="191">
        <f t="shared" si="279"/>
        <v>41547</v>
      </c>
      <c r="D881" s="184" t="s">
        <v>1101</v>
      </c>
      <c r="E881" s="191">
        <v>41547</v>
      </c>
      <c r="F881" s="192" t="s">
        <v>940</v>
      </c>
      <c r="G881" s="487" t="s">
        <v>939</v>
      </c>
      <c r="H881" s="193" t="s">
        <v>548</v>
      </c>
      <c r="I881" s="256">
        <v>344</v>
      </c>
      <c r="J881" s="256">
        <v>16300</v>
      </c>
      <c r="K881" s="38">
        <f t="shared" si="332"/>
        <v>5607200</v>
      </c>
      <c r="L881" s="194" t="s">
        <v>265</v>
      </c>
      <c r="M881" s="194" t="s">
        <v>175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850"/>
      <c r="AB881" s="211"/>
      <c r="AC881" s="594"/>
      <c r="AD881" s="211"/>
    </row>
    <row r="882" spans="1:30" ht="15.75" customHeight="1">
      <c r="A882" s="204" t="str">
        <f>IF(B882&lt;&gt;"",IF(AND(B882&gt;=_TM1,B882&lt;=_TM2,OR(TH!L882="1111",TH!M882="1111")),TH!D882,""),"")</f>
        <v/>
      </c>
      <c r="B882" s="36">
        <f t="shared" si="278"/>
        <v>9</v>
      </c>
      <c r="C882" s="191">
        <f t="shared" si="279"/>
        <v>41547</v>
      </c>
      <c r="D882" s="184" t="s">
        <v>1101</v>
      </c>
      <c r="E882" s="191">
        <v>41547</v>
      </c>
      <c r="F882" s="192" t="s">
        <v>724</v>
      </c>
      <c r="G882" s="487" t="s">
        <v>939</v>
      </c>
      <c r="H882" s="193" t="s">
        <v>548</v>
      </c>
      <c r="I882" s="256"/>
      <c r="J882" s="256"/>
      <c r="K882" s="38">
        <v>1537220</v>
      </c>
      <c r="L882" s="194" t="s">
        <v>265</v>
      </c>
      <c r="M882" s="194" t="s">
        <v>429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850"/>
      <c r="AB882" s="211"/>
      <c r="AC882" s="594" t="str">
        <f t="shared" si="273"/>
        <v/>
      </c>
      <c r="AD882" s="211"/>
    </row>
    <row r="883" spans="1:30" ht="15.75" customHeight="1">
      <c r="A883" s="204" t="str">
        <f>IF(B883&lt;&gt;"",IF(AND(B883&gt;=_TM1,B883&lt;=_TM2,OR(TH!L883="1111",TH!M883="1111")),TH!D883,""),"")</f>
        <v/>
      </c>
      <c r="B883" s="36">
        <f t="shared" si="278"/>
        <v>9</v>
      </c>
      <c r="C883" s="191">
        <f t="shared" si="279"/>
        <v>41547</v>
      </c>
      <c r="D883" s="184" t="s">
        <v>1102</v>
      </c>
      <c r="E883" s="191">
        <v>41547</v>
      </c>
      <c r="F883" s="192" t="s">
        <v>941</v>
      </c>
      <c r="G883" s="487" t="s">
        <v>942</v>
      </c>
      <c r="H883" s="7" t="s">
        <v>1109</v>
      </c>
      <c r="I883" s="256">
        <v>499</v>
      </c>
      <c r="J883" s="256">
        <v>9470</v>
      </c>
      <c r="K883" s="38">
        <f t="shared" ref="K883:K886" si="333">ROUND(I883*J883,0)</f>
        <v>4725530</v>
      </c>
      <c r="L883" s="194" t="s">
        <v>265</v>
      </c>
      <c r="M883" s="194" t="s">
        <v>175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850"/>
      <c r="AC883" s="594"/>
    </row>
    <row r="884" spans="1:30" ht="15.75" customHeight="1">
      <c r="A884" s="204" t="str">
        <f>IF(B884&lt;&gt;"",IF(AND(B884&gt;=_TM1,B884&lt;=_TM2,OR(TH!L884="1111",TH!M884="1111")),TH!D884,""),"")</f>
        <v/>
      </c>
      <c r="B884" s="36">
        <f t="shared" si="278"/>
        <v>9</v>
      </c>
      <c r="C884" s="191">
        <f t="shared" si="279"/>
        <v>41547</v>
      </c>
      <c r="D884" s="184" t="s">
        <v>1102</v>
      </c>
      <c r="E884" s="191">
        <v>41547</v>
      </c>
      <c r="F884" s="192" t="s">
        <v>943</v>
      </c>
      <c r="G884" s="487" t="s">
        <v>942</v>
      </c>
      <c r="H884" s="7" t="s">
        <v>1109</v>
      </c>
      <c r="I884" s="256">
        <v>503</v>
      </c>
      <c r="J884" s="256">
        <v>4600</v>
      </c>
      <c r="K884" s="38">
        <f t="shared" si="333"/>
        <v>2313800</v>
      </c>
      <c r="L884" s="194" t="s">
        <v>265</v>
      </c>
      <c r="M884" s="194" t="s">
        <v>175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850"/>
      <c r="AC884" s="594"/>
    </row>
    <row r="885" spans="1:30" ht="15.75" customHeight="1">
      <c r="A885" s="204" t="str">
        <f>IF(B885&lt;&gt;"",IF(AND(B885&gt;=_TM1,B885&lt;=_TM2,OR(TH!L885="1111",TH!M885="1111")),TH!D885,""),"")</f>
        <v/>
      </c>
      <c r="B885" s="36">
        <f t="shared" si="278"/>
        <v>9</v>
      </c>
      <c r="C885" s="191">
        <f t="shared" si="279"/>
        <v>41547</v>
      </c>
      <c r="D885" s="184" t="s">
        <v>1102</v>
      </c>
      <c r="E885" s="191">
        <v>41547</v>
      </c>
      <c r="F885" s="192" t="s">
        <v>943</v>
      </c>
      <c r="G885" s="487" t="s">
        <v>942</v>
      </c>
      <c r="H885" s="7" t="s">
        <v>1109</v>
      </c>
      <c r="I885" s="256">
        <v>503</v>
      </c>
      <c r="J885" s="256">
        <v>4600</v>
      </c>
      <c r="K885" s="38">
        <f t="shared" si="333"/>
        <v>2313800</v>
      </c>
      <c r="L885" s="194" t="s">
        <v>265</v>
      </c>
      <c r="M885" s="194" t="s">
        <v>175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850"/>
      <c r="AC885" s="594"/>
    </row>
    <row r="886" spans="1:30" ht="15.75" customHeight="1">
      <c r="A886" s="204" t="str">
        <f>IF(B886&lt;&gt;"",IF(AND(B886&gt;=_TM1,B886&lt;=_TM2,OR(TH!L886="1111",TH!M886="1111")),TH!D886,""),"")</f>
        <v/>
      </c>
      <c r="B886" s="36">
        <f t="shared" si="278"/>
        <v>9</v>
      </c>
      <c r="C886" s="191">
        <f t="shared" si="279"/>
        <v>41547</v>
      </c>
      <c r="D886" s="184" t="s">
        <v>1102</v>
      </c>
      <c r="E886" s="191">
        <v>41547</v>
      </c>
      <c r="F886" s="192" t="s">
        <v>944</v>
      </c>
      <c r="G886" s="487" t="s">
        <v>942</v>
      </c>
      <c r="H886" s="7" t="s">
        <v>1109</v>
      </c>
      <c r="I886" s="256">
        <v>510</v>
      </c>
      <c r="J886" s="256">
        <v>4980</v>
      </c>
      <c r="K886" s="38">
        <f t="shared" si="333"/>
        <v>2539800</v>
      </c>
      <c r="L886" s="194" t="s">
        <v>265</v>
      </c>
      <c r="M886" s="194" t="s">
        <v>175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850"/>
      <c r="AC886" s="594"/>
    </row>
    <row r="887" spans="1:30" ht="15.75" customHeight="1">
      <c r="A887" s="204" t="str">
        <f>IF(B887&lt;&gt;"",IF(AND(B887&gt;=_TM1,B887&lt;=_TM2,OR(TH!L887="1111",TH!M887="1111")),TH!D887,""),"")</f>
        <v/>
      </c>
      <c r="B887" s="36">
        <f t="shared" si="278"/>
        <v>9</v>
      </c>
      <c r="C887" s="191">
        <f t="shared" si="279"/>
        <v>41547</v>
      </c>
      <c r="D887" s="184" t="s">
        <v>1102</v>
      </c>
      <c r="E887" s="191">
        <v>41547</v>
      </c>
      <c r="F887" s="192" t="s">
        <v>724</v>
      </c>
      <c r="G887" s="487" t="s">
        <v>942</v>
      </c>
      <c r="H887" s="7" t="s">
        <v>1109</v>
      </c>
      <c r="I887" s="256"/>
      <c r="J887" s="256"/>
      <c r="K887" s="38">
        <v>1189293</v>
      </c>
      <c r="L887" s="194" t="s">
        <v>265</v>
      </c>
      <c r="M887" s="194" t="s">
        <v>429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850"/>
      <c r="AC887" s="594" t="str">
        <f t="shared" ref="AC887:AC945" si="334">IF(VLOOKUP(H887,DS_131,1,0)&lt;&gt;"","","x")</f>
        <v/>
      </c>
    </row>
    <row r="888" spans="1:30" ht="15.75" customHeight="1">
      <c r="A888" s="204" t="str">
        <f>IF(B888&lt;&gt;"",IF(AND(B888&gt;=_TM1,B888&lt;=_TM2,OR(TH!L888="1111",TH!M888="1111")),TH!D888,""),"")</f>
        <v/>
      </c>
      <c r="B888" s="36">
        <f t="shared" ref="B888" si="335">IF(C888&lt;&gt;"",MONTH(C888),"")</f>
        <v>9</v>
      </c>
      <c r="C888" s="191">
        <f t="shared" ref="C888" si="336">E888</f>
        <v>41547</v>
      </c>
      <c r="D888" s="184" t="s">
        <v>1102</v>
      </c>
      <c r="E888" s="191">
        <v>41547</v>
      </c>
      <c r="F888" s="189" t="s">
        <v>341</v>
      </c>
      <c r="G888" s="487" t="s">
        <v>942</v>
      </c>
      <c r="H888" s="7" t="s">
        <v>1109</v>
      </c>
      <c r="I888" s="256"/>
      <c r="J888" s="256"/>
      <c r="K888" s="38">
        <v>13082223</v>
      </c>
      <c r="L888" s="194" t="s">
        <v>47</v>
      </c>
      <c r="M888" s="194" t="s">
        <v>265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>x</v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850"/>
      <c r="AC888" s="594" t="str">
        <f t="shared" ref="AC888" si="337">IF(VLOOKUP(H888,DS_131,1,0)&lt;&gt;"","","x")</f>
        <v/>
      </c>
    </row>
    <row r="889" spans="1:30" ht="15.75" customHeight="1">
      <c r="A889" s="204" t="str">
        <f>IF(B889&lt;&gt;"",IF(AND(B889&gt;=_TM1,B889&lt;=_TM2,OR(TH!L889="1111",TH!M889="1111")),TH!D889,""),"")</f>
        <v/>
      </c>
      <c r="B889" s="36">
        <f t="shared" si="278"/>
        <v>9</v>
      </c>
      <c r="C889" s="191">
        <f t="shared" si="279"/>
        <v>41547</v>
      </c>
      <c r="D889" s="184" t="s">
        <v>1103</v>
      </c>
      <c r="E889" s="191">
        <v>41547</v>
      </c>
      <c r="F889" s="192" t="s">
        <v>1135</v>
      </c>
      <c r="G889" s="487" t="s">
        <v>945</v>
      </c>
      <c r="H889" s="7" t="s">
        <v>431</v>
      </c>
      <c r="I889" s="256">
        <v>2700</v>
      </c>
      <c r="J889" s="256">
        <v>6250</v>
      </c>
      <c r="K889" s="38">
        <f>ROUND(I889*J889,0)</f>
        <v>16875000</v>
      </c>
      <c r="L889" s="194" t="s">
        <v>265</v>
      </c>
      <c r="M889" s="194" t="s">
        <v>175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850"/>
      <c r="AC889" s="594"/>
    </row>
    <row r="890" spans="1:30" ht="15.75" customHeight="1">
      <c r="A890" s="204" t="str">
        <f>IF(B890&lt;&gt;"",IF(AND(B890&gt;=_TM1,B890&lt;=_TM2,OR(TH!L890="1111",TH!M890="1111")),TH!D890,""),"")</f>
        <v/>
      </c>
      <c r="B890" s="36">
        <f t="shared" si="278"/>
        <v>9</v>
      </c>
      <c r="C890" s="191">
        <f t="shared" si="279"/>
        <v>41547</v>
      </c>
      <c r="D890" s="184" t="s">
        <v>1103</v>
      </c>
      <c r="E890" s="191">
        <v>41547</v>
      </c>
      <c r="F890" s="192" t="s">
        <v>724</v>
      </c>
      <c r="G890" s="487" t="s">
        <v>945</v>
      </c>
      <c r="H890" s="7" t="s">
        <v>431</v>
      </c>
      <c r="I890" s="256"/>
      <c r="J890" s="256"/>
      <c r="K890" s="38">
        <v>1687500</v>
      </c>
      <c r="L890" s="194" t="s">
        <v>265</v>
      </c>
      <c r="M890" s="194" t="s">
        <v>429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850"/>
      <c r="AC890" s="594" t="str">
        <f t="shared" si="334"/>
        <v/>
      </c>
    </row>
    <row r="891" spans="1:30" ht="15.75" customHeight="1">
      <c r="A891" s="204" t="str">
        <f>IF(B891&lt;&gt;"",IF(AND(B891&gt;=_TM1,B891&lt;=_TM2,OR(TH!L891="1111",TH!M891="1111")),TH!D891,""),"")</f>
        <v/>
      </c>
      <c r="B891" s="36">
        <f t="shared" si="278"/>
        <v>10</v>
      </c>
      <c r="C891" s="191">
        <f t="shared" si="279"/>
        <v>41548</v>
      </c>
      <c r="D891" s="184" t="s">
        <v>1045</v>
      </c>
      <c r="E891" s="191">
        <v>41548</v>
      </c>
      <c r="F891" s="192" t="s">
        <v>938</v>
      </c>
      <c r="G891" s="487" t="s">
        <v>946</v>
      </c>
      <c r="H891" s="7" t="s">
        <v>548</v>
      </c>
      <c r="I891" s="256">
        <v>60</v>
      </c>
      <c r="J891" s="256">
        <v>18600</v>
      </c>
      <c r="K891" s="38">
        <f t="shared" ref="K891:K892" si="338">ROUND(I891*J891,0)</f>
        <v>1116000</v>
      </c>
      <c r="L891" s="194" t="s">
        <v>265</v>
      </c>
      <c r="M891" s="194" t="s">
        <v>175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50"/>
      <c r="AB891" s="211"/>
      <c r="AC891" s="594"/>
      <c r="AD891" s="211"/>
    </row>
    <row r="892" spans="1:30" ht="15.75" customHeight="1">
      <c r="A892" s="204" t="str">
        <f>IF(B892&lt;&gt;"",IF(AND(B892&gt;=_TM1,B892&lt;=_TM2,OR(TH!L892="1111",TH!M892="1111")),TH!D892,""),"")</f>
        <v/>
      </c>
      <c r="B892" s="36">
        <f t="shared" si="278"/>
        <v>10</v>
      </c>
      <c r="C892" s="191">
        <f t="shared" si="279"/>
        <v>41548</v>
      </c>
      <c r="D892" s="184" t="s">
        <v>1045</v>
      </c>
      <c r="E892" s="191">
        <v>41548</v>
      </c>
      <c r="F892" s="192" t="s">
        <v>940</v>
      </c>
      <c r="G892" s="487" t="s">
        <v>946</v>
      </c>
      <c r="H892" s="7" t="s">
        <v>548</v>
      </c>
      <c r="I892" s="256">
        <v>98</v>
      </c>
      <c r="J892" s="256">
        <v>16300</v>
      </c>
      <c r="K892" s="38">
        <f t="shared" si="338"/>
        <v>1597400</v>
      </c>
      <c r="L892" s="194" t="s">
        <v>265</v>
      </c>
      <c r="M892" s="194" t="s">
        <v>175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50"/>
      <c r="AB892" s="211"/>
      <c r="AC892" s="594"/>
      <c r="AD892" s="211"/>
    </row>
    <row r="893" spans="1:30" ht="15.75" customHeight="1">
      <c r="A893" s="204" t="str">
        <f>IF(B893&lt;&gt;"",IF(AND(B893&gt;=_TM1,B893&lt;=_TM2,OR(TH!L893="1111",TH!M893="1111")),TH!D893,""),"")</f>
        <v/>
      </c>
      <c r="B893" s="36">
        <f t="shared" ref="B893:B961" si="339">IF(C893&lt;&gt;"",MONTH(C893),"")</f>
        <v>10</v>
      </c>
      <c r="C893" s="191">
        <f t="shared" si="279"/>
        <v>41548</v>
      </c>
      <c r="D893" s="184" t="s">
        <v>1045</v>
      </c>
      <c r="E893" s="191">
        <v>41548</v>
      </c>
      <c r="F893" s="192" t="s">
        <v>724</v>
      </c>
      <c r="G893" s="487" t="s">
        <v>946</v>
      </c>
      <c r="H893" s="7" t="s">
        <v>548</v>
      </c>
      <c r="I893" s="256"/>
      <c r="J893" s="256"/>
      <c r="K893" s="38">
        <v>271340</v>
      </c>
      <c r="L893" s="194" t="s">
        <v>265</v>
      </c>
      <c r="M893" s="194" t="s">
        <v>429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50"/>
      <c r="AB893" s="211"/>
      <c r="AC893" s="594" t="str">
        <f t="shared" si="334"/>
        <v/>
      </c>
      <c r="AD893" s="211"/>
    </row>
    <row r="894" spans="1:30" ht="15.75" customHeight="1">
      <c r="A894" s="204" t="str">
        <f>IF(B894&lt;&gt;"",IF(AND(B894&gt;=_TM1,B894&lt;=_TM2,OR(TH!L894="1111",TH!M894="1111")),TH!D894,""),"")</f>
        <v/>
      </c>
      <c r="B894" s="36">
        <f t="shared" si="339"/>
        <v>10</v>
      </c>
      <c r="C894" s="191">
        <f t="shared" si="279"/>
        <v>41548</v>
      </c>
      <c r="D894" s="184" t="s">
        <v>1046</v>
      </c>
      <c r="E894" s="191">
        <v>41548</v>
      </c>
      <c r="F894" s="192" t="s">
        <v>1154</v>
      </c>
      <c r="G894" s="487" t="s">
        <v>947</v>
      </c>
      <c r="H894" s="7" t="s">
        <v>538</v>
      </c>
      <c r="I894" s="256">
        <v>1554</v>
      </c>
      <c r="J894" s="256">
        <v>4650</v>
      </c>
      <c r="K894" s="38">
        <f t="shared" ref="K894:K895" si="340">ROUND(I894*J894,0)</f>
        <v>7226100</v>
      </c>
      <c r="L894" s="194" t="s">
        <v>265</v>
      </c>
      <c r="M894" s="194" t="s">
        <v>175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>x</v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50"/>
      <c r="AB894" s="211"/>
      <c r="AC894" s="594"/>
      <c r="AD894" s="211"/>
    </row>
    <row r="895" spans="1:30" ht="15.75" customHeight="1">
      <c r="A895" s="204" t="str">
        <f>IF(B895&lt;&gt;"",IF(AND(B895&gt;=_TM1,B895&lt;=_TM2,OR(TH!L895="1111",TH!M895="1111")),TH!D895,""),"")</f>
        <v/>
      </c>
      <c r="B895" s="36">
        <f t="shared" si="339"/>
        <v>10</v>
      </c>
      <c r="C895" s="191">
        <f t="shared" si="279"/>
        <v>41548</v>
      </c>
      <c r="D895" s="184" t="s">
        <v>1046</v>
      </c>
      <c r="E895" s="191">
        <v>41548</v>
      </c>
      <c r="F895" s="192" t="s">
        <v>874</v>
      </c>
      <c r="G895" s="192" t="s">
        <v>947</v>
      </c>
      <c r="H895" s="7" t="s">
        <v>538</v>
      </c>
      <c r="I895" s="256">
        <v>525</v>
      </c>
      <c r="J895" s="256">
        <v>12000</v>
      </c>
      <c r="K895" s="38">
        <f t="shared" si="340"/>
        <v>6300000</v>
      </c>
      <c r="L895" s="194" t="s">
        <v>265</v>
      </c>
      <c r="M895" s="194" t="s">
        <v>175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>x</v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50"/>
      <c r="AB895" s="211"/>
      <c r="AC895" s="594"/>
      <c r="AD895" s="211"/>
    </row>
    <row r="896" spans="1:30" ht="15.75" customHeight="1">
      <c r="A896" s="204" t="str">
        <f>IF(B896&lt;&gt;"",IF(AND(B896&gt;=_TM1,B896&lt;=_TM2,OR(TH!L896="1111",TH!M896="1111")),TH!D896,""),"")</f>
        <v/>
      </c>
      <c r="B896" s="36">
        <f t="shared" si="339"/>
        <v>10</v>
      </c>
      <c r="C896" s="191">
        <f t="shared" ref="C896:C965" si="341">E896</f>
        <v>41548</v>
      </c>
      <c r="D896" s="184" t="s">
        <v>1046</v>
      </c>
      <c r="E896" s="191">
        <v>41548</v>
      </c>
      <c r="F896" s="192" t="s">
        <v>724</v>
      </c>
      <c r="G896" s="192" t="s">
        <v>947</v>
      </c>
      <c r="H896" s="7" t="s">
        <v>538</v>
      </c>
      <c r="I896" s="256"/>
      <c r="J896" s="256"/>
      <c r="K896" s="38">
        <v>1352610</v>
      </c>
      <c r="L896" s="194" t="s">
        <v>265</v>
      </c>
      <c r="M896" s="194" t="s">
        <v>429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50"/>
      <c r="AB896" s="211"/>
      <c r="AC896" s="594" t="str">
        <f t="shared" si="334"/>
        <v/>
      </c>
      <c r="AD896" s="211"/>
    </row>
    <row r="897" spans="1:30" ht="15.75" customHeight="1">
      <c r="A897" s="204" t="str">
        <f>IF(B897&lt;&gt;"",IF(AND(B897&gt;=_TM1,B897&lt;=_TM2,OR(TH!L897="1111",TH!M897="1111")),TH!D897,""),"")</f>
        <v/>
      </c>
      <c r="B897" s="36">
        <f t="shared" si="339"/>
        <v>10</v>
      </c>
      <c r="C897" s="191">
        <f t="shared" si="341"/>
        <v>41548</v>
      </c>
      <c r="D897" s="184" t="s">
        <v>1047</v>
      </c>
      <c r="E897" s="191">
        <v>41548</v>
      </c>
      <c r="F897" s="192" t="s">
        <v>845</v>
      </c>
      <c r="G897" s="192" t="s">
        <v>948</v>
      </c>
      <c r="H897" s="193" t="s">
        <v>847</v>
      </c>
      <c r="I897" s="256">
        <v>220</v>
      </c>
      <c r="J897" s="256">
        <v>19000</v>
      </c>
      <c r="K897" s="38">
        <f>ROUND(I897*J897,0)</f>
        <v>4180000</v>
      </c>
      <c r="L897" s="194" t="s">
        <v>265</v>
      </c>
      <c r="M897" s="194" t="s">
        <v>175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50"/>
      <c r="AB897" s="211"/>
      <c r="AC897" s="594"/>
      <c r="AD897" s="211"/>
    </row>
    <row r="898" spans="1:30" ht="15.75" customHeight="1">
      <c r="A898" s="204" t="str">
        <f>IF(B898&lt;&gt;"",IF(AND(B898&gt;=_TM1,B898&lt;=_TM2,OR(TH!L898="1111",TH!M898="1111")),TH!D898,""),"")</f>
        <v/>
      </c>
      <c r="B898" s="36">
        <f t="shared" si="339"/>
        <v>10</v>
      </c>
      <c r="C898" s="191">
        <f t="shared" si="341"/>
        <v>41548</v>
      </c>
      <c r="D898" s="184" t="s">
        <v>1047</v>
      </c>
      <c r="E898" s="191">
        <v>41548</v>
      </c>
      <c r="F898" s="192" t="s">
        <v>724</v>
      </c>
      <c r="G898" s="192" t="s">
        <v>948</v>
      </c>
      <c r="H898" s="193" t="s">
        <v>847</v>
      </c>
      <c r="I898" s="256"/>
      <c r="J898" s="256"/>
      <c r="K898" s="38">
        <v>418000</v>
      </c>
      <c r="L898" s="194" t="s">
        <v>265</v>
      </c>
      <c r="M898" s="194" t="s">
        <v>429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50"/>
      <c r="AB898" s="211"/>
      <c r="AC898" s="594" t="str">
        <f t="shared" si="334"/>
        <v/>
      </c>
      <c r="AD898" s="211"/>
    </row>
    <row r="899" spans="1:30" ht="15.75" customHeight="1">
      <c r="A899" s="204" t="str">
        <f>IF(B899&lt;&gt;"",IF(AND(B899&gt;=_TM1,B899&lt;=_TM2,OR(TH!L899="1111",TH!M899="1111")),TH!D899,""),"")</f>
        <v/>
      </c>
      <c r="B899" s="36">
        <f t="shared" si="339"/>
        <v>10</v>
      </c>
      <c r="C899" s="191">
        <f t="shared" si="341"/>
        <v>41549</v>
      </c>
      <c r="D899" s="184" t="s">
        <v>1048</v>
      </c>
      <c r="E899" s="191">
        <v>41549</v>
      </c>
      <c r="F899" s="192" t="s">
        <v>1151</v>
      </c>
      <c r="G899" s="192" t="s">
        <v>949</v>
      </c>
      <c r="H899" s="7" t="s">
        <v>894</v>
      </c>
      <c r="I899" s="256">
        <v>3397</v>
      </c>
      <c r="J899" s="256">
        <v>4080</v>
      </c>
      <c r="K899" s="38">
        <f>ROUND(I899*J899,0)</f>
        <v>13859760</v>
      </c>
      <c r="L899" s="194" t="s">
        <v>265</v>
      </c>
      <c r="M899" s="194" t="s">
        <v>175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50"/>
      <c r="AB899" s="211">
        <v>7</v>
      </c>
      <c r="AC899" s="594"/>
      <c r="AD899" s="211"/>
    </row>
    <row r="900" spans="1:30" ht="15.75" customHeight="1">
      <c r="A900" s="204" t="str">
        <f>IF(B900&lt;&gt;"",IF(AND(B900&gt;=_TM1,B900&lt;=_TM2,OR(TH!L900="1111",TH!M900="1111")),TH!D900,""),"")</f>
        <v/>
      </c>
      <c r="B900" s="36">
        <f t="shared" si="339"/>
        <v>10</v>
      </c>
      <c r="C900" s="191">
        <f t="shared" si="341"/>
        <v>41549</v>
      </c>
      <c r="D900" s="184" t="s">
        <v>1048</v>
      </c>
      <c r="E900" s="191">
        <v>41549</v>
      </c>
      <c r="F900" s="192" t="s">
        <v>724</v>
      </c>
      <c r="G900" s="192" t="s">
        <v>949</v>
      </c>
      <c r="H900" s="7" t="s">
        <v>894</v>
      </c>
      <c r="I900" s="257"/>
      <c r="J900" s="257"/>
      <c r="K900" s="38">
        <v>1385976</v>
      </c>
      <c r="L900" s="194" t="s">
        <v>265</v>
      </c>
      <c r="M900" s="194" t="s">
        <v>429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50"/>
      <c r="AB900" s="211"/>
      <c r="AC900" s="594" t="str">
        <f t="shared" si="334"/>
        <v/>
      </c>
      <c r="AD900" s="211"/>
    </row>
    <row r="901" spans="1:30" ht="15.75" customHeight="1">
      <c r="A901" s="204" t="str">
        <f>IF(B901&lt;&gt;"",IF(AND(B901&gt;=_TM1,B901&lt;=_TM2,OR(TH!L901="1111",TH!M901="1111")),TH!D901,""),"")</f>
        <v/>
      </c>
      <c r="B901" s="36">
        <f t="shared" si="339"/>
        <v>10</v>
      </c>
      <c r="C901" s="191">
        <f t="shared" si="341"/>
        <v>41550</v>
      </c>
      <c r="D901" s="184" t="s">
        <v>1050</v>
      </c>
      <c r="E901" s="191">
        <v>41550</v>
      </c>
      <c r="F901" s="192" t="s">
        <v>944</v>
      </c>
      <c r="G901" s="192" t="s">
        <v>951</v>
      </c>
      <c r="H901" s="7" t="s">
        <v>1109</v>
      </c>
      <c r="I901" s="257">
        <v>494</v>
      </c>
      <c r="J901" s="257">
        <v>4980</v>
      </c>
      <c r="K901" s="38">
        <f t="shared" ref="K901:K902" si="342">ROUND(I901*J901,0)</f>
        <v>2460120</v>
      </c>
      <c r="L901" s="194" t="s">
        <v>265</v>
      </c>
      <c r="M901" s="194" t="s">
        <v>175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50"/>
      <c r="AB901" s="211"/>
      <c r="AC901" s="594"/>
      <c r="AD901" s="594"/>
    </row>
    <row r="902" spans="1:30" ht="15.75" customHeight="1">
      <c r="A902" s="204" t="str">
        <f>IF(B902&lt;&gt;"",IF(AND(B902&gt;=_TM1,B902&lt;=_TM2,OR(TH!L902="1111",TH!M902="1111")),TH!D902,""),"")</f>
        <v/>
      </c>
      <c r="B902" s="36">
        <f t="shared" si="339"/>
        <v>10</v>
      </c>
      <c r="C902" s="191">
        <f t="shared" si="341"/>
        <v>41550</v>
      </c>
      <c r="D902" s="184" t="s">
        <v>1050</v>
      </c>
      <c r="E902" s="191">
        <v>41550</v>
      </c>
      <c r="F902" s="192" t="s">
        <v>952</v>
      </c>
      <c r="G902" s="192" t="s">
        <v>951</v>
      </c>
      <c r="H902" s="7" t="s">
        <v>1109</v>
      </c>
      <c r="I902" s="256">
        <v>509</v>
      </c>
      <c r="J902" s="256">
        <v>4980</v>
      </c>
      <c r="K902" s="38">
        <f t="shared" si="342"/>
        <v>2534820</v>
      </c>
      <c r="L902" s="194" t="s">
        <v>265</v>
      </c>
      <c r="M902" s="194" t="s">
        <v>175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50"/>
      <c r="AB902" s="211">
        <v>7</v>
      </c>
      <c r="AC902" s="594"/>
      <c r="AD902" s="211"/>
    </row>
    <row r="903" spans="1:30" ht="15.75" customHeight="1">
      <c r="A903" s="204" t="str">
        <f>IF(B903&lt;&gt;"",IF(AND(B903&gt;=_TM1,B903&lt;=_TM2,OR(TH!L903="1111",TH!M903="1111")),TH!D903,""),"")</f>
        <v/>
      </c>
      <c r="B903" s="36">
        <f t="shared" si="339"/>
        <v>10</v>
      </c>
      <c r="C903" s="191">
        <f t="shared" si="341"/>
        <v>41550</v>
      </c>
      <c r="D903" s="184" t="s">
        <v>1050</v>
      </c>
      <c r="E903" s="191">
        <v>41550</v>
      </c>
      <c r="F903" s="192" t="s">
        <v>724</v>
      </c>
      <c r="G903" s="192" t="s">
        <v>951</v>
      </c>
      <c r="H903" s="7" t="s">
        <v>1109</v>
      </c>
      <c r="I903" s="256"/>
      <c r="J903" s="256"/>
      <c r="K903" s="38">
        <v>499494</v>
      </c>
      <c r="L903" s="194" t="s">
        <v>265</v>
      </c>
      <c r="M903" s="194" t="s">
        <v>429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50"/>
      <c r="AB903" s="211"/>
      <c r="AC903" s="594" t="str">
        <f t="shared" si="334"/>
        <v/>
      </c>
      <c r="AD903" s="594"/>
    </row>
    <row r="904" spans="1:30" ht="15.75" customHeight="1">
      <c r="A904" s="204" t="str">
        <f>IF(B904&lt;&gt;"",IF(AND(B904&gt;=_TM1,B904&lt;=_TM2,OR(TH!L904="1111",TH!M904="1111")),TH!D904,""),"")</f>
        <v>TP/X06</v>
      </c>
      <c r="B904" s="36">
        <f t="shared" ref="B904" si="343">IF(C904&lt;&gt;"",MONTH(C904),"")</f>
        <v>10</v>
      </c>
      <c r="C904" s="191">
        <f t="shared" ref="C904" si="344">E904</f>
        <v>41550</v>
      </c>
      <c r="D904" s="184" t="s">
        <v>1050</v>
      </c>
      <c r="E904" s="191">
        <v>41550</v>
      </c>
      <c r="F904" s="189" t="s">
        <v>341</v>
      </c>
      <c r="G904" s="192" t="s">
        <v>951</v>
      </c>
      <c r="H904" s="7" t="s">
        <v>1109</v>
      </c>
      <c r="I904" s="256"/>
      <c r="J904" s="256"/>
      <c r="K904" s="38">
        <v>5494434</v>
      </c>
      <c r="L904" s="194" t="s">
        <v>47</v>
      </c>
      <c r="M904" s="194" t="s">
        <v>265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50"/>
      <c r="AB904" s="211"/>
      <c r="AC904" s="594" t="str">
        <f t="shared" ref="AC904" si="345">IF(VLOOKUP(H904,DS_131,1,0)&lt;&gt;"","","x")</f>
        <v/>
      </c>
      <c r="AD904" s="594"/>
    </row>
    <row r="905" spans="1:30" ht="15.75" customHeight="1">
      <c r="A905" s="204" t="str">
        <f>IF(B905&lt;&gt;"",IF(AND(B905&gt;=_TM1,B905&lt;=_TM2,OR(TH!L905="1111",TH!M905="1111")),TH!D905,""),"")</f>
        <v/>
      </c>
      <c r="B905" s="36">
        <f t="shared" si="339"/>
        <v>10</v>
      </c>
      <c r="C905" s="191">
        <f t="shared" si="341"/>
        <v>41552</v>
      </c>
      <c r="D905" s="184" t="s">
        <v>1051</v>
      </c>
      <c r="E905" s="191">
        <v>41552</v>
      </c>
      <c r="F905" s="192" t="s">
        <v>1151</v>
      </c>
      <c r="G905" s="192" t="s">
        <v>953</v>
      </c>
      <c r="H905" s="7" t="s">
        <v>894</v>
      </c>
      <c r="I905" s="256">
        <v>103</v>
      </c>
      <c r="J905" s="256">
        <v>4080</v>
      </c>
      <c r="K905" s="38">
        <f t="shared" ref="K905:K906" si="346">ROUND(I905*J905,0)</f>
        <v>420240</v>
      </c>
      <c r="L905" s="194" t="s">
        <v>265</v>
      </c>
      <c r="M905" s="194" t="s">
        <v>175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50"/>
      <c r="AB905" s="211"/>
      <c r="AC905" s="594"/>
      <c r="AD905" s="594"/>
    </row>
    <row r="906" spans="1:30" ht="15.75" customHeight="1">
      <c r="A906" s="204" t="str">
        <f>IF(B906&lt;&gt;"",IF(AND(B906&gt;=_TM1,B906&lt;=_TM2,OR(TH!L906="1111",TH!M906="1111")),TH!D906,""),"")</f>
        <v/>
      </c>
      <c r="B906" s="36">
        <f t="shared" si="339"/>
        <v>10</v>
      </c>
      <c r="C906" s="191">
        <f t="shared" si="341"/>
        <v>41552</v>
      </c>
      <c r="D906" s="184" t="s">
        <v>1051</v>
      </c>
      <c r="E906" s="191">
        <v>41552</v>
      </c>
      <c r="F906" s="192" t="s">
        <v>1148</v>
      </c>
      <c r="G906" s="192" t="s">
        <v>953</v>
      </c>
      <c r="H906" s="7" t="s">
        <v>894</v>
      </c>
      <c r="I906" s="256">
        <v>2658</v>
      </c>
      <c r="J906" s="256">
        <v>4700</v>
      </c>
      <c r="K906" s="38">
        <f t="shared" si="346"/>
        <v>12492600</v>
      </c>
      <c r="L906" s="194" t="s">
        <v>265</v>
      </c>
      <c r="M906" s="194" t="s">
        <v>175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50"/>
      <c r="AB906" s="211">
        <v>7</v>
      </c>
      <c r="AC906" s="594"/>
      <c r="AD906" s="211"/>
    </row>
    <row r="907" spans="1:30" ht="15.75" customHeight="1">
      <c r="A907" s="204" t="str">
        <f>IF(B907&lt;&gt;"",IF(AND(B907&gt;=_TM1,B907&lt;=_TM2,OR(TH!L907="1111",TH!M907="1111")),TH!D907,""),"")</f>
        <v/>
      </c>
      <c r="B907" s="36">
        <f t="shared" si="339"/>
        <v>10</v>
      </c>
      <c r="C907" s="191">
        <f t="shared" si="341"/>
        <v>41552</v>
      </c>
      <c r="D907" s="184" t="s">
        <v>1051</v>
      </c>
      <c r="E907" s="191">
        <v>41552</v>
      </c>
      <c r="F907" s="192" t="s">
        <v>724</v>
      </c>
      <c r="G907" s="192" t="s">
        <v>953</v>
      </c>
      <c r="H907" s="7" t="s">
        <v>894</v>
      </c>
      <c r="I907" s="257"/>
      <c r="J907" s="257"/>
      <c r="K907" s="38">
        <v>1291284</v>
      </c>
      <c r="L907" s="194" t="s">
        <v>265</v>
      </c>
      <c r="M907" s="194" t="s">
        <v>429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50"/>
      <c r="AC907" s="594" t="str">
        <f t="shared" si="334"/>
        <v/>
      </c>
    </row>
    <row r="908" spans="1:30" ht="15.75" customHeight="1">
      <c r="A908" s="204" t="str">
        <f>IF(B908&lt;&gt;"",IF(AND(B908&gt;=_TM1,B908&lt;=_TM2,OR(TH!L908="1111",TH!M908="1111")),TH!D908,""),"")</f>
        <v/>
      </c>
      <c r="B908" s="36">
        <f t="shared" si="339"/>
        <v>10</v>
      </c>
      <c r="C908" s="191">
        <f t="shared" si="341"/>
        <v>41552</v>
      </c>
      <c r="D908" s="184" t="s">
        <v>1052</v>
      </c>
      <c r="E908" s="191">
        <v>41552</v>
      </c>
      <c r="F908" s="192" t="s">
        <v>1135</v>
      </c>
      <c r="G908" s="192" t="s">
        <v>954</v>
      </c>
      <c r="H908" s="7" t="s">
        <v>431</v>
      </c>
      <c r="I908" s="256">
        <v>2260</v>
      </c>
      <c r="J908" s="256">
        <v>6250</v>
      </c>
      <c r="K908" s="38">
        <f>ROUND(I908*J908,0)</f>
        <v>14125000</v>
      </c>
      <c r="L908" s="194" t="s">
        <v>265</v>
      </c>
      <c r="M908" s="194" t="s">
        <v>175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850"/>
      <c r="AB908" s="810"/>
      <c r="AC908" s="594"/>
    </row>
    <row r="909" spans="1:30" ht="15.75" customHeight="1">
      <c r="A909" s="204" t="str">
        <f>IF(B909&lt;&gt;"",IF(AND(B909&gt;=_TM1,B909&lt;=_TM2,OR(TH!L909="1111",TH!M909="1111")),TH!D909,""),"")</f>
        <v/>
      </c>
      <c r="B909" s="36">
        <f t="shared" si="339"/>
        <v>10</v>
      </c>
      <c r="C909" s="191">
        <f t="shared" si="341"/>
        <v>41552</v>
      </c>
      <c r="D909" s="184" t="s">
        <v>1052</v>
      </c>
      <c r="E909" s="191">
        <v>41552</v>
      </c>
      <c r="F909" s="192" t="s">
        <v>724</v>
      </c>
      <c r="G909" s="192" t="s">
        <v>954</v>
      </c>
      <c r="H909" s="7" t="s">
        <v>431</v>
      </c>
      <c r="I909" s="256"/>
      <c r="J909" s="256"/>
      <c r="K909" s="38">
        <v>1412500</v>
      </c>
      <c r="L909" s="194" t="s">
        <v>265</v>
      </c>
      <c r="M909" s="194" t="s">
        <v>429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50"/>
      <c r="AB909" s="810"/>
      <c r="AC909" s="594" t="str">
        <f t="shared" si="334"/>
        <v/>
      </c>
    </row>
    <row r="910" spans="1:30" ht="15.75" customHeight="1">
      <c r="A910" s="204" t="str">
        <f>IF(B910&lt;&gt;"",IF(AND(B910&gt;=_TM1,B910&lt;=_TM2,OR(TH!L910="1111",TH!M910="1111")),TH!D910,""),"")</f>
        <v/>
      </c>
      <c r="B910" s="36">
        <f t="shared" si="339"/>
        <v>10</v>
      </c>
      <c r="C910" s="191">
        <f t="shared" si="341"/>
        <v>41555</v>
      </c>
      <c r="D910" s="184" t="s">
        <v>1053</v>
      </c>
      <c r="E910" s="191">
        <v>41555</v>
      </c>
      <c r="F910" s="192" t="s">
        <v>865</v>
      </c>
      <c r="G910" s="192" t="s">
        <v>955</v>
      </c>
      <c r="H910" s="7" t="s">
        <v>580</v>
      </c>
      <c r="I910" s="256">
        <v>516</v>
      </c>
      <c r="J910" s="256">
        <v>20300</v>
      </c>
      <c r="K910" s="38">
        <f>ROUND(I910*J910,0)</f>
        <v>10474800</v>
      </c>
      <c r="L910" s="194" t="s">
        <v>265</v>
      </c>
      <c r="M910" s="194" t="s">
        <v>175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50"/>
      <c r="AB910" s="810"/>
      <c r="AC910" s="594"/>
    </row>
    <row r="911" spans="1:30" ht="15.75" customHeight="1">
      <c r="A911" s="204" t="str">
        <f>IF(B911&lt;&gt;"",IF(AND(B911&gt;=_TM1,B911&lt;=_TM2,OR(TH!L911="1111",TH!M911="1111")),TH!D911,""),"")</f>
        <v/>
      </c>
      <c r="B911" s="36">
        <f t="shared" si="339"/>
        <v>10</v>
      </c>
      <c r="C911" s="191">
        <f t="shared" si="341"/>
        <v>41555</v>
      </c>
      <c r="D911" s="184" t="s">
        <v>1053</v>
      </c>
      <c r="E911" s="191">
        <v>41555</v>
      </c>
      <c r="F911" s="192" t="s">
        <v>724</v>
      </c>
      <c r="G911" s="192" t="s">
        <v>955</v>
      </c>
      <c r="H911" s="7" t="s">
        <v>580</v>
      </c>
      <c r="I911" s="256"/>
      <c r="J911" s="256"/>
      <c r="K911" s="38">
        <v>1047480</v>
      </c>
      <c r="L911" s="194" t="s">
        <v>265</v>
      </c>
      <c r="M911" s="194" t="s">
        <v>429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50"/>
      <c r="AB911" s="810"/>
      <c r="AC911" s="594" t="str">
        <f t="shared" si="334"/>
        <v/>
      </c>
    </row>
    <row r="912" spans="1:30" ht="15.75" customHeight="1">
      <c r="A912" s="204" t="str">
        <f>IF(B912&lt;&gt;"",IF(AND(B912&gt;=_TM1,B912&lt;=_TM2,OR(TH!L912="1111",TH!M912="1111")),TH!D912,""),"")</f>
        <v>TP/X09</v>
      </c>
      <c r="B912" s="36">
        <f t="shared" ref="B912" si="347">IF(C912&lt;&gt;"",MONTH(C912),"")</f>
        <v>10</v>
      </c>
      <c r="C912" s="191">
        <f t="shared" ref="C912" si="348">E912</f>
        <v>41555</v>
      </c>
      <c r="D912" s="184" t="s">
        <v>1053</v>
      </c>
      <c r="E912" s="191">
        <v>41555</v>
      </c>
      <c r="F912" s="189" t="s">
        <v>341</v>
      </c>
      <c r="G912" s="192" t="s">
        <v>955</v>
      </c>
      <c r="H912" s="7" t="s">
        <v>580</v>
      </c>
      <c r="I912" s="256"/>
      <c r="J912" s="256"/>
      <c r="K912" s="38">
        <v>11522280</v>
      </c>
      <c r="L912" s="194" t="s">
        <v>47</v>
      </c>
      <c r="M912" s="194" t="s">
        <v>265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50"/>
      <c r="AB912" s="810"/>
      <c r="AC912" s="594" t="str">
        <f t="shared" ref="AC912" si="349">IF(VLOOKUP(H912,DS_131,1,0)&lt;&gt;"","","x")</f>
        <v/>
      </c>
    </row>
    <row r="913" spans="1:29" ht="15.75" customHeight="1">
      <c r="A913" s="204" t="str">
        <f>IF(B913&lt;&gt;"",IF(AND(B913&gt;=_TM1,B913&lt;=_TM2,OR(TH!L913="1111",TH!M913="1111")),TH!D913,""),"")</f>
        <v/>
      </c>
      <c r="B913" s="36">
        <f t="shared" si="339"/>
        <v>10</v>
      </c>
      <c r="C913" s="191">
        <f t="shared" si="341"/>
        <v>41557</v>
      </c>
      <c r="D913" s="184" t="s">
        <v>1054</v>
      </c>
      <c r="E913" s="191">
        <v>41557</v>
      </c>
      <c r="F913" s="192" t="s">
        <v>1129</v>
      </c>
      <c r="G913" s="192" t="s">
        <v>956</v>
      </c>
      <c r="H913" s="7" t="s">
        <v>541</v>
      </c>
      <c r="I913" s="257">
        <v>304</v>
      </c>
      <c r="J913" s="257">
        <v>6400</v>
      </c>
      <c r="K913" s="38">
        <f>ROUND(I913*J913,0)</f>
        <v>1945600</v>
      </c>
      <c r="L913" s="194" t="s">
        <v>265</v>
      </c>
      <c r="M913" s="194" t="s">
        <v>175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50"/>
      <c r="AB913" s="810"/>
      <c r="AC913" s="594"/>
    </row>
    <row r="914" spans="1:29" ht="15.75" customHeight="1">
      <c r="A914" s="204" t="str">
        <f>IF(B914&lt;&gt;"",IF(AND(B914&gt;=_TM1,B914&lt;=_TM2,OR(TH!L914="1111",TH!M914="1111")),TH!D914,""),"")</f>
        <v/>
      </c>
      <c r="B914" s="36">
        <f t="shared" si="339"/>
        <v>10</v>
      </c>
      <c r="C914" s="191">
        <f t="shared" si="341"/>
        <v>41557</v>
      </c>
      <c r="D914" s="184" t="s">
        <v>1054</v>
      </c>
      <c r="E914" s="184">
        <v>41557</v>
      </c>
      <c r="F914" s="189" t="s">
        <v>724</v>
      </c>
      <c r="G914" s="189" t="s">
        <v>956</v>
      </c>
      <c r="H914" s="7" t="s">
        <v>541</v>
      </c>
      <c r="I914" s="256"/>
      <c r="J914" s="256"/>
      <c r="K914" s="602">
        <v>194560</v>
      </c>
      <c r="L914" s="194" t="s">
        <v>265</v>
      </c>
      <c r="M914" s="194" t="s">
        <v>429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50"/>
      <c r="AB914" s="810"/>
      <c r="AC914" s="594" t="str">
        <f t="shared" si="334"/>
        <v/>
      </c>
    </row>
    <row r="915" spans="1:29" ht="15.75" customHeight="1">
      <c r="A915" s="204" t="str">
        <f>IF(B915&lt;&gt;"",IF(AND(B915&gt;=_TM1,B915&lt;=_TM2,OR(TH!L915="1111",TH!M915="1111")),TH!D915,""),"")</f>
        <v/>
      </c>
      <c r="B915" s="36">
        <f t="shared" si="339"/>
        <v>10</v>
      </c>
      <c r="C915" s="191">
        <f t="shared" si="341"/>
        <v>41563</v>
      </c>
      <c r="D915" s="184" t="s">
        <v>1055</v>
      </c>
      <c r="E915" s="184">
        <v>41563</v>
      </c>
      <c r="F915" s="192" t="s">
        <v>836</v>
      </c>
      <c r="G915" s="604" t="s">
        <v>957</v>
      </c>
      <c r="H915" s="193" t="s">
        <v>741</v>
      </c>
      <c r="I915" s="256">
        <v>996</v>
      </c>
      <c r="J915" s="256">
        <v>10500</v>
      </c>
      <c r="K915" s="38">
        <f>ROUND(I915*J915,0)</f>
        <v>10458000</v>
      </c>
      <c r="L915" s="194" t="s">
        <v>265</v>
      </c>
      <c r="M915" s="194" t="s">
        <v>175</v>
      </c>
      <c r="N915" s="52" t="str">
        <f>IF(AND('331-CT'!$E$7=TH!H915,OR(L915="331",M915="331")),"331",IF(AND(OR(L915="131",M915="131"),H915='131-CT'!$E$7),"131",""))</f>
        <v>131</v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50"/>
      <c r="AB915" s="810"/>
      <c r="AC915" s="594"/>
    </row>
    <row r="916" spans="1:29" ht="15.75" customHeight="1">
      <c r="A916" s="204" t="str">
        <f>IF(B916&lt;&gt;"",IF(AND(B916&gt;=_TM1,B916&lt;=_TM2,OR(TH!L916="1111",TH!M916="1111")),TH!D916,""),"")</f>
        <v/>
      </c>
      <c r="B916" s="36">
        <f t="shared" si="339"/>
        <v>10</v>
      </c>
      <c r="C916" s="191">
        <f t="shared" si="341"/>
        <v>41563</v>
      </c>
      <c r="D916" s="184" t="s">
        <v>1055</v>
      </c>
      <c r="E916" s="184">
        <v>41563</v>
      </c>
      <c r="F916" s="189" t="s">
        <v>724</v>
      </c>
      <c r="G916" s="189" t="s">
        <v>957</v>
      </c>
      <c r="H916" s="193" t="s">
        <v>741</v>
      </c>
      <c r="I916" s="256"/>
      <c r="J916" s="256"/>
      <c r="K916" s="602">
        <v>1045800</v>
      </c>
      <c r="L916" s="194" t="s">
        <v>265</v>
      </c>
      <c r="M916" s="194" t="s">
        <v>429</v>
      </c>
      <c r="N916" s="52" t="str">
        <f>IF(AND('331-CT'!$E$7=TH!H916,OR(L916="331",M916="331")),"331",IF(AND(OR(L916="131",M916="131"),H916='131-CT'!$E$7),"131",""))</f>
        <v>131</v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50"/>
      <c r="AB916" s="810"/>
      <c r="AC916" s="594" t="str">
        <f t="shared" si="334"/>
        <v/>
      </c>
    </row>
    <row r="917" spans="1:29" ht="15.75" customHeight="1">
      <c r="A917" s="204" t="str">
        <f>IF(B917&lt;&gt;"",IF(AND(B917&gt;=_TM1,B917&lt;=_TM2,OR(TH!L917="1111",TH!M917="1111")),TH!D917,""),"")</f>
        <v>TP/X11</v>
      </c>
      <c r="B917" s="36">
        <f t="shared" ref="B917" si="350">IF(C917&lt;&gt;"",MONTH(C917),"")</f>
        <v>10</v>
      </c>
      <c r="C917" s="191">
        <f t="shared" ref="C917" si="351">E917</f>
        <v>41563</v>
      </c>
      <c r="D917" s="184" t="s">
        <v>1055</v>
      </c>
      <c r="E917" s="184">
        <v>41563</v>
      </c>
      <c r="F917" s="189" t="s">
        <v>341</v>
      </c>
      <c r="G917" s="189" t="s">
        <v>957</v>
      </c>
      <c r="H917" s="193" t="s">
        <v>741</v>
      </c>
      <c r="I917" s="256"/>
      <c r="J917" s="256"/>
      <c r="K917" s="602">
        <v>11503800</v>
      </c>
      <c r="L917" s="194" t="s">
        <v>47</v>
      </c>
      <c r="M917" s="194" t="s">
        <v>265</v>
      </c>
      <c r="N917" s="52" t="str">
        <f>IF(AND('331-CT'!$E$7=TH!H917,OR(L917="331",M917="331")),"331",IF(AND(OR(L917="131",M917="131"),H917='131-CT'!$E$7),"131",""))</f>
        <v>131</v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50"/>
      <c r="AB917" s="810"/>
      <c r="AC917" s="594" t="str">
        <f t="shared" ref="AC917" si="352">IF(VLOOKUP(H917,DS_131,1,0)&lt;&gt;"","","x")</f>
        <v/>
      </c>
    </row>
    <row r="918" spans="1:29" ht="15.75" customHeight="1">
      <c r="A918" s="204" t="str">
        <f>IF(B918&lt;&gt;"",IF(AND(B918&gt;=_TM1,B918&lt;=_TM2,OR(TH!L918="1111",TH!M918="1111")),TH!D918,""),"")</f>
        <v/>
      </c>
      <c r="B918" s="36">
        <f t="shared" si="339"/>
        <v>10</v>
      </c>
      <c r="C918" s="191">
        <f t="shared" si="341"/>
        <v>41563</v>
      </c>
      <c r="D918" s="184" t="s">
        <v>1056</v>
      </c>
      <c r="E918" s="184">
        <v>41563</v>
      </c>
      <c r="F918" s="189" t="s">
        <v>1158</v>
      </c>
      <c r="G918" s="189" t="s">
        <v>958</v>
      </c>
      <c r="H918" s="7" t="s">
        <v>542</v>
      </c>
      <c r="I918" s="256">
        <v>1400</v>
      </c>
      <c r="J918" s="256">
        <v>4890</v>
      </c>
      <c r="K918" s="38">
        <f>ROUND(I918*J918,0)</f>
        <v>6846000</v>
      </c>
      <c r="L918" s="194" t="s">
        <v>265</v>
      </c>
      <c r="M918" s="194" t="s">
        <v>175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50"/>
      <c r="AB918" s="810"/>
      <c r="AC918" s="594"/>
    </row>
    <row r="919" spans="1:29" ht="15.75" customHeight="1">
      <c r="A919" s="204" t="str">
        <f>IF(B919&lt;&gt;"",IF(AND(B919&gt;=_TM1,B919&lt;=_TM2,OR(TH!L919="1111",TH!M919="1111")),TH!D919,""),"")</f>
        <v/>
      </c>
      <c r="B919" s="36">
        <f t="shared" si="339"/>
        <v>10</v>
      </c>
      <c r="C919" s="191">
        <f t="shared" si="341"/>
        <v>41563</v>
      </c>
      <c r="D919" s="184" t="s">
        <v>1056</v>
      </c>
      <c r="E919" s="184">
        <v>41563</v>
      </c>
      <c r="F919" s="189" t="s">
        <v>724</v>
      </c>
      <c r="G919" s="604" t="s">
        <v>958</v>
      </c>
      <c r="H919" s="7" t="s">
        <v>542</v>
      </c>
      <c r="I919" s="256"/>
      <c r="J919" s="256"/>
      <c r="K919" s="602">
        <v>684600</v>
      </c>
      <c r="L919" s="194" t="s">
        <v>265</v>
      </c>
      <c r="M919" s="194" t="s">
        <v>429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50"/>
      <c r="AB919" s="810"/>
      <c r="AC919" s="594" t="str">
        <f t="shared" si="334"/>
        <v/>
      </c>
    </row>
    <row r="920" spans="1:29" ht="15.75" customHeight="1">
      <c r="A920" s="204" t="str">
        <f>IF(B920&lt;&gt;"",IF(AND(B920&gt;=_TM1,B920&lt;=_TM2,OR(TH!L920="1111",TH!M920="1111")),TH!D920,""),"")</f>
        <v/>
      </c>
      <c r="B920" s="36">
        <f t="shared" si="339"/>
        <v>10</v>
      </c>
      <c r="C920" s="191">
        <f t="shared" si="341"/>
        <v>41563</v>
      </c>
      <c r="D920" s="184" t="s">
        <v>1057</v>
      </c>
      <c r="E920" s="184">
        <v>41563</v>
      </c>
      <c r="F920" s="192" t="s">
        <v>1148</v>
      </c>
      <c r="G920" s="189" t="s">
        <v>959</v>
      </c>
      <c r="H920" s="7" t="s">
        <v>894</v>
      </c>
      <c r="I920" s="256">
        <v>5391</v>
      </c>
      <c r="J920" s="256">
        <v>4700</v>
      </c>
      <c r="K920" s="38">
        <f>ROUND(I920*J920,0)</f>
        <v>25337700</v>
      </c>
      <c r="L920" s="194" t="s">
        <v>265</v>
      </c>
      <c r="M920" s="194" t="s">
        <v>175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50"/>
      <c r="AB920" s="810"/>
      <c r="AC920" s="594"/>
    </row>
    <row r="921" spans="1:29" ht="15.75" customHeight="1">
      <c r="A921" s="204" t="str">
        <f>IF(B921&lt;&gt;"",IF(AND(B921&gt;=_TM1,B921&lt;=_TM2,OR(TH!L921="1111",TH!M921="1111")),TH!D921,""),"")</f>
        <v/>
      </c>
      <c r="B921" s="36">
        <f t="shared" si="339"/>
        <v>10</v>
      </c>
      <c r="C921" s="191">
        <f t="shared" si="341"/>
        <v>41563</v>
      </c>
      <c r="D921" s="184" t="s">
        <v>1057</v>
      </c>
      <c r="E921" s="184">
        <v>41563</v>
      </c>
      <c r="F921" s="189" t="s">
        <v>724</v>
      </c>
      <c r="G921" s="189" t="s">
        <v>959</v>
      </c>
      <c r="H921" s="193" t="s">
        <v>894</v>
      </c>
      <c r="I921" s="256"/>
      <c r="J921" s="256"/>
      <c r="K921" s="602">
        <v>2533770</v>
      </c>
      <c r="L921" s="194" t="s">
        <v>265</v>
      </c>
      <c r="M921" s="194" t="s">
        <v>429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50"/>
      <c r="AB921" s="810"/>
      <c r="AC921" s="594" t="str">
        <f t="shared" si="334"/>
        <v/>
      </c>
    </row>
    <row r="922" spans="1:29" ht="15.75" customHeight="1">
      <c r="A922" s="204" t="str">
        <f>IF(B922&lt;&gt;"",IF(AND(B922&gt;=_TM1,B922&lt;=_TM2,OR(TH!L922="1111",TH!M922="1111")),TH!D922,""),"")</f>
        <v/>
      </c>
      <c r="B922" s="36">
        <f t="shared" si="339"/>
        <v>10</v>
      </c>
      <c r="C922" s="191">
        <f t="shared" si="341"/>
        <v>41565</v>
      </c>
      <c r="D922" s="184" t="s">
        <v>1058</v>
      </c>
      <c r="E922" s="184">
        <v>41565</v>
      </c>
      <c r="F922" s="189" t="s">
        <v>938</v>
      </c>
      <c r="G922" s="604" t="s">
        <v>960</v>
      </c>
      <c r="H922" s="193" t="s">
        <v>548</v>
      </c>
      <c r="I922" s="256">
        <v>100</v>
      </c>
      <c r="J922" s="256">
        <v>18600</v>
      </c>
      <c r="K922" s="38">
        <f>ROUND(I922*J922,0)</f>
        <v>1860000</v>
      </c>
      <c r="L922" s="194" t="s">
        <v>265</v>
      </c>
      <c r="M922" s="194" t="s">
        <v>175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50"/>
      <c r="AB922" s="810"/>
      <c r="AC922" s="594"/>
    </row>
    <row r="923" spans="1:29" ht="15.75" customHeight="1">
      <c r="A923" s="204" t="str">
        <f>IF(B923&lt;&gt;"",IF(AND(B923&gt;=_TM1,B923&lt;=_TM2,OR(TH!L923="1111",TH!M923="1111")),TH!D923,""),"")</f>
        <v/>
      </c>
      <c r="B923" s="36">
        <f t="shared" si="339"/>
        <v>10</v>
      </c>
      <c r="C923" s="191">
        <f t="shared" si="341"/>
        <v>41565</v>
      </c>
      <c r="D923" s="184" t="s">
        <v>1058</v>
      </c>
      <c r="E923" s="184">
        <v>41565</v>
      </c>
      <c r="F923" s="189" t="s">
        <v>724</v>
      </c>
      <c r="G923" s="189" t="s">
        <v>960</v>
      </c>
      <c r="H923" s="193" t="s">
        <v>548</v>
      </c>
      <c r="I923" s="256"/>
      <c r="J923" s="256"/>
      <c r="K923" s="602">
        <v>186000</v>
      </c>
      <c r="L923" s="194" t="s">
        <v>265</v>
      </c>
      <c r="M923" s="194" t="s">
        <v>429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50"/>
      <c r="AB923" s="810"/>
      <c r="AC923" s="594" t="str">
        <f t="shared" si="334"/>
        <v/>
      </c>
    </row>
    <row r="924" spans="1:29" ht="15.75" customHeight="1">
      <c r="A924" s="204" t="str">
        <f>IF(B924&lt;&gt;"",IF(AND(B924&gt;=_TM1,B924&lt;=_TM2,OR(TH!L924="1111",TH!M924="1111")),TH!D924,""),"")</f>
        <v/>
      </c>
      <c r="B924" s="36">
        <f t="shared" si="339"/>
        <v>10</v>
      </c>
      <c r="C924" s="191">
        <f t="shared" si="341"/>
        <v>41566</v>
      </c>
      <c r="D924" s="184" t="s">
        <v>1059</v>
      </c>
      <c r="E924" s="184">
        <v>41566</v>
      </c>
      <c r="F924" s="189" t="s">
        <v>1140</v>
      </c>
      <c r="G924" s="189" t="s">
        <v>961</v>
      </c>
      <c r="H924" s="7" t="s">
        <v>788</v>
      </c>
      <c r="I924" s="256">
        <v>1157</v>
      </c>
      <c r="J924" s="256">
        <v>4700</v>
      </c>
      <c r="K924" s="38">
        <f t="shared" ref="K924:K925" si="353">ROUND(I924*J924,0)</f>
        <v>5437900</v>
      </c>
      <c r="L924" s="194" t="s">
        <v>265</v>
      </c>
      <c r="M924" s="194" t="s">
        <v>175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50"/>
      <c r="AB924" s="810"/>
      <c r="AC924" s="594"/>
    </row>
    <row r="925" spans="1:29" ht="15.75" customHeight="1">
      <c r="A925" s="204" t="str">
        <f>IF(B925&lt;&gt;"",IF(AND(B925&gt;=_TM1,B925&lt;=_TM2,OR(TH!L925="1111",TH!M925="1111")),TH!D925,""),"")</f>
        <v/>
      </c>
      <c r="B925" s="36">
        <f t="shared" si="339"/>
        <v>10</v>
      </c>
      <c r="C925" s="191">
        <f t="shared" si="341"/>
        <v>41566</v>
      </c>
      <c r="D925" s="184" t="s">
        <v>1059</v>
      </c>
      <c r="E925" s="184">
        <v>41566</v>
      </c>
      <c r="F925" s="189" t="s">
        <v>962</v>
      </c>
      <c r="G925" s="189" t="s">
        <v>961</v>
      </c>
      <c r="H925" s="7" t="s">
        <v>788</v>
      </c>
      <c r="I925" s="256">
        <v>220</v>
      </c>
      <c r="J925" s="256">
        <v>8280</v>
      </c>
      <c r="K925" s="38">
        <f t="shared" si="353"/>
        <v>1821600</v>
      </c>
      <c r="L925" s="194" t="s">
        <v>265</v>
      </c>
      <c r="M925" s="194" t="s">
        <v>175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50"/>
      <c r="AB925" s="810"/>
      <c r="AC925" s="594"/>
    </row>
    <row r="926" spans="1:29" ht="15.75" customHeight="1">
      <c r="A926" s="204" t="str">
        <f>IF(B926&lt;&gt;"",IF(AND(B926&gt;=_TM1,B926&lt;=_TM2,OR(TH!L926="1111",TH!M926="1111")),TH!D926,""),"")</f>
        <v/>
      </c>
      <c r="B926" s="36">
        <f t="shared" si="339"/>
        <v>10</v>
      </c>
      <c r="C926" s="191">
        <f t="shared" si="341"/>
        <v>41566</v>
      </c>
      <c r="D926" s="184" t="s">
        <v>1059</v>
      </c>
      <c r="E926" s="184">
        <v>41566</v>
      </c>
      <c r="F926" s="189" t="s">
        <v>724</v>
      </c>
      <c r="G926" s="485" t="s">
        <v>961</v>
      </c>
      <c r="H926" s="7" t="s">
        <v>788</v>
      </c>
      <c r="I926" s="256"/>
      <c r="J926" s="256"/>
      <c r="K926" s="602">
        <v>725950</v>
      </c>
      <c r="L926" s="194" t="s">
        <v>265</v>
      </c>
      <c r="M926" s="194" t="s">
        <v>429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50"/>
      <c r="AB926" s="810"/>
      <c r="AC926" s="594" t="str">
        <f t="shared" si="334"/>
        <v/>
      </c>
    </row>
    <row r="927" spans="1:29" ht="15.75" customHeight="1">
      <c r="A927" s="204" t="str">
        <f>IF(B927&lt;&gt;"",IF(AND(B927&gt;=_TM1,B927&lt;=_TM2,OR(TH!L927="1111",TH!M927="1111")),TH!D927,""),"")</f>
        <v/>
      </c>
      <c r="B927" s="36">
        <f t="shared" si="339"/>
        <v>10</v>
      </c>
      <c r="C927" s="191">
        <f t="shared" si="341"/>
        <v>41568</v>
      </c>
      <c r="D927" s="184" t="s">
        <v>1060</v>
      </c>
      <c r="E927" s="184">
        <v>41568</v>
      </c>
      <c r="F927" s="192" t="s">
        <v>729</v>
      </c>
      <c r="G927" s="189" t="s">
        <v>963</v>
      </c>
      <c r="H927" s="7" t="s">
        <v>501</v>
      </c>
      <c r="I927" s="256">
        <v>529</v>
      </c>
      <c r="J927" s="256">
        <v>8740</v>
      </c>
      <c r="K927" s="38">
        <f>ROUND(I927*J927,0)</f>
        <v>4623460</v>
      </c>
      <c r="L927" s="194" t="s">
        <v>265</v>
      </c>
      <c r="M927" s="194" t="s">
        <v>175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50"/>
      <c r="AB927" s="810"/>
      <c r="AC927" s="594"/>
    </row>
    <row r="928" spans="1:29" ht="15.75" customHeight="1">
      <c r="A928" s="204" t="str">
        <f>IF(B928&lt;&gt;"",IF(AND(B928&gt;=_TM1,B928&lt;=_TM2,OR(TH!L928="1111",TH!M928="1111")),TH!D928,""),"")</f>
        <v/>
      </c>
      <c r="B928" s="36">
        <f t="shared" si="339"/>
        <v>10</v>
      </c>
      <c r="C928" s="191">
        <f t="shared" si="341"/>
        <v>41568</v>
      </c>
      <c r="D928" s="184" t="s">
        <v>1060</v>
      </c>
      <c r="E928" s="184">
        <v>41568</v>
      </c>
      <c r="F928" s="189" t="s">
        <v>724</v>
      </c>
      <c r="G928" s="485" t="s">
        <v>963</v>
      </c>
      <c r="H928" s="7" t="s">
        <v>501</v>
      </c>
      <c r="I928" s="256"/>
      <c r="J928" s="256"/>
      <c r="K928" s="602">
        <v>462346</v>
      </c>
      <c r="L928" s="194" t="s">
        <v>265</v>
      </c>
      <c r="M928" s="194" t="s">
        <v>429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50"/>
      <c r="AB928" s="810"/>
      <c r="AC928" s="594" t="str">
        <f t="shared" si="334"/>
        <v/>
      </c>
    </row>
    <row r="929" spans="1:29" ht="15.75" customHeight="1">
      <c r="A929" s="204" t="str">
        <f>IF(B929&lt;&gt;"",IF(AND(B929&gt;=_TM1,B929&lt;=_TM2,OR(TH!L929="1111",TH!M929="1111")),TH!D929,""),"")</f>
        <v/>
      </c>
      <c r="B929" s="36">
        <f t="shared" si="339"/>
        <v>10</v>
      </c>
      <c r="C929" s="191">
        <f t="shared" si="341"/>
        <v>41568</v>
      </c>
      <c r="D929" s="184" t="s">
        <v>1061</v>
      </c>
      <c r="E929" s="184">
        <v>41568</v>
      </c>
      <c r="F929" s="189" t="s">
        <v>964</v>
      </c>
      <c r="G929" s="189" t="s">
        <v>965</v>
      </c>
      <c r="H929" s="7" t="s">
        <v>950</v>
      </c>
      <c r="I929" s="256">
        <v>80</v>
      </c>
      <c r="J929" s="256">
        <v>3600</v>
      </c>
      <c r="K929" s="38">
        <f t="shared" ref="K929:K934" si="354">ROUND(I929*J929,0)</f>
        <v>288000</v>
      </c>
      <c r="L929" s="194" t="s">
        <v>265</v>
      </c>
      <c r="M929" s="194" t="s">
        <v>175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50"/>
      <c r="AB929" s="810"/>
      <c r="AC929" s="594"/>
    </row>
    <row r="930" spans="1:29" ht="15.75" customHeight="1">
      <c r="A930" s="204" t="str">
        <f>IF(B930&lt;&gt;"",IF(AND(B930&gt;=_TM1,B930&lt;=_TM2,OR(TH!L930="1111",TH!M930="1111")),TH!D930,""),"")</f>
        <v/>
      </c>
      <c r="B930" s="36">
        <f t="shared" si="339"/>
        <v>10</v>
      </c>
      <c r="C930" s="191">
        <f t="shared" si="341"/>
        <v>41568</v>
      </c>
      <c r="D930" s="184" t="s">
        <v>1061</v>
      </c>
      <c r="E930" s="184">
        <v>41568</v>
      </c>
      <c r="F930" s="189" t="s">
        <v>966</v>
      </c>
      <c r="G930" s="485" t="s">
        <v>965</v>
      </c>
      <c r="H930" s="7" t="s">
        <v>950</v>
      </c>
      <c r="I930" s="256">
        <v>80</v>
      </c>
      <c r="J930" s="256">
        <v>3600</v>
      </c>
      <c r="K930" s="38">
        <f t="shared" si="354"/>
        <v>288000</v>
      </c>
      <c r="L930" s="194" t="s">
        <v>265</v>
      </c>
      <c r="M930" s="194" t="s">
        <v>175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50"/>
      <c r="AB930" s="810"/>
      <c r="AC930" s="594"/>
    </row>
    <row r="931" spans="1:29" ht="15.75" customHeight="1">
      <c r="A931" s="204" t="str">
        <f>IF(B931&lt;&gt;"",IF(AND(B931&gt;=_TM1,B931&lt;=_TM2,OR(TH!L931="1111",TH!M931="1111")),TH!D931,""),"")</f>
        <v/>
      </c>
      <c r="B931" s="36">
        <f t="shared" si="339"/>
        <v>10</v>
      </c>
      <c r="C931" s="191">
        <f t="shared" si="341"/>
        <v>41568</v>
      </c>
      <c r="D931" s="184" t="s">
        <v>1061</v>
      </c>
      <c r="E931" s="184">
        <v>41568</v>
      </c>
      <c r="F931" s="189" t="s">
        <v>1162</v>
      </c>
      <c r="G931" s="189" t="s">
        <v>965</v>
      </c>
      <c r="H931" s="7" t="s">
        <v>950</v>
      </c>
      <c r="I931" s="256">
        <v>79</v>
      </c>
      <c r="J931" s="256">
        <v>4850</v>
      </c>
      <c r="K931" s="38">
        <f t="shared" si="354"/>
        <v>383150</v>
      </c>
      <c r="L931" s="194" t="s">
        <v>265</v>
      </c>
      <c r="M931" s="194" t="s">
        <v>175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50"/>
      <c r="AB931" s="810"/>
      <c r="AC931" s="594"/>
    </row>
    <row r="932" spans="1:29" ht="15.75" customHeight="1">
      <c r="A932" s="204" t="str">
        <f>IF(B932&lt;&gt;"",IF(AND(B932&gt;=_TM1,B932&lt;=_TM2,OR(TH!L932="1111",TH!M932="1111")),TH!D932,""),"")</f>
        <v/>
      </c>
      <c r="B932" s="36">
        <f t="shared" si="339"/>
        <v>10</v>
      </c>
      <c r="C932" s="191">
        <f t="shared" si="341"/>
        <v>41568</v>
      </c>
      <c r="D932" s="184" t="s">
        <v>1061</v>
      </c>
      <c r="E932" s="184">
        <v>41568</v>
      </c>
      <c r="F932" s="189" t="s">
        <v>1159</v>
      </c>
      <c r="G932" s="485" t="s">
        <v>965</v>
      </c>
      <c r="H932" s="7" t="s">
        <v>950</v>
      </c>
      <c r="I932" s="256">
        <v>82</v>
      </c>
      <c r="J932" s="256">
        <v>4200</v>
      </c>
      <c r="K932" s="38">
        <f t="shared" si="354"/>
        <v>344400</v>
      </c>
      <c r="L932" s="194" t="s">
        <v>265</v>
      </c>
      <c r="M932" s="194" t="s">
        <v>175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50"/>
      <c r="AB932" s="810"/>
      <c r="AC932" s="594"/>
    </row>
    <row r="933" spans="1:29" ht="15.75" customHeight="1">
      <c r="A933" s="204" t="str">
        <f>IF(B933&lt;&gt;"",IF(AND(B933&gt;=_TM1,B933&lt;=_TM2,OR(TH!L933="1111",TH!M933="1111")),TH!D933,""),"")</f>
        <v/>
      </c>
      <c r="B933" s="36">
        <f t="shared" si="339"/>
        <v>10</v>
      </c>
      <c r="C933" s="191">
        <f t="shared" si="341"/>
        <v>41568</v>
      </c>
      <c r="D933" s="184" t="s">
        <v>1061</v>
      </c>
      <c r="E933" s="184">
        <v>41568</v>
      </c>
      <c r="F933" s="189" t="s">
        <v>967</v>
      </c>
      <c r="G933" s="189" t="s">
        <v>965</v>
      </c>
      <c r="H933" s="7" t="s">
        <v>950</v>
      </c>
      <c r="I933" s="256">
        <v>81</v>
      </c>
      <c r="J933" s="256">
        <v>6000</v>
      </c>
      <c r="K933" s="38">
        <f t="shared" si="354"/>
        <v>486000</v>
      </c>
      <c r="L933" s="194" t="s">
        <v>265</v>
      </c>
      <c r="M933" s="194" t="s">
        <v>175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50"/>
      <c r="AB933" s="810"/>
      <c r="AC933" s="594"/>
    </row>
    <row r="934" spans="1:29" ht="15.75" customHeight="1">
      <c r="A934" s="204" t="str">
        <f>IF(B934&lt;&gt;"",IF(AND(B934&gt;=_TM1,B934&lt;=_TM2,OR(TH!L934="1111",TH!M934="1111")),TH!D934,""),"")</f>
        <v/>
      </c>
      <c r="B934" s="36">
        <f t="shared" si="339"/>
        <v>10</v>
      </c>
      <c r="C934" s="191">
        <f t="shared" si="341"/>
        <v>41568</v>
      </c>
      <c r="D934" s="184" t="s">
        <v>1061</v>
      </c>
      <c r="E934" s="184">
        <v>41568</v>
      </c>
      <c r="F934" s="189" t="s">
        <v>968</v>
      </c>
      <c r="G934" s="485" t="s">
        <v>965</v>
      </c>
      <c r="H934" s="7" t="s">
        <v>950</v>
      </c>
      <c r="I934" s="256">
        <v>81</v>
      </c>
      <c r="J934" s="256">
        <v>6700</v>
      </c>
      <c r="K934" s="38">
        <f t="shared" si="354"/>
        <v>542700</v>
      </c>
      <c r="L934" s="194" t="s">
        <v>265</v>
      </c>
      <c r="M934" s="194" t="s">
        <v>175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50"/>
      <c r="AB934" s="810"/>
      <c r="AC934" s="594"/>
    </row>
    <row r="935" spans="1:29" ht="15.75" customHeight="1">
      <c r="A935" s="204" t="str">
        <f>IF(B935&lt;&gt;"",IF(AND(B935&gt;=_TM1,B935&lt;=_TM2,OR(TH!L935="1111",TH!M935="1111")),TH!D935,""),"")</f>
        <v/>
      </c>
      <c r="B935" s="36">
        <f t="shared" si="339"/>
        <v>10</v>
      </c>
      <c r="C935" s="191">
        <f t="shared" si="341"/>
        <v>41568</v>
      </c>
      <c r="D935" s="184" t="s">
        <v>1061</v>
      </c>
      <c r="E935" s="184">
        <v>41568</v>
      </c>
      <c r="F935" s="189" t="s">
        <v>724</v>
      </c>
      <c r="G935" s="189" t="s">
        <v>965</v>
      </c>
      <c r="H935" s="193" t="s">
        <v>950</v>
      </c>
      <c r="I935" s="256"/>
      <c r="J935" s="256"/>
      <c r="K935" s="602">
        <v>233225</v>
      </c>
      <c r="L935" s="194" t="s">
        <v>265</v>
      </c>
      <c r="M935" s="194" t="s">
        <v>429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50"/>
      <c r="AB935" s="810"/>
      <c r="AC935" s="594" t="str">
        <f t="shared" si="334"/>
        <v/>
      </c>
    </row>
    <row r="936" spans="1:29" ht="15.75" customHeight="1">
      <c r="A936" s="204" t="str">
        <f>IF(B936&lt;&gt;"",IF(AND(B936&gt;=_TM1,B936&lt;=_TM2,OR(TH!L936="1111",TH!M936="1111")),TH!D936,""),"")</f>
        <v>TP/X17</v>
      </c>
      <c r="B936" s="36">
        <f t="shared" ref="B936" si="355">IF(C936&lt;&gt;"",MONTH(C936),"")</f>
        <v>10</v>
      </c>
      <c r="C936" s="191">
        <f t="shared" ref="C936" si="356">E936</f>
        <v>41568</v>
      </c>
      <c r="D936" s="184" t="s">
        <v>1061</v>
      </c>
      <c r="E936" s="184">
        <v>41568</v>
      </c>
      <c r="F936" s="189" t="s">
        <v>341</v>
      </c>
      <c r="G936" s="189" t="s">
        <v>965</v>
      </c>
      <c r="H936" s="193" t="s">
        <v>950</v>
      </c>
      <c r="I936" s="256"/>
      <c r="J936" s="256"/>
      <c r="K936" s="602">
        <v>2565475</v>
      </c>
      <c r="L936" s="194" t="s">
        <v>47</v>
      </c>
      <c r="M936" s="194" t="s">
        <v>265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50"/>
      <c r="AB936" s="810"/>
      <c r="AC936" s="594" t="str">
        <f t="shared" ref="AC936" si="357">IF(VLOOKUP(H936,DS_131,1,0)&lt;&gt;"","","x")</f>
        <v/>
      </c>
    </row>
    <row r="937" spans="1:29" ht="15.75" customHeight="1">
      <c r="A937" s="204" t="str">
        <f>IF(B937&lt;&gt;"",IF(AND(B937&gt;=_TM1,B937&lt;=_TM2,OR(TH!L937="1111",TH!M937="1111")),TH!D937,""),"")</f>
        <v/>
      </c>
      <c r="B937" s="36">
        <f t="shared" si="339"/>
        <v>10</v>
      </c>
      <c r="C937" s="191">
        <f t="shared" si="341"/>
        <v>41568</v>
      </c>
      <c r="D937" s="184" t="s">
        <v>1062</v>
      </c>
      <c r="E937" s="184">
        <v>41568</v>
      </c>
      <c r="F937" s="189" t="s">
        <v>969</v>
      </c>
      <c r="G937" s="485" t="s">
        <v>970</v>
      </c>
      <c r="H937" s="193" t="s">
        <v>950</v>
      </c>
      <c r="I937" s="256">
        <v>80</v>
      </c>
      <c r="J937" s="256">
        <v>4500</v>
      </c>
      <c r="K937" s="38">
        <f t="shared" ref="K937:K944" si="358">ROUND(I937*J937,0)</f>
        <v>360000</v>
      </c>
      <c r="L937" s="194" t="s">
        <v>265</v>
      </c>
      <c r="M937" s="194" t="s">
        <v>175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50"/>
      <c r="AB937" s="810"/>
      <c r="AC937" s="594"/>
    </row>
    <row r="938" spans="1:29" ht="15.75" customHeight="1">
      <c r="A938" s="204" t="str">
        <f>IF(B938&lt;&gt;"",IF(AND(B938&gt;=_TM1,B938&lt;=_TM2,OR(TH!L938="1111",TH!M938="1111")),TH!D938,""),"")</f>
        <v/>
      </c>
      <c r="B938" s="36">
        <f t="shared" si="339"/>
        <v>10</v>
      </c>
      <c r="C938" s="191">
        <f t="shared" si="341"/>
        <v>41568</v>
      </c>
      <c r="D938" s="184" t="s">
        <v>1062</v>
      </c>
      <c r="E938" s="184">
        <v>41568</v>
      </c>
      <c r="F938" s="189" t="s">
        <v>971</v>
      </c>
      <c r="G938" s="189" t="s">
        <v>970</v>
      </c>
      <c r="H938" s="193" t="s">
        <v>950</v>
      </c>
      <c r="I938" s="256">
        <v>59</v>
      </c>
      <c r="J938" s="256">
        <v>4800</v>
      </c>
      <c r="K938" s="38">
        <f t="shared" si="358"/>
        <v>283200</v>
      </c>
      <c r="L938" s="194" t="s">
        <v>265</v>
      </c>
      <c r="M938" s="194" t="s">
        <v>175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50"/>
      <c r="AC938" s="594"/>
    </row>
    <row r="939" spans="1:29" ht="15.75" customHeight="1">
      <c r="A939" s="204" t="str">
        <f>IF(B939&lt;&gt;"",IF(AND(B939&gt;=_TM1,B939&lt;=_TM2,OR(TH!L939="1111",TH!M939="1111")),TH!D939,""),"")</f>
        <v/>
      </c>
      <c r="B939" s="36">
        <f t="shared" si="339"/>
        <v>10</v>
      </c>
      <c r="C939" s="191">
        <f t="shared" si="341"/>
        <v>41568</v>
      </c>
      <c r="D939" s="184" t="s">
        <v>1062</v>
      </c>
      <c r="E939" s="184">
        <v>41568</v>
      </c>
      <c r="F939" s="189" t="s">
        <v>972</v>
      </c>
      <c r="G939" s="189" t="s">
        <v>970</v>
      </c>
      <c r="H939" s="193" t="s">
        <v>950</v>
      </c>
      <c r="I939" s="256">
        <v>80</v>
      </c>
      <c r="J939" s="256">
        <v>6800</v>
      </c>
      <c r="K939" s="38">
        <f t="shared" si="358"/>
        <v>544000</v>
      </c>
      <c r="L939" s="194" t="s">
        <v>265</v>
      </c>
      <c r="M939" s="194" t="s">
        <v>175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50"/>
      <c r="AC939" s="594"/>
    </row>
    <row r="940" spans="1:29" ht="15.75" customHeight="1">
      <c r="A940" s="204" t="str">
        <f>IF(B940&lt;&gt;"",IF(AND(B940&gt;=_TM1,B940&lt;=_TM2,OR(TH!L940="1111",TH!M940="1111")),TH!D940,""),"")</f>
        <v/>
      </c>
      <c r="B940" s="36">
        <f t="shared" si="339"/>
        <v>10</v>
      </c>
      <c r="C940" s="191">
        <f t="shared" si="341"/>
        <v>41568</v>
      </c>
      <c r="D940" s="184" t="s">
        <v>1062</v>
      </c>
      <c r="E940" s="184">
        <v>41568</v>
      </c>
      <c r="F940" s="189" t="s">
        <v>973</v>
      </c>
      <c r="G940" s="189" t="s">
        <v>970</v>
      </c>
      <c r="H940" s="193" t="s">
        <v>950</v>
      </c>
      <c r="I940" s="256">
        <v>15</v>
      </c>
      <c r="J940" s="256">
        <v>9500</v>
      </c>
      <c r="K940" s="38">
        <f t="shared" si="358"/>
        <v>142500</v>
      </c>
      <c r="L940" s="194" t="s">
        <v>265</v>
      </c>
      <c r="M940" s="194" t="s">
        <v>175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50"/>
      <c r="AC940" s="594"/>
    </row>
    <row r="941" spans="1:29" ht="15.75" customHeight="1">
      <c r="A941" s="204" t="str">
        <f>IF(B941&lt;&gt;"",IF(AND(B941&gt;=_TM1,B941&lt;=_TM2,OR(TH!L941="1111",TH!M941="1111")),TH!D941,""),"")</f>
        <v/>
      </c>
      <c r="B941" s="36">
        <f t="shared" si="339"/>
        <v>10</v>
      </c>
      <c r="C941" s="191">
        <f t="shared" si="341"/>
        <v>41568</v>
      </c>
      <c r="D941" s="184" t="s">
        <v>1062</v>
      </c>
      <c r="E941" s="184">
        <v>41568</v>
      </c>
      <c r="F941" s="189" t="s">
        <v>974</v>
      </c>
      <c r="G941" s="485" t="s">
        <v>970</v>
      </c>
      <c r="H941" s="193" t="s">
        <v>950</v>
      </c>
      <c r="I941" s="256">
        <v>21</v>
      </c>
      <c r="J941" s="256">
        <v>7700</v>
      </c>
      <c r="K941" s="38">
        <f t="shared" si="358"/>
        <v>161700</v>
      </c>
      <c r="L941" s="194" t="s">
        <v>265</v>
      </c>
      <c r="M941" s="194" t="s">
        <v>175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50"/>
      <c r="AC941" s="594"/>
    </row>
    <row r="942" spans="1:29" ht="15.75" customHeight="1">
      <c r="A942" s="204" t="str">
        <f>IF(B942&lt;&gt;"",IF(AND(B942&gt;=_TM1,B942&lt;=_TM2,OR(TH!L942="1111",TH!M942="1111")),TH!D942,""),"")</f>
        <v/>
      </c>
      <c r="B942" s="36">
        <f t="shared" si="339"/>
        <v>10</v>
      </c>
      <c r="C942" s="191">
        <f t="shared" si="341"/>
        <v>41568</v>
      </c>
      <c r="D942" s="184" t="s">
        <v>1062</v>
      </c>
      <c r="E942" s="184">
        <v>41568</v>
      </c>
      <c r="F942" s="189" t="s">
        <v>975</v>
      </c>
      <c r="G942" s="189" t="s">
        <v>970</v>
      </c>
      <c r="H942" s="193" t="s">
        <v>950</v>
      </c>
      <c r="I942" s="256">
        <v>8</v>
      </c>
      <c r="J942" s="256">
        <v>9700</v>
      </c>
      <c r="K942" s="38">
        <f t="shared" si="358"/>
        <v>77600</v>
      </c>
      <c r="L942" s="194" t="s">
        <v>265</v>
      </c>
      <c r="M942" s="194" t="s">
        <v>175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50"/>
      <c r="AC942" s="594"/>
    </row>
    <row r="943" spans="1:29" ht="15.75" customHeight="1">
      <c r="A943" s="204" t="str">
        <f>IF(B943&lt;&gt;"",IF(AND(B943&gt;=_TM1,B943&lt;=_TM2,OR(TH!L943="1111",TH!M943="1111")),TH!D943,""),"")</f>
        <v/>
      </c>
      <c r="B943" s="36">
        <f t="shared" si="339"/>
        <v>10</v>
      </c>
      <c r="C943" s="191">
        <f t="shared" si="341"/>
        <v>41568</v>
      </c>
      <c r="D943" s="184" t="s">
        <v>1062</v>
      </c>
      <c r="E943" s="184">
        <v>41568</v>
      </c>
      <c r="F943" s="189" t="s">
        <v>976</v>
      </c>
      <c r="G943" s="485" t="s">
        <v>970</v>
      </c>
      <c r="H943" s="193" t="s">
        <v>950</v>
      </c>
      <c r="I943" s="256">
        <v>10</v>
      </c>
      <c r="J943" s="256">
        <v>10350</v>
      </c>
      <c r="K943" s="38">
        <f t="shared" si="358"/>
        <v>103500</v>
      </c>
      <c r="L943" s="194" t="s">
        <v>265</v>
      </c>
      <c r="M943" s="194" t="s">
        <v>175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50"/>
      <c r="AC943" s="594"/>
    </row>
    <row r="944" spans="1:29" ht="15.75" customHeight="1">
      <c r="A944" s="204" t="str">
        <f>IF(B944&lt;&gt;"",IF(AND(B944&gt;=_TM1,B944&lt;=_TM2,OR(TH!L944="1111",TH!M944="1111")),TH!D944,""),"")</f>
        <v/>
      </c>
      <c r="B944" s="36">
        <f t="shared" si="339"/>
        <v>10</v>
      </c>
      <c r="C944" s="191">
        <f t="shared" si="341"/>
        <v>41568</v>
      </c>
      <c r="D944" s="184" t="s">
        <v>1062</v>
      </c>
      <c r="E944" s="184">
        <v>41568</v>
      </c>
      <c r="F944" s="189" t="s">
        <v>977</v>
      </c>
      <c r="G944" s="189" t="s">
        <v>970</v>
      </c>
      <c r="H944" s="193" t="s">
        <v>950</v>
      </c>
      <c r="I944" s="256">
        <v>10</v>
      </c>
      <c r="J944" s="256">
        <v>12600</v>
      </c>
      <c r="K944" s="38">
        <f t="shared" si="358"/>
        <v>126000</v>
      </c>
      <c r="L944" s="194" t="s">
        <v>265</v>
      </c>
      <c r="M944" s="194" t="s">
        <v>175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50"/>
      <c r="AB944" s="810"/>
      <c r="AC944" s="594"/>
    </row>
    <row r="945" spans="1:29" ht="15.75" customHeight="1">
      <c r="A945" s="204" t="str">
        <f>IF(B945&lt;&gt;"",IF(AND(B945&gt;=_TM1,B945&lt;=_TM2,OR(TH!L945="1111",TH!M945="1111")),TH!D945,""),"")</f>
        <v/>
      </c>
      <c r="B945" s="36">
        <f t="shared" si="339"/>
        <v>10</v>
      </c>
      <c r="C945" s="191">
        <f t="shared" si="341"/>
        <v>41568</v>
      </c>
      <c r="D945" s="184" t="s">
        <v>1062</v>
      </c>
      <c r="E945" s="184">
        <v>41568</v>
      </c>
      <c r="F945" s="189" t="s">
        <v>724</v>
      </c>
      <c r="G945" s="485" t="s">
        <v>970</v>
      </c>
      <c r="H945" s="193" t="s">
        <v>950</v>
      </c>
      <c r="I945" s="256"/>
      <c r="J945" s="256"/>
      <c r="K945" s="602">
        <v>179850</v>
      </c>
      <c r="L945" s="194" t="s">
        <v>265</v>
      </c>
      <c r="M945" s="194" t="s">
        <v>429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50"/>
      <c r="AB945" s="810"/>
      <c r="AC945" s="594" t="str">
        <f t="shared" si="334"/>
        <v/>
      </c>
    </row>
    <row r="946" spans="1:29" ht="15.75" customHeight="1">
      <c r="A946" s="204" t="str">
        <f>IF(B946&lt;&gt;"",IF(AND(B946&gt;=_TM1,B946&lt;=_TM2,OR(TH!L946="1111",TH!M946="1111")),TH!D946,""),"")</f>
        <v>TP/X18</v>
      </c>
      <c r="B946" s="36">
        <f t="shared" ref="B946" si="359">IF(C946&lt;&gt;"",MONTH(C946),"")</f>
        <v>10</v>
      </c>
      <c r="C946" s="191">
        <f t="shared" ref="C946" si="360">E946</f>
        <v>41568</v>
      </c>
      <c r="D946" s="184" t="s">
        <v>1062</v>
      </c>
      <c r="E946" s="184">
        <v>41568</v>
      </c>
      <c r="F946" s="189" t="s">
        <v>341</v>
      </c>
      <c r="G946" s="485" t="s">
        <v>970</v>
      </c>
      <c r="H946" s="193" t="s">
        <v>950</v>
      </c>
      <c r="I946" s="256"/>
      <c r="J946" s="256"/>
      <c r="K946" s="602">
        <v>1978350</v>
      </c>
      <c r="L946" s="194" t="s">
        <v>47</v>
      </c>
      <c r="M946" s="194" t="s">
        <v>265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50"/>
      <c r="AB946" s="810"/>
      <c r="AC946" s="594" t="str">
        <f t="shared" ref="AC946" si="361">IF(VLOOKUP(H946,DS_131,1,0)&lt;&gt;"","","x")</f>
        <v/>
      </c>
    </row>
    <row r="947" spans="1:29" ht="15.75" customHeight="1">
      <c r="A947" s="204" t="str">
        <f>IF(B947&lt;&gt;"",IF(AND(B947&gt;=_TM1,B947&lt;=_TM2,OR(TH!L947="1111",TH!M947="1111")),TH!D947,""),"")</f>
        <v/>
      </c>
      <c r="B947" s="36">
        <f t="shared" si="339"/>
        <v>10</v>
      </c>
      <c r="C947" s="191">
        <f t="shared" si="341"/>
        <v>41568</v>
      </c>
      <c r="D947" s="184" t="s">
        <v>1063</v>
      </c>
      <c r="E947" s="184">
        <v>41568</v>
      </c>
      <c r="F947" s="189" t="s">
        <v>978</v>
      </c>
      <c r="G947" s="189" t="s">
        <v>979</v>
      </c>
      <c r="H947" s="193" t="s">
        <v>950</v>
      </c>
      <c r="I947" s="256">
        <v>62</v>
      </c>
      <c r="J947" s="256">
        <v>7650</v>
      </c>
      <c r="K947" s="38">
        <f t="shared" ref="K947:K954" si="362">ROUND(I947*J947,0)</f>
        <v>474300</v>
      </c>
      <c r="L947" s="194" t="s">
        <v>265</v>
      </c>
      <c r="M947" s="194" t="s">
        <v>175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50"/>
      <c r="AB947" s="810"/>
      <c r="AC947" s="594"/>
    </row>
    <row r="948" spans="1:29" ht="15.75" customHeight="1">
      <c r="A948" s="204" t="str">
        <f>IF(B948&lt;&gt;"",IF(AND(B948&gt;=_TM1,B948&lt;=_TM2,OR(TH!L948="1111",TH!M948="1111")),TH!D948,""),"")</f>
        <v/>
      </c>
      <c r="B948" s="36">
        <f t="shared" si="339"/>
        <v>10</v>
      </c>
      <c r="C948" s="191">
        <f t="shared" si="341"/>
        <v>41568</v>
      </c>
      <c r="D948" s="184" t="s">
        <v>1063</v>
      </c>
      <c r="E948" s="184">
        <v>41568</v>
      </c>
      <c r="F948" s="189" t="s">
        <v>980</v>
      </c>
      <c r="G948" s="485" t="s">
        <v>981</v>
      </c>
      <c r="H948" s="193" t="s">
        <v>950</v>
      </c>
      <c r="I948" s="256">
        <v>50</v>
      </c>
      <c r="J948" s="256">
        <v>13500</v>
      </c>
      <c r="K948" s="38">
        <f t="shared" si="362"/>
        <v>675000</v>
      </c>
      <c r="L948" s="194" t="s">
        <v>265</v>
      </c>
      <c r="M948" s="194" t="s">
        <v>175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50"/>
      <c r="AB948" s="810"/>
      <c r="AC948" s="594"/>
    </row>
    <row r="949" spans="1:29" ht="15.75" customHeight="1">
      <c r="A949" s="204" t="str">
        <f>IF(B949&lt;&gt;"",IF(AND(B949&gt;=_TM1,B949&lt;=_TM2,OR(TH!L949="1111",TH!M949="1111")),TH!D949,""),"")</f>
        <v/>
      </c>
      <c r="B949" s="36">
        <f t="shared" si="339"/>
        <v>10</v>
      </c>
      <c r="C949" s="191">
        <f t="shared" si="341"/>
        <v>41568</v>
      </c>
      <c r="D949" s="184" t="s">
        <v>1063</v>
      </c>
      <c r="E949" s="184">
        <v>41568</v>
      </c>
      <c r="F949" s="189" t="s">
        <v>982</v>
      </c>
      <c r="G949" s="189" t="s">
        <v>983</v>
      </c>
      <c r="H949" s="193" t="s">
        <v>950</v>
      </c>
      <c r="I949" s="256">
        <v>51</v>
      </c>
      <c r="J949" s="256">
        <v>12100</v>
      </c>
      <c r="K949" s="38">
        <f t="shared" si="362"/>
        <v>617100</v>
      </c>
      <c r="L949" s="194" t="s">
        <v>265</v>
      </c>
      <c r="M949" s="194" t="s">
        <v>175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50"/>
      <c r="AB949" s="810"/>
      <c r="AC949" s="594"/>
    </row>
    <row r="950" spans="1:29" ht="15.75" customHeight="1">
      <c r="A950" s="204" t="str">
        <f>IF(B950&lt;&gt;"",IF(AND(B950&gt;=_TM1,B950&lt;=_TM2,OR(TH!L950="1111",TH!M950="1111")),TH!D950,""),"")</f>
        <v/>
      </c>
      <c r="B950" s="36">
        <f t="shared" si="339"/>
        <v>10</v>
      </c>
      <c r="C950" s="191">
        <f t="shared" si="341"/>
        <v>41568</v>
      </c>
      <c r="D950" s="184" t="s">
        <v>1063</v>
      </c>
      <c r="E950" s="184">
        <v>41568</v>
      </c>
      <c r="F950" s="189" t="s">
        <v>1156</v>
      </c>
      <c r="G950" s="485" t="s">
        <v>984</v>
      </c>
      <c r="H950" s="193" t="s">
        <v>950</v>
      </c>
      <c r="I950" s="256">
        <v>66</v>
      </c>
      <c r="J950" s="256">
        <v>4800</v>
      </c>
      <c r="K950" s="38">
        <f t="shared" si="362"/>
        <v>316800</v>
      </c>
      <c r="L950" s="194" t="s">
        <v>265</v>
      </c>
      <c r="M950" s="194" t="s">
        <v>175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50"/>
      <c r="AB950" s="810"/>
      <c r="AC950" s="594"/>
    </row>
    <row r="951" spans="1:29" ht="15.75" customHeight="1">
      <c r="A951" s="204" t="str">
        <f>IF(B951&lt;&gt;"",IF(AND(B951&gt;=_TM1,B951&lt;=_TM2,OR(TH!L951="1111",TH!M951="1111")),TH!D951,""),"")</f>
        <v/>
      </c>
      <c r="B951" s="36">
        <f t="shared" si="339"/>
        <v>10</v>
      </c>
      <c r="C951" s="191">
        <f t="shared" si="341"/>
        <v>41568</v>
      </c>
      <c r="D951" s="184" t="s">
        <v>1063</v>
      </c>
      <c r="E951" s="184">
        <v>41568</v>
      </c>
      <c r="F951" s="189" t="s">
        <v>1157</v>
      </c>
      <c r="G951" s="189" t="s">
        <v>642</v>
      </c>
      <c r="H951" s="193" t="s">
        <v>950</v>
      </c>
      <c r="I951" s="256">
        <v>62</v>
      </c>
      <c r="J951" s="256">
        <v>4700</v>
      </c>
      <c r="K951" s="38">
        <f t="shared" si="362"/>
        <v>291400</v>
      </c>
      <c r="L951" s="194" t="s">
        <v>265</v>
      </c>
      <c r="M951" s="194" t="s">
        <v>175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50"/>
      <c r="AB951" s="810"/>
      <c r="AC951" s="594"/>
    </row>
    <row r="952" spans="1:29" ht="15.75" customHeight="1">
      <c r="A952" s="204" t="str">
        <f>IF(B952&lt;&gt;"",IF(AND(B952&gt;=_TM1,B952&lt;=_TM2,OR(TH!L952="1111",TH!M952="1111")),TH!D952,""),"")</f>
        <v/>
      </c>
      <c r="B952" s="36">
        <f t="shared" si="339"/>
        <v>10</v>
      </c>
      <c r="C952" s="191">
        <f t="shared" si="341"/>
        <v>41568</v>
      </c>
      <c r="D952" s="184" t="s">
        <v>1063</v>
      </c>
      <c r="E952" s="184">
        <v>41568</v>
      </c>
      <c r="F952" s="189" t="s">
        <v>985</v>
      </c>
      <c r="G952" s="485" t="s">
        <v>986</v>
      </c>
      <c r="H952" s="193" t="s">
        <v>950</v>
      </c>
      <c r="I952" s="256">
        <v>16</v>
      </c>
      <c r="J952" s="256">
        <v>16600</v>
      </c>
      <c r="K952" s="38">
        <f t="shared" si="362"/>
        <v>265600</v>
      </c>
      <c r="L952" s="194" t="s">
        <v>265</v>
      </c>
      <c r="M952" s="194" t="s">
        <v>175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50"/>
      <c r="AB952" s="810"/>
      <c r="AC952" s="594"/>
    </row>
    <row r="953" spans="1:29" ht="15.75" customHeight="1">
      <c r="A953" s="204" t="str">
        <f>IF(B953&lt;&gt;"",IF(AND(B953&gt;=_TM1,B953&lt;=_TM2,OR(TH!L953="1111",TH!M953="1111")),TH!D953,""),"")</f>
        <v/>
      </c>
      <c r="B953" s="36">
        <f t="shared" si="339"/>
        <v>10</v>
      </c>
      <c r="C953" s="191">
        <f t="shared" si="341"/>
        <v>41568</v>
      </c>
      <c r="D953" s="184" t="s">
        <v>1063</v>
      </c>
      <c r="E953" s="184">
        <v>41568</v>
      </c>
      <c r="F953" s="189" t="s">
        <v>987</v>
      </c>
      <c r="G953" s="189" t="s">
        <v>988</v>
      </c>
      <c r="H953" s="193" t="s">
        <v>950</v>
      </c>
      <c r="I953" s="256">
        <v>13</v>
      </c>
      <c r="J953" s="256">
        <v>16300</v>
      </c>
      <c r="K953" s="38">
        <f t="shared" si="362"/>
        <v>211900</v>
      </c>
      <c r="L953" s="194" t="s">
        <v>265</v>
      </c>
      <c r="M953" s="194" t="s">
        <v>175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50"/>
      <c r="AB953" s="810"/>
      <c r="AC953" s="594"/>
    </row>
    <row r="954" spans="1:29" ht="15.75" customHeight="1">
      <c r="A954" s="204" t="str">
        <f>IF(B954&lt;&gt;"",IF(AND(B954&gt;=_TM1,B954&lt;=_TM2,OR(TH!L954="1111",TH!M954="1111")),TH!D954,""),"")</f>
        <v/>
      </c>
      <c r="B954" s="36">
        <f t="shared" si="339"/>
        <v>10</v>
      </c>
      <c r="C954" s="191">
        <f t="shared" si="341"/>
        <v>41568</v>
      </c>
      <c r="D954" s="184" t="s">
        <v>1063</v>
      </c>
      <c r="E954" s="184">
        <v>41568</v>
      </c>
      <c r="F954" s="189" t="s">
        <v>989</v>
      </c>
      <c r="G954" s="189" t="s">
        <v>990</v>
      </c>
      <c r="H954" s="193" t="s">
        <v>950</v>
      </c>
      <c r="I954" s="256">
        <v>13</v>
      </c>
      <c r="J954" s="256">
        <v>23850</v>
      </c>
      <c r="K954" s="38">
        <f t="shared" si="362"/>
        <v>310050</v>
      </c>
      <c r="L954" s="194" t="s">
        <v>265</v>
      </c>
      <c r="M954" s="194" t="s">
        <v>175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50"/>
      <c r="AB954" s="810"/>
      <c r="AC954" s="594"/>
    </row>
    <row r="955" spans="1:29" ht="15.75" customHeight="1">
      <c r="A955" s="204" t="str">
        <f>IF(B955&lt;&gt;"",IF(AND(B955&gt;=_TM1,B955&lt;=_TM2,OR(TH!L955="1111",TH!M955="1111")),TH!D955,""),"")</f>
        <v/>
      </c>
      <c r="B955" s="36">
        <f t="shared" si="339"/>
        <v>10</v>
      </c>
      <c r="C955" s="191">
        <f t="shared" si="341"/>
        <v>41568</v>
      </c>
      <c r="D955" s="184" t="s">
        <v>1063</v>
      </c>
      <c r="E955" s="184">
        <v>41568</v>
      </c>
      <c r="F955" s="189" t="s">
        <v>724</v>
      </c>
      <c r="G955" s="189" t="s">
        <v>979</v>
      </c>
      <c r="H955" s="193" t="s">
        <v>950</v>
      </c>
      <c r="I955" s="256"/>
      <c r="J955" s="256"/>
      <c r="K955" s="602">
        <v>316215</v>
      </c>
      <c r="L955" s="194" t="s">
        <v>265</v>
      </c>
      <c r="M955" s="194" t="s">
        <v>429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50"/>
      <c r="AB955" s="810"/>
      <c r="AC955" s="594" t="str">
        <f t="shared" ref="AC955:AC1027" si="363">IF(VLOOKUP(H955,DS_131,1,0)&lt;&gt;"","","x")</f>
        <v/>
      </c>
    </row>
    <row r="956" spans="1:29" ht="15.75" customHeight="1">
      <c r="A956" s="204" t="str">
        <f>IF(B956&lt;&gt;"",IF(AND(B956&gt;=_TM1,B956&lt;=_TM2,OR(TH!L956="1111",TH!M956="1111")),TH!D956,""),"")</f>
        <v>TP/X19</v>
      </c>
      <c r="B956" s="36">
        <f t="shared" ref="B956" si="364">IF(C956&lt;&gt;"",MONTH(C956),"")</f>
        <v>10</v>
      </c>
      <c r="C956" s="191">
        <f t="shared" ref="C956" si="365">E956</f>
        <v>41568</v>
      </c>
      <c r="D956" s="184" t="s">
        <v>1063</v>
      </c>
      <c r="E956" s="184">
        <v>41568</v>
      </c>
      <c r="F956" s="189" t="s">
        <v>341</v>
      </c>
      <c r="G956" s="189" t="s">
        <v>979</v>
      </c>
      <c r="H956" s="193" t="s">
        <v>950</v>
      </c>
      <c r="I956" s="256"/>
      <c r="J956" s="256"/>
      <c r="K956" s="602">
        <v>3478365</v>
      </c>
      <c r="L956" s="194" t="s">
        <v>47</v>
      </c>
      <c r="M956" s="194" t="s">
        <v>265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50"/>
      <c r="AB956" s="810"/>
      <c r="AC956" s="594" t="str">
        <f t="shared" ref="AC956" si="366">IF(VLOOKUP(H956,DS_131,1,0)&lt;&gt;"","","x")</f>
        <v/>
      </c>
    </row>
    <row r="957" spans="1:29" ht="15.75" customHeight="1">
      <c r="A957" s="204" t="str">
        <f>IF(B957&lt;&gt;"",IF(AND(B957&gt;=_TM1,B957&lt;=_TM2,OR(TH!L957="1111",TH!M957="1111")),TH!D957,""),"")</f>
        <v/>
      </c>
      <c r="B957" s="36">
        <f t="shared" si="339"/>
        <v>10</v>
      </c>
      <c r="C957" s="191">
        <f t="shared" si="341"/>
        <v>41568</v>
      </c>
      <c r="D957" s="184" t="s">
        <v>1064</v>
      </c>
      <c r="E957" s="184">
        <v>41568</v>
      </c>
      <c r="F957" s="189" t="s">
        <v>1153</v>
      </c>
      <c r="G957" s="485" t="s">
        <v>981</v>
      </c>
      <c r="H957" s="193" t="s">
        <v>950</v>
      </c>
      <c r="I957" s="256">
        <v>200</v>
      </c>
      <c r="J957" s="256">
        <v>3900</v>
      </c>
      <c r="K957" s="38">
        <f>ROUND(I957*J957,0)</f>
        <v>780000</v>
      </c>
      <c r="L957" s="194" t="s">
        <v>265</v>
      </c>
      <c r="M957" s="194" t="s">
        <v>175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50"/>
      <c r="AB957" s="810"/>
      <c r="AC957" s="594"/>
    </row>
    <row r="958" spans="1:29" ht="15.75" customHeight="1">
      <c r="A958" s="204" t="str">
        <f>IF(B958&lt;&gt;"",IF(AND(B958&gt;=_TM1,B958&lt;=_TM2,OR(TH!L958="1111",TH!M958="1111")),TH!D958,""),"")</f>
        <v/>
      </c>
      <c r="B958" s="36">
        <f t="shared" si="339"/>
        <v>10</v>
      </c>
      <c r="C958" s="191">
        <f t="shared" si="341"/>
        <v>41568</v>
      </c>
      <c r="D958" s="184" t="s">
        <v>1064</v>
      </c>
      <c r="E958" s="184">
        <v>41568</v>
      </c>
      <c r="F958" s="189" t="s">
        <v>724</v>
      </c>
      <c r="G958" s="189" t="s">
        <v>981</v>
      </c>
      <c r="H958" s="193" t="s">
        <v>950</v>
      </c>
      <c r="I958" s="256"/>
      <c r="J958" s="256"/>
      <c r="K958" s="602">
        <v>78000</v>
      </c>
      <c r="L958" s="194" t="s">
        <v>265</v>
      </c>
      <c r="M958" s="194" t="s">
        <v>429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50"/>
      <c r="AB958" s="810"/>
      <c r="AC958" s="594" t="str">
        <f t="shared" si="363"/>
        <v/>
      </c>
    </row>
    <row r="959" spans="1:29" ht="15.75" customHeight="1">
      <c r="A959" s="204" t="str">
        <f>IF(B959&lt;&gt;"",IF(AND(B959&gt;=_TM1,B959&lt;=_TM2,OR(TH!L959="1111",TH!M959="1111")),TH!D959,""),"")</f>
        <v>TP/X20</v>
      </c>
      <c r="B959" s="36">
        <f t="shared" ref="B959" si="367">IF(C959&lt;&gt;"",MONTH(C959),"")</f>
        <v>10</v>
      </c>
      <c r="C959" s="191">
        <f t="shared" ref="C959" si="368">E959</f>
        <v>41568</v>
      </c>
      <c r="D959" s="184" t="s">
        <v>1064</v>
      </c>
      <c r="E959" s="184">
        <v>41568</v>
      </c>
      <c r="F959" s="189" t="s">
        <v>341</v>
      </c>
      <c r="G959" s="189" t="s">
        <v>981</v>
      </c>
      <c r="H959" s="193" t="s">
        <v>950</v>
      </c>
      <c r="I959" s="256"/>
      <c r="J959" s="256"/>
      <c r="K959" s="602">
        <v>858000</v>
      </c>
      <c r="L959" s="194" t="s">
        <v>47</v>
      </c>
      <c r="M959" s="194" t="s">
        <v>265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50"/>
      <c r="AB959" s="810"/>
      <c r="AC959" s="594" t="str">
        <f t="shared" ref="AC959" si="369">IF(VLOOKUP(H959,DS_131,1,0)&lt;&gt;"","","x")</f>
        <v/>
      </c>
    </row>
    <row r="960" spans="1:29" ht="15.75" customHeight="1">
      <c r="A960" s="204" t="str">
        <f>IF(B960&lt;&gt;"",IF(AND(B960&gt;=_TM1,B960&lt;=_TM2,OR(TH!L960="1111",TH!M960="1111")),TH!D960,""),"")</f>
        <v/>
      </c>
      <c r="B960" s="36">
        <f t="shared" si="339"/>
        <v>10</v>
      </c>
      <c r="C960" s="191">
        <f t="shared" si="341"/>
        <v>41568</v>
      </c>
      <c r="D960" s="184" t="s">
        <v>1065</v>
      </c>
      <c r="E960" s="184">
        <v>41568</v>
      </c>
      <c r="F960" s="189" t="s">
        <v>991</v>
      </c>
      <c r="G960" s="485" t="s">
        <v>986</v>
      </c>
      <c r="H960" s="7" t="s">
        <v>877</v>
      </c>
      <c r="I960" s="256">
        <v>50</v>
      </c>
      <c r="J960" s="256">
        <v>70000</v>
      </c>
      <c r="K960" s="38">
        <f t="shared" ref="K960:K961" si="370">ROUND(I960*J960,0)</f>
        <v>3500000</v>
      </c>
      <c r="L960" s="194" t="s">
        <v>265</v>
      </c>
      <c r="M960" s="194" t="s">
        <v>175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50"/>
      <c r="AB960" s="810"/>
      <c r="AC960" s="594"/>
    </row>
    <row r="961" spans="1:29" ht="15.75" customHeight="1">
      <c r="A961" s="204" t="str">
        <f>IF(B961&lt;&gt;"",IF(AND(B961&gt;=_TM1,B961&lt;=_TM2,OR(TH!L961="1111",TH!M961="1111")),TH!D961,""),"")</f>
        <v/>
      </c>
      <c r="B961" s="36">
        <f t="shared" si="339"/>
        <v>10</v>
      </c>
      <c r="C961" s="191">
        <f t="shared" si="341"/>
        <v>41568</v>
      </c>
      <c r="D961" s="184" t="s">
        <v>1065</v>
      </c>
      <c r="E961" s="184">
        <v>41568</v>
      </c>
      <c r="F961" s="189" t="s">
        <v>992</v>
      </c>
      <c r="G961" s="189" t="s">
        <v>986</v>
      </c>
      <c r="H961" s="7" t="s">
        <v>877</v>
      </c>
      <c r="I961" s="256">
        <v>50</v>
      </c>
      <c r="J961" s="256">
        <v>80000</v>
      </c>
      <c r="K961" s="38">
        <f t="shared" si="370"/>
        <v>4000000</v>
      </c>
      <c r="L961" s="194" t="s">
        <v>265</v>
      </c>
      <c r="M961" s="194" t="s">
        <v>175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50"/>
      <c r="AB961" s="810"/>
      <c r="AC961" s="594"/>
    </row>
    <row r="962" spans="1:29" ht="15.75" customHeight="1">
      <c r="A962" s="204" t="str">
        <f>IF(B962&lt;&gt;"",IF(AND(B962&gt;=_TM1,B962&lt;=_TM2,OR(TH!L962="1111",TH!M962="1111")),TH!D962,""),"")</f>
        <v/>
      </c>
      <c r="B962" s="36">
        <f t="shared" ref="B962:B1033" si="371">IF(C962&lt;&gt;"",MONTH(C962),"")</f>
        <v>10</v>
      </c>
      <c r="C962" s="191">
        <f t="shared" si="341"/>
        <v>41568</v>
      </c>
      <c r="D962" s="184" t="s">
        <v>1065</v>
      </c>
      <c r="E962" s="184">
        <v>41568</v>
      </c>
      <c r="F962" s="189" t="s">
        <v>724</v>
      </c>
      <c r="G962" s="485" t="s">
        <v>986</v>
      </c>
      <c r="H962" s="7" t="s">
        <v>877</v>
      </c>
      <c r="I962" s="256"/>
      <c r="J962" s="256"/>
      <c r="K962" s="602">
        <v>750000</v>
      </c>
      <c r="L962" s="194" t="s">
        <v>265</v>
      </c>
      <c r="M962" s="194" t="s">
        <v>429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50"/>
      <c r="AB962" s="810"/>
      <c r="AC962" s="594" t="str">
        <f t="shared" si="363"/>
        <v/>
      </c>
    </row>
    <row r="963" spans="1:29" ht="15.75" customHeight="1">
      <c r="A963" s="204" t="str">
        <f>IF(B963&lt;&gt;"",IF(AND(B963&gt;=_TM1,B963&lt;=_TM2,OR(TH!L963="1111",TH!M963="1111")),TH!D963,""),"")</f>
        <v>TP/X21</v>
      </c>
      <c r="B963" s="36">
        <f t="shared" ref="B963" si="372">IF(C963&lt;&gt;"",MONTH(C963),"")</f>
        <v>10</v>
      </c>
      <c r="C963" s="191">
        <f t="shared" ref="C963" si="373">E963</f>
        <v>41568</v>
      </c>
      <c r="D963" s="184" t="s">
        <v>1065</v>
      </c>
      <c r="E963" s="184">
        <v>41568</v>
      </c>
      <c r="F963" s="189" t="s">
        <v>341</v>
      </c>
      <c r="G963" s="485" t="s">
        <v>986</v>
      </c>
      <c r="H963" s="7" t="s">
        <v>877</v>
      </c>
      <c r="I963" s="256"/>
      <c r="J963" s="256"/>
      <c r="K963" s="602">
        <v>8250000</v>
      </c>
      <c r="L963" s="194" t="s">
        <v>47</v>
      </c>
      <c r="M963" s="194" t="s">
        <v>265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50"/>
      <c r="AB963" s="810"/>
      <c r="AC963" s="594" t="str">
        <f t="shared" ref="AC963" si="374">IF(VLOOKUP(H963,DS_131,1,0)&lt;&gt;"","","x")</f>
        <v/>
      </c>
    </row>
    <row r="964" spans="1:29" ht="15.75" customHeight="1">
      <c r="A964" s="204" t="str">
        <f>IF(B964&lt;&gt;"",IF(AND(B964&gt;=_TM1,B964&lt;=_TM2,OR(TH!L964="1111",TH!M964="1111")),TH!D964,""),"")</f>
        <v/>
      </c>
      <c r="B964" s="36">
        <f t="shared" si="371"/>
        <v>10</v>
      </c>
      <c r="C964" s="191">
        <f t="shared" si="341"/>
        <v>41569</v>
      </c>
      <c r="D964" s="184" t="s">
        <v>1066</v>
      </c>
      <c r="E964" s="184">
        <v>41569</v>
      </c>
      <c r="F964" s="189" t="s">
        <v>1152</v>
      </c>
      <c r="G964" s="189" t="s">
        <v>988</v>
      </c>
      <c r="H964" s="7" t="s">
        <v>914</v>
      </c>
      <c r="I964" s="256">
        <v>1980</v>
      </c>
      <c r="J964" s="256">
        <v>5300</v>
      </c>
      <c r="K964" s="38">
        <f>ROUND(I964*J964,0)</f>
        <v>10494000</v>
      </c>
      <c r="L964" s="194" t="s">
        <v>265</v>
      </c>
      <c r="M964" s="194" t="s">
        <v>175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50"/>
      <c r="AB964" s="810"/>
      <c r="AC964" s="594"/>
    </row>
    <row r="965" spans="1:29" ht="15.75" customHeight="1">
      <c r="A965" s="204" t="str">
        <f>IF(B965&lt;&gt;"",IF(AND(B965&gt;=_TM1,B965&lt;=_TM2,OR(TH!L965="1111",TH!M965="1111")),TH!D965,""),"")</f>
        <v/>
      </c>
      <c r="B965" s="36">
        <f t="shared" si="371"/>
        <v>10</v>
      </c>
      <c r="C965" s="191">
        <f t="shared" si="341"/>
        <v>41569</v>
      </c>
      <c r="D965" s="184" t="s">
        <v>1066</v>
      </c>
      <c r="E965" s="184">
        <v>41569</v>
      </c>
      <c r="F965" s="189" t="s">
        <v>724</v>
      </c>
      <c r="G965" s="485" t="s">
        <v>988</v>
      </c>
      <c r="H965" s="7" t="s">
        <v>914</v>
      </c>
      <c r="I965" s="256"/>
      <c r="J965" s="256"/>
      <c r="K965" s="602">
        <v>1049400</v>
      </c>
      <c r="L965" s="194" t="s">
        <v>265</v>
      </c>
      <c r="M965" s="194" t="s">
        <v>429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50"/>
      <c r="AB965" s="810"/>
      <c r="AC965" s="594" t="str">
        <f t="shared" si="363"/>
        <v/>
      </c>
    </row>
    <row r="966" spans="1:29" ht="15.75" customHeight="1">
      <c r="A966" s="204" t="str">
        <f>IF(B966&lt;&gt;"",IF(AND(B966&gt;=_TM1,B966&lt;=_TM2,OR(TH!L966="1111",TH!M966="1111")),TH!D966,""),"")</f>
        <v/>
      </c>
      <c r="B966" s="36">
        <f t="shared" si="371"/>
        <v>10</v>
      </c>
      <c r="C966" s="191">
        <f t="shared" ref="C966:C1037" si="375">E966</f>
        <v>41571</v>
      </c>
      <c r="D966" s="184" t="s">
        <v>1067</v>
      </c>
      <c r="E966" s="184">
        <v>41571</v>
      </c>
      <c r="F966" s="192" t="s">
        <v>1129</v>
      </c>
      <c r="G966" s="189" t="s">
        <v>990</v>
      </c>
      <c r="H966" s="7" t="s">
        <v>541</v>
      </c>
      <c r="I966" s="256">
        <v>100</v>
      </c>
      <c r="J966" s="256">
        <v>6400</v>
      </c>
      <c r="K966" s="38">
        <f t="shared" ref="K966:K968" si="376">ROUND(I966*J966,0)</f>
        <v>640000</v>
      </c>
      <c r="L966" s="194" t="s">
        <v>265</v>
      </c>
      <c r="M966" s="194" t="s">
        <v>175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50"/>
      <c r="AB966" s="810"/>
      <c r="AC966" s="594"/>
    </row>
    <row r="967" spans="1:29" ht="15.75" customHeight="1">
      <c r="A967" s="204" t="str">
        <f>IF(B967&lt;&gt;"",IF(AND(B967&gt;=_TM1,B967&lt;=_TM2,OR(TH!L967="1111",TH!M967="1111")),TH!D967,""),"")</f>
        <v/>
      </c>
      <c r="B967" s="36">
        <f t="shared" si="371"/>
        <v>10</v>
      </c>
      <c r="C967" s="191">
        <f t="shared" si="375"/>
        <v>41571</v>
      </c>
      <c r="D967" s="184" t="s">
        <v>1067</v>
      </c>
      <c r="E967" s="184">
        <v>41571</v>
      </c>
      <c r="F967" s="189" t="s">
        <v>812</v>
      </c>
      <c r="G967" s="485" t="s">
        <v>990</v>
      </c>
      <c r="H967" s="7" t="s">
        <v>541</v>
      </c>
      <c r="I967" s="256">
        <v>200</v>
      </c>
      <c r="J967" s="256">
        <v>9800</v>
      </c>
      <c r="K967" s="38">
        <f t="shared" si="376"/>
        <v>1960000</v>
      </c>
      <c r="L967" s="194" t="s">
        <v>265</v>
      </c>
      <c r="M967" s="194" t="s">
        <v>175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50"/>
      <c r="AB967" s="810"/>
      <c r="AC967" s="594"/>
    </row>
    <row r="968" spans="1:29" ht="15.75" customHeight="1">
      <c r="A968" s="204" t="str">
        <f>IF(B968&lt;&gt;"",IF(AND(B968&gt;=_TM1,B968&lt;=_TM2,OR(TH!L968="1111",TH!M968="1111")),TH!D968,""),"")</f>
        <v/>
      </c>
      <c r="B968" s="36">
        <f t="shared" si="371"/>
        <v>10</v>
      </c>
      <c r="C968" s="191">
        <f t="shared" si="375"/>
        <v>41571</v>
      </c>
      <c r="D968" s="184" t="s">
        <v>1067</v>
      </c>
      <c r="E968" s="184">
        <v>41571</v>
      </c>
      <c r="F968" s="192" t="s">
        <v>1129</v>
      </c>
      <c r="G968" s="189" t="s">
        <v>990</v>
      </c>
      <c r="H968" s="7" t="s">
        <v>541</v>
      </c>
      <c r="I968" s="256">
        <v>200</v>
      </c>
      <c r="J968" s="256">
        <v>6400</v>
      </c>
      <c r="K968" s="38">
        <f t="shared" si="376"/>
        <v>1280000</v>
      </c>
      <c r="L968" s="194" t="s">
        <v>265</v>
      </c>
      <c r="M968" s="194" t="s">
        <v>175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50"/>
      <c r="AB968" s="810"/>
      <c r="AC968" s="594"/>
    </row>
    <row r="969" spans="1:29" ht="15.75" customHeight="1">
      <c r="A969" s="204" t="str">
        <f>IF(B969&lt;&gt;"",IF(AND(B969&gt;=_TM1,B969&lt;=_TM2,OR(TH!L969="1111",TH!M969="1111")),TH!D969,""),"")</f>
        <v/>
      </c>
      <c r="B969" s="36">
        <f t="shared" si="371"/>
        <v>10</v>
      </c>
      <c r="C969" s="191">
        <f t="shared" si="375"/>
        <v>41571</v>
      </c>
      <c r="D969" s="184" t="s">
        <v>1067</v>
      </c>
      <c r="E969" s="184">
        <v>41571</v>
      </c>
      <c r="F969" s="189" t="s">
        <v>724</v>
      </c>
      <c r="G969" s="485" t="s">
        <v>990</v>
      </c>
      <c r="H969" s="7" t="s">
        <v>541</v>
      </c>
      <c r="I969" s="256"/>
      <c r="J969" s="256"/>
      <c r="K969" s="602">
        <v>388000</v>
      </c>
      <c r="L969" s="194" t="s">
        <v>265</v>
      </c>
      <c r="M969" s="194" t="s">
        <v>429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50"/>
      <c r="AB969" s="810"/>
      <c r="AC969" s="594" t="str">
        <f t="shared" si="363"/>
        <v/>
      </c>
    </row>
    <row r="970" spans="1:29" ht="15.75" customHeight="1">
      <c r="A970" s="204" t="str">
        <f>IF(B970&lt;&gt;"",IF(AND(B970&gt;=_TM1,B970&lt;=_TM2,OR(TH!L970="1111",TH!M970="1111")),TH!D970,""),"")</f>
        <v/>
      </c>
      <c r="B970" s="36">
        <f t="shared" si="371"/>
        <v>10</v>
      </c>
      <c r="C970" s="191">
        <f t="shared" si="375"/>
        <v>41571</v>
      </c>
      <c r="D970" s="184" t="s">
        <v>1068</v>
      </c>
      <c r="E970" s="184">
        <v>41571</v>
      </c>
      <c r="F970" s="189" t="s">
        <v>938</v>
      </c>
      <c r="G970" s="189" t="s">
        <v>993</v>
      </c>
      <c r="H970" s="193" t="s">
        <v>548</v>
      </c>
      <c r="I970" s="256">
        <v>585</v>
      </c>
      <c r="J970" s="256">
        <v>18600</v>
      </c>
      <c r="K970" s="38">
        <f>ROUND(I970*J970,0)</f>
        <v>10881000</v>
      </c>
      <c r="L970" s="194" t="s">
        <v>265</v>
      </c>
      <c r="M970" s="194" t="s">
        <v>175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50"/>
      <c r="AB970" s="810"/>
      <c r="AC970" s="594"/>
    </row>
    <row r="971" spans="1:29" ht="15.75" customHeight="1">
      <c r="A971" s="204" t="str">
        <f>IF(B971&lt;&gt;"",IF(AND(B971&gt;=_TM1,B971&lt;=_TM2,OR(TH!L971="1111",TH!M971="1111")),TH!D971,""),"")</f>
        <v/>
      </c>
      <c r="B971" s="36">
        <f t="shared" si="371"/>
        <v>10</v>
      </c>
      <c r="C971" s="191">
        <f t="shared" si="375"/>
        <v>41571</v>
      </c>
      <c r="D971" s="184" t="s">
        <v>1068</v>
      </c>
      <c r="E971" s="191">
        <v>41571</v>
      </c>
      <c r="F971" s="192" t="s">
        <v>724</v>
      </c>
      <c r="G971" s="664" t="s">
        <v>993</v>
      </c>
      <c r="H971" s="193" t="s">
        <v>548</v>
      </c>
      <c r="I971" s="256"/>
      <c r="J971" s="879"/>
      <c r="K971" s="38">
        <v>1088100</v>
      </c>
      <c r="L971" s="194" t="s">
        <v>265</v>
      </c>
      <c r="M971" s="194" t="s">
        <v>429</v>
      </c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50"/>
      <c r="AB971" s="810"/>
      <c r="AC971" s="594" t="str">
        <f t="shared" si="363"/>
        <v/>
      </c>
    </row>
    <row r="972" spans="1:29" ht="15.75" customHeight="1">
      <c r="A972" s="204" t="str">
        <f>IF(B972&lt;&gt;"",IF(AND(B972&gt;=_TM1,B972&lt;=_TM2,OR(TH!L972="1111",TH!M972="1111")),TH!D972,""),"")</f>
        <v/>
      </c>
      <c r="B972" s="36">
        <f t="shared" si="371"/>
        <v>10</v>
      </c>
      <c r="C972" s="191">
        <f t="shared" si="375"/>
        <v>41573</v>
      </c>
      <c r="D972" s="184" t="s">
        <v>1069</v>
      </c>
      <c r="E972" s="191">
        <v>41573</v>
      </c>
      <c r="F972" s="192" t="s">
        <v>1148</v>
      </c>
      <c r="G972" s="192" t="s">
        <v>994</v>
      </c>
      <c r="H972" s="193" t="s">
        <v>894</v>
      </c>
      <c r="I972" s="256">
        <v>49</v>
      </c>
      <c r="J972" s="256">
        <v>4700</v>
      </c>
      <c r="K972" s="38">
        <f t="shared" ref="K972:K973" si="377">ROUND(I972*J972,0)</f>
        <v>230300</v>
      </c>
      <c r="L972" s="194" t="s">
        <v>265</v>
      </c>
      <c r="M972" s="194" t="s">
        <v>175</v>
      </c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50"/>
      <c r="AB972" s="810"/>
      <c r="AC972" s="594"/>
    </row>
    <row r="973" spans="1:29" ht="15.75" customHeight="1">
      <c r="A973" s="204" t="str">
        <f>IF(B973&lt;&gt;"",IF(AND(B973&gt;=_TM1,B973&lt;=_TM2,OR(TH!L973="1111",TH!M973="1111")),TH!D973,""),"")</f>
        <v/>
      </c>
      <c r="B973" s="36">
        <f t="shared" si="371"/>
        <v>10</v>
      </c>
      <c r="C973" s="191">
        <f t="shared" si="375"/>
        <v>41573</v>
      </c>
      <c r="D973" s="184" t="s">
        <v>1069</v>
      </c>
      <c r="E973" s="191">
        <v>41573</v>
      </c>
      <c r="F973" s="192" t="s">
        <v>1147</v>
      </c>
      <c r="G973" s="192" t="s">
        <v>994</v>
      </c>
      <c r="H973" s="193" t="s">
        <v>894</v>
      </c>
      <c r="I973" s="256">
        <v>3191</v>
      </c>
      <c r="J973" s="256">
        <v>4210</v>
      </c>
      <c r="K973" s="38">
        <f t="shared" si="377"/>
        <v>13434110</v>
      </c>
      <c r="L973" s="194" t="s">
        <v>265</v>
      </c>
      <c r="M973" s="194" t="s">
        <v>175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50"/>
      <c r="AB973" s="810"/>
      <c r="AC973" s="594"/>
    </row>
    <row r="974" spans="1:29" ht="15.75" customHeight="1">
      <c r="A974" s="204" t="str">
        <f>IF(B974&lt;&gt;"",IF(AND(B974&gt;=_TM1,B974&lt;=_TM2,OR(TH!L974="1111",TH!M974="1111")),TH!D974,""),"")</f>
        <v/>
      </c>
      <c r="B974" s="36">
        <f t="shared" si="371"/>
        <v>10</v>
      </c>
      <c r="C974" s="191">
        <f t="shared" si="375"/>
        <v>41573</v>
      </c>
      <c r="D974" s="184" t="s">
        <v>1069</v>
      </c>
      <c r="E974" s="191">
        <v>41573</v>
      </c>
      <c r="F974" s="192" t="s">
        <v>724</v>
      </c>
      <c r="G974" s="192" t="s">
        <v>994</v>
      </c>
      <c r="H974" s="7" t="s">
        <v>894</v>
      </c>
      <c r="I974" s="256"/>
      <c r="J974" s="256"/>
      <c r="K974" s="38">
        <v>1366441</v>
      </c>
      <c r="L974" s="194" t="s">
        <v>265</v>
      </c>
      <c r="M974" s="194" t="s">
        <v>429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50"/>
      <c r="AB974" s="810"/>
      <c r="AC974" s="594" t="str">
        <f t="shared" si="363"/>
        <v/>
      </c>
    </row>
    <row r="975" spans="1:29" ht="15.75" customHeight="1">
      <c r="A975" s="204" t="str">
        <f>IF(B975&lt;&gt;"",IF(AND(B975&gt;=_TM1,B975&lt;=_TM2,OR(TH!L975="1111",TH!M975="1111")),TH!D975,""),"")</f>
        <v/>
      </c>
      <c r="B975" s="36">
        <f t="shared" si="371"/>
        <v>10</v>
      </c>
      <c r="C975" s="191">
        <f t="shared" si="375"/>
        <v>41577</v>
      </c>
      <c r="D975" s="184" t="s">
        <v>1070</v>
      </c>
      <c r="E975" s="191">
        <v>41577</v>
      </c>
      <c r="F975" s="192" t="s">
        <v>940</v>
      </c>
      <c r="G975" s="192" t="s">
        <v>995</v>
      </c>
      <c r="H975" s="7" t="s">
        <v>548</v>
      </c>
      <c r="I975" s="256">
        <v>371</v>
      </c>
      <c r="J975" s="256">
        <v>16300</v>
      </c>
      <c r="K975" s="38">
        <f>ROUND(I975*J975,0)</f>
        <v>6047300</v>
      </c>
      <c r="L975" s="194" t="s">
        <v>265</v>
      </c>
      <c r="M975" s="194" t="s">
        <v>175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50"/>
      <c r="AB975" s="810"/>
      <c r="AC975" s="594"/>
    </row>
    <row r="976" spans="1:29" ht="15.75" customHeight="1">
      <c r="A976" s="204" t="str">
        <f>IF(B976&lt;&gt;"",IF(AND(B976&gt;=_TM1,B976&lt;=_TM2,OR(TH!L976="1111",TH!M976="1111")),TH!D976,""),"")</f>
        <v/>
      </c>
      <c r="B976" s="36">
        <f t="shared" si="371"/>
        <v>10</v>
      </c>
      <c r="C976" s="191">
        <f t="shared" si="375"/>
        <v>41577</v>
      </c>
      <c r="D976" s="184" t="s">
        <v>1070</v>
      </c>
      <c r="E976" s="191">
        <v>41577</v>
      </c>
      <c r="F976" s="192" t="s">
        <v>724</v>
      </c>
      <c r="G976" s="192" t="s">
        <v>995</v>
      </c>
      <c r="H976" s="7" t="s">
        <v>548</v>
      </c>
      <c r="I976" s="256"/>
      <c r="J976" s="256"/>
      <c r="K976" s="38">
        <v>604730</v>
      </c>
      <c r="L976" s="194" t="s">
        <v>265</v>
      </c>
      <c r="M976" s="194" t="s">
        <v>429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50"/>
      <c r="AB976" s="810"/>
      <c r="AC976" s="594" t="str">
        <f t="shared" si="363"/>
        <v/>
      </c>
    </row>
    <row r="977" spans="1:29" ht="15.75" customHeight="1">
      <c r="A977" s="204" t="str">
        <f>IF(B977&lt;&gt;"",IF(AND(B977&gt;=_TM1,B977&lt;=_TM2,OR(TH!L977="1111",TH!M977="1111")),TH!D977,""),"")</f>
        <v/>
      </c>
      <c r="B977" s="36">
        <f t="shared" si="371"/>
        <v>10</v>
      </c>
      <c r="C977" s="191">
        <f t="shared" si="375"/>
        <v>41578</v>
      </c>
      <c r="D977" s="184" t="s">
        <v>1071</v>
      </c>
      <c r="E977" s="191">
        <v>41578</v>
      </c>
      <c r="F977" s="192" t="s">
        <v>729</v>
      </c>
      <c r="G977" s="487" t="s">
        <v>996</v>
      </c>
      <c r="H977" s="193" t="s">
        <v>501</v>
      </c>
      <c r="I977" s="256">
        <v>999</v>
      </c>
      <c r="J977" s="256">
        <v>8740</v>
      </c>
      <c r="K977" s="38">
        <f>ROUND(I977*J977,0)</f>
        <v>8731260</v>
      </c>
      <c r="L977" s="194" t="s">
        <v>265</v>
      </c>
      <c r="M977" s="194" t="s">
        <v>175</v>
      </c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50"/>
      <c r="AB977" s="810"/>
      <c r="AC977" s="594"/>
    </row>
    <row r="978" spans="1:29" ht="15.75" customHeight="1">
      <c r="A978" s="204" t="str">
        <f>IF(B978&lt;&gt;"",IF(AND(B978&gt;=_TM1,B978&lt;=_TM2,OR(TH!L978="1111",TH!M978="1111")),TH!D978,""),"")</f>
        <v/>
      </c>
      <c r="B978" s="36">
        <f t="shared" si="371"/>
        <v>10</v>
      </c>
      <c r="C978" s="191">
        <f t="shared" si="375"/>
        <v>41578</v>
      </c>
      <c r="D978" s="184" t="s">
        <v>1071</v>
      </c>
      <c r="E978" s="191">
        <v>41578</v>
      </c>
      <c r="F978" s="192" t="s">
        <v>724</v>
      </c>
      <c r="G978" s="487" t="s">
        <v>996</v>
      </c>
      <c r="H978" s="193" t="s">
        <v>501</v>
      </c>
      <c r="I978" s="256"/>
      <c r="J978" s="256"/>
      <c r="K978" s="38">
        <v>873126</v>
      </c>
      <c r="L978" s="194" t="s">
        <v>265</v>
      </c>
      <c r="M978" s="194" t="s">
        <v>429</v>
      </c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50"/>
      <c r="AB978" s="810"/>
      <c r="AC978" s="594" t="str">
        <f t="shared" si="363"/>
        <v/>
      </c>
    </row>
    <row r="979" spans="1:29" ht="15.75" customHeight="1">
      <c r="A979" s="204" t="str">
        <f>IF(B979&lt;&gt;"",IF(AND(B979&gt;=_TM1,B979&lt;=_TM2,OR(TH!L979="1111",TH!M979="1111")),TH!D979,""),"")</f>
        <v/>
      </c>
      <c r="B979" s="36">
        <f t="shared" si="371"/>
        <v>10</v>
      </c>
      <c r="C979" s="191">
        <f t="shared" si="375"/>
        <v>41578</v>
      </c>
      <c r="D979" s="184" t="s">
        <v>1072</v>
      </c>
      <c r="E979" s="191">
        <v>41578</v>
      </c>
      <c r="F979" s="192" t="s">
        <v>836</v>
      </c>
      <c r="G979" s="487" t="s">
        <v>997</v>
      </c>
      <c r="H979" s="193" t="s">
        <v>741</v>
      </c>
      <c r="I979" s="256">
        <v>397</v>
      </c>
      <c r="J979" s="256">
        <v>10500</v>
      </c>
      <c r="K979" s="38">
        <f>ROUND(I979*J979,0)</f>
        <v>4168500</v>
      </c>
      <c r="L979" s="194" t="s">
        <v>265</v>
      </c>
      <c r="M979" s="194" t="s">
        <v>175</v>
      </c>
      <c r="N979" s="52" t="str">
        <f>IF(AND('331-CT'!$E$7=TH!H979,OR(L979="331",M979="331")),"331",IF(AND(OR(L979="131",M979="131"),H979='131-CT'!$E$7),"131",""))</f>
        <v>131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50"/>
      <c r="AB979" s="810"/>
      <c r="AC979" s="594"/>
    </row>
    <row r="980" spans="1:29" ht="15.75" customHeight="1">
      <c r="A980" s="204" t="str">
        <f>IF(B980&lt;&gt;"",IF(AND(B980&gt;=_TM1,B980&lt;=_TM2,OR(TH!L980="1111",TH!M980="1111")),TH!D980,""),"")</f>
        <v/>
      </c>
      <c r="B980" s="36">
        <f t="shared" si="371"/>
        <v>10</v>
      </c>
      <c r="C980" s="191">
        <f t="shared" si="375"/>
        <v>41578</v>
      </c>
      <c r="D980" s="184" t="s">
        <v>1072</v>
      </c>
      <c r="E980" s="191">
        <v>41578</v>
      </c>
      <c r="F980" s="192" t="s">
        <v>724</v>
      </c>
      <c r="G980" s="487" t="s">
        <v>997</v>
      </c>
      <c r="H980" s="193" t="s">
        <v>741</v>
      </c>
      <c r="I980" s="256"/>
      <c r="J980" s="256"/>
      <c r="K980" s="38">
        <v>416850</v>
      </c>
      <c r="L980" s="194" t="s">
        <v>265</v>
      </c>
      <c r="M980" s="194" t="s">
        <v>429</v>
      </c>
      <c r="N980" s="52" t="str">
        <f>IF(AND('331-CT'!$E$7=TH!H980,OR(L980="331",M980="331")),"331",IF(AND(OR(L980="131",M980="131"),H980='131-CT'!$E$7),"131",""))</f>
        <v>131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50"/>
      <c r="AB980" s="810"/>
      <c r="AC980" s="594" t="str">
        <f t="shared" si="363"/>
        <v/>
      </c>
    </row>
    <row r="981" spans="1:29" ht="15.75" customHeight="1">
      <c r="A981" s="204" t="str">
        <f>IF(B981&lt;&gt;"",IF(AND(B981&gt;=_TM1,B981&lt;=_TM2,OR(TH!L981="1111",TH!M981="1111")),TH!D981,""),"")</f>
        <v>TP/X28</v>
      </c>
      <c r="B981" s="36">
        <f t="shared" ref="B981" si="378">IF(C981&lt;&gt;"",MONTH(C981),"")</f>
        <v>10</v>
      </c>
      <c r="C981" s="191">
        <f t="shared" ref="C981" si="379">E981</f>
        <v>41578</v>
      </c>
      <c r="D981" s="184" t="s">
        <v>1072</v>
      </c>
      <c r="E981" s="191">
        <v>41578</v>
      </c>
      <c r="F981" s="189" t="s">
        <v>341</v>
      </c>
      <c r="G981" s="487" t="s">
        <v>997</v>
      </c>
      <c r="H981" s="193" t="s">
        <v>741</v>
      </c>
      <c r="I981" s="256"/>
      <c r="J981" s="256"/>
      <c r="K981" s="38">
        <v>4585350</v>
      </c>
      <c r="L981" s="194" t="s">
        <v>47</v>
      </c>
      <c r="M981" s="194" t="s">
        <v>265</v>
      </c>
      <c r="N981" s="52" t="str">
        <f>IF(AND('331-CT'!$E$7=TH!H981,OR(L981="331",M981="331")),"331",IF(AND(OR(L981="131",M981="131"),H981='131-CT'!$E$7),"131",""))</f>
        <v>131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50"/>
      <c r="AB981" s="810"/>
      <c r="AC981" s="594" t="str">
        <f t="shared" ref="AC981" si="380">IF(VLOOKUP(H981,DS_131,1,0)&lt;&gt;"","","x")</f>
        <v/>
      </c>
    </row>
    <row r="982" spans="1:29" ht="15.75" customHeight="1">
      <c r="A982" s="204" t="str">
        <f>IF(B982&lt;&gt;"",IF(AND(B982&gt;=_TM1,B982&lt;=_TM2,OR(TH!L982="1111",TH!M982="1111")),TH!D982,""),"")</f>
        <v/>
      </c>
      <c r="B982" s="36">
        <f t="shared" si="371"/>
        <v>10</v>
      </c>
      <c r="C982" s="191">
        <f t="shared" si="375"/>
        <v>41578</v>
      </c>
      <c r="D982" s="184" t="s">
        <v>1073</v>
      </c>
      <c r="E982" s="191">
        <v>41578</v>
      </c>
      <c r="F982" s="192" t="s">
        <v>883</v>
      </c>
      <c r="G982" s="487" t="s">
        <v>998</v>
      </c>
      <c r="H982" s="7" t="s">
        <v>541</v>
      </c>
      <c r="I982" s="256">
        <v>497</v>
      </c>
      <c r="J982" s="256">
        <v>8600</v>
      </c>
      <c r="K982" s="38">
        <f>ROUND(I982*J982,0)</f>
        <v>4274200</v>
      </c>
      <c r="L982" s="194" t="s">
        <v>265</v>
      </c>
      <c r="M982" s="194" t="s">
        <v>175</v>
      </c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50"/>
      <c r="AB982" s="810"/>
      <c r="AC982" s="594"/>
    </row>
    <row r="983" spans="1:29" ht="15.75" customHeight="1">
      <c r="A983" s="204" t="str">
        <f>IF(B983&lt;&gt;"",IF(AND(B983&gt;=_TM1,B983&lt;=_TM2,OR(TH!L983="1111",TH!M983="1111")),TH!D983,""),"")</f>
        <v/>
      </c>
      <c r="B983" s="36">
        <f t="shared" si="371"/>
        <v>10</v>
      </c>
      <c r="C983" s="191">
        <f t="shared" si="375"/>
        <v>41578</v>
      </c>
      <c r="D983" s="184" t="s">
        <v>1073</v>
      </c>
      <c r="E983" s="191">
        <v>41578</v>
      </c>
      <c r="F983" s="192" t="s">
        <v>724</v>
      </c>
      <c r="G983" s="487" t="s">
        <v>998</v>
      </c>
      <c r="H983" s="7" t="s">
        <v>541</v>
      </c>
      <c r="I983" s="256"/>
      <c r="J983" s="256"/>
      <c r="K983" s="38">
        <v>427420</v>
      </c>
      <c r="L983" s="194" t="s">
        <v>265</v>
      </c>
      <c r="M983" s="194" t="s">
        <v>429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50"/>
      <c r="AB983" s="810"/>
      <c r="AC983" s="594" t="str">
        <f t="shared" si="363"/>
        <v/>
      </c>
    </row>
    <row r="984" spans="1:29" ht="15.75" customHeight="1">
      <c r="A984" s="204" t="str">
        <f>IF(B984&lt;&gt;"",IF(AND(B984&gt;=_TM1,B984&lt;=_TM2,OR(TH!L984="1111",TH!M984="1111")),TH!D984,""),"")</f>
        <v/>
      </c>
      <c r="B984" s="36">
        <f t="shared" si="371"/>
        <v>10</v>
      </c>
      <c r="C984" s="191">
        <f t="shared" si="375"/>
        <v>41578</v>
      </c>
      <c r="D984" s="184" t="s">
        <v>1074</v>
      </c>
      <c r="E984" s="191">
        <v>41578</v>
      </c>
      <c r="F984" s="192" t="s">
        <v>806</v>
      </c>
      <c r="G984" s="487" t="s">
        <v>999</v>
      </c>
      <c r="H984" s="193" t="s">
        <v>805</v>
      </c>
      <c r="I984" s="256">
        <v>292</v>
      </c>
      <c r="J984" s="256">
        <v>9200</v>
      </c>
      <c r="K984" s="38">
        <f>ROUND(I984*J984,0)</f>
        <v>2686400</v>
      </c>
      <c r="L984" s="194" t="s">
        <v>265</v>
      </c>
      <c r="M984" s="194" t="s">
        <v>175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50"/>
      <c r="AB984" s="810"/>
      <c r="AC984" s="594"/>
    </row>
    <row r="985" spans="1:29" ht="15.75" customHeight="1">
      <c r="A985" s="204" t="str">
        <f>IF(B985&lt;&gt;"",IF(AND(B985&gt;=_TM1,B985&lt;=_TM2,OR(TH!L985="1111",TH!M985="1111")),TH!D985,""),"")</f>
        <v/>
      </c>
      <c r="B985" s="36">
        <f t="shared" si="371"/>
        <v>10</v>
      </c>
      <c r="C985" s="191">
        <f t="shared" si="375"/>
        <v>41578</v>
      </c>
      <c r="D985" s="184" t="s">
        <v>1074</v>
      </c>
      <c r="E985" s="191">
        <v>41578</v>
      </c>
      <c r="F985" s="192" t="s">
        <v>724</v>
      </c>
      <c r="G985" s="192" t="s">
        <v>999</v>
      </c>
      <c r="H985" s="193" t="s">
        <v>805</v>
      </c>
      <c r="I985" s="256"/>
      <c r="J985" s="256"/>
      <c r="K985" s="38">
        <v>268640</v>
      </c>
      <c r="L985" s="194" t="s">
        <v>265</v>
      </c>
      <c r="M985" s="194" t="s">
        <v>429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50"/>
      <c r="AB985" s="810"/>
      <c r="AC985" s="594" t="str">
        <f t="shared" si="363"/>
        <v/>
      </c>
    </row>
    <row r="986" spans="1:29" ht="15.75" customHeight="1">
      <c r="A986" s="204" t="str">
        <f>IF(B986&lt;&gt;"",IF(AND(B986&gt;=_TM1,B986&lt;=_TM2,OR(TH!L986="1111",TH!M986="1111")),TH!D986,""),"")</f>
        <v>TP/X30</v>
      </c>
      <c r="B986" s="36">
        <f t="shared" ref="B986" si="381">IF(C986&lt;&gt;"",MONTH(C986),"")</f>
        <v>10</v>
      </c>
      <c r="C986" s="191">
        <f t="shared" ref="C986" si="382">E986</f>
        <v>41578</v>
      </c>
      <c r="D986" s="184" t="s">
        <v>1074</v>
      </c>
      <c r="E986" s="191">
        <v>41578</v>
      </c>
      <c r="F986" s="189" t="s">
        <v>341</v>
      </c>
      <c r="G986" s="192" t="s">
        <v>999</v>
      </c>
      <c r="H986" s="193" t="s">
        <v>805</v>
      </c>
      <c r="I986" s="256"/>
      <c r="J986" s="256"/>
      <c r="K986" s="38">
        <v>2955040</v>
      </c>
      <c r="L986" s="194" t="s">
        <v>47</v>
      </c>
      <c r="M986" s="194" t="s">
        <v>265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50"/>
      <c r="AB986" s="810"/>
      <c r="AC986" s="594" t="str">
        <f t="shared" ref="AC986" si="383">IF(VLOOKUP(H986,DS_131,1,0)&lt;&gt;"","","x")</f>
        <v/>
      </c>
    </row>
    <row r="987" spans="1:29" ht="15.75" customHeight="1">
      <c r="A987" s="204" t="str">
        <f>IF(B987&lt;&gt;"",IF(AND(B987&gt;=_TM1,B987&lt;=_TM2,OR(TH!L987="1111",TH!M987="1111")),TH!D987,""),"")</f>
        <v/>
      </c>
      <c r="B987" s="36">
        <f t="shared" si="371"/>
        <v>11</v>
      </c>
      <c r="C987" s="191">
        <f t="shared" si="375"/>
        <v>41582</v>
      </c>
      <c r="D987" s="184" t="s">
        <v>1075</v>
      </c>
      <c r="E987" s="191">
        <v>41582</v>
      </c>
      <c r="F987" s="192" t="s">
        <v>815</v>
      </c>
      <c r="G987" s="487" t="s">
        <v>1000</v>
      </c>
      <c r="H987" s="7" t="s">
        <v>1111</v>
      </c>
      <c r="I987" s="256">
        <v>500</v>
      </c>
      <c r="J987" s="256">
        <v>17300</v>
      </c>
      <c r="K987" s="38">
        <f t="shared" ref="K987:K988" si="384">ROUND(I987*J987,0)</f>
        <v>8650000</v>
      </c>
      <c r="L987" s="194" t="s">
        <v>265</v>
      </c>
      <c r="M987" s="194" t="s">
        <v>175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50"/>
      <c r="AB987" s="810"/>
      <c r="AC987" s="594"/>
    </row>
    <row r="988" spans="1:29" ht="15.75" customHeight="1">
      <c r="A988" s="204" t="str">
        <f>IF(B988&lt;&gt;"",IF(AND(B988&gt;=_TM1,B988&lt;=_TM2,OR(TH!L988="1111",TH!M988="1111")),TH!D988,""),"")</f>
        <v/>
      </c>
      <c r="B988" s="36">
        <f t="shared" si="371"/>
        <v>11</v>
      </c>
      <c r="C988" s="191">
        <f t="shared" si="375"/>
        <v>41582</v>
      </c>
      <c r="D988" s="184" t="s">
        <v>1075</v>
      </c>
      <c r="E988" s="191">
        <v>41582</v>
      </c>
      <c r="F988" s="192" t="s">
        <v>817</v>
      </c>
      <c r="G988" s="487" t="s">
        <v>1000</v>
      </c>
      <c r="H988" s="7" t="s">
        <v>1111</v>
      </c>
      <c r="I988" s="256">
        <v>1000</v>
      </c>
      <c r="J988" s="256">
        <v>1500</v>
      </c>
      <c r="K988" s="38">
        <f t="shared" si="384"/>
        <v>1500000</v>
      </c>
      <c r="L988" s="194" t="s">
        <v>265</v>
      </c>
      <c r="M988" s="194" t="s">
        <v>175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50"/>
      <c r="AC988" s="594"/>
    </row>
    <row r="989" spans="1:29" ht="15.75" customHeight="1">
      <c r="A989" s="204" t="str">
        <f>IF(B989&lt;&gt;"",IF(AND(B989&gt;=_TM1,B989&lt;=_TM2,OR(TH!L989="1111",TH!M989="1111")),TH!D989,""),"")</f>
        <v/>
      </c>
      <c r="B989" s="36">
        <f t="shared" si="371"/>
        <v>11</v>
      </c>
      <c r="C989" s="191">
        <f t="shared" si="375"/>
        <v>41582</v>
      </c>
      <c r="D989" s="184" t="s">
        <v>1075</v>
      </c>
      <c r="E989" s="191">
        <v>41582</v>
      </c>
      <c r="F989" s="192" t="s">
        <v>724</v>
      </c>
      <c r="G989" s="487" t="s">
        <v>1000</v>
      </c>
      <c r="H989" s="7" t="s">
        <v>1111</v>
      </c>
      <c r="I989" s="256"/>
      <c r="J989" s="256"/>
      <c r="K989" s="38">
        <v>1015000</v>
      </c>
      <c r="L989" s="194" t="s">
        <v>265</v>
      </c>
      <c r="M989" s="194" t="s">
        <v>429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50"/>
      <c r="AC989" s="594" t="str">
        <f t="shared" si="363"/>
        <v/>
      </c>
    </row>
    <row r="990" spans="1:29" ht="15.75" customHeight="1">
      <c r="A990" s="204" t="str">
        <f>IF(B990&lt;&gt;"",IF(AND(B990&gt;=_TM1,B990&lt;=_TM2,OR(TH!L990="1111",TH!M990="1111")),TH!D990,""),"")</f>
        <v/>
      </c>
      <c r="B990" s="36">
        <f t="shared" si="371"/>
        <v>11</v>
      </c>
      <c r="C990" s="191">
        <f t="shared" si="375"/>
        <v>41583</v>
      </c>
      <c r="D990" s="184" t="s">
        <v>1076</v>
      </c>
      <c r="E990" s="191">
        <v>41583</v>
      </c>
      <c r="F990" s="192" t="s">
        <v>1001</v>
      </c>
      <c r="G990" s="487" t="s">
        <v>1002</v>
      </c>
      <c r="H990" s="7" t="s">
        <v>542</v>
      </c>
      <c r="I990" s="256">
        <v>1005</v>
      </c>
      <c r="J990" s="256">
        <v>5570</v>
      </c>
      <c r="K990" s="38">
        <f>ROUND(I990*J990,0)</f>
        <v>5597850</v>
      </c>
      <c r="L990" s="194" t="s">
        <v>265</v>
      </c>
      <c r="M990" s="194" t="s">
        <v>175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50"/>
      <c r="AC990" s="594"/>
    </row>
    <row r="991" spans="1:29" ht="15.75" customHeight="1">
      <c r="A991" s="204" t="str">
        <f>IF(B991&lt;&gt;"",IF(AND(B991&gt;=_TM1,B991&lt;=_TM2,OR(TH!L991="1111",TH!M991="1111")),TH!D991,""),"")</f>
        <v/>
      </c>
      <c r="B991" s="36">
        <f t="shared" si="371"/>
        <v>11</v>
      </c>
      <c r="C991" s="191">
        <f t="shared" si="375"/>
        <v>41583</v>
      </c>
      <c r="D991" s="184" t="s">
        <v>1076</v>
      </c>
      <c r="E991" s="191">
        <v>41583</v>
      </c>
      <c r="F991" s="192" t="s">
        <v>724</v>
      </c>
      <c r="G991" s="487" t="s">
        <v>1002</v>
      </c>
      <c r="H991" s="7" t="s">
        <v>542</v>
      </c>
      <c r="I991" s="256"/>
      <c r="J991" s="256"/>
      <c r="K991" s="38">
        <v>559785</v>
      </c>
      <c r="L991" s="194" t="s">
        <v>265</v>
      </c>
      <c r="M991" s="194" t="s">
        <v>429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50"/>
      <c r="AC991" s="594" t="str">
        <f t="shared" si="363"/>
        <v/>
      </c>
    </row>
    <row r="992" spans="1:29" ht="15.75" customHeight="1">
      <c r="A992" s="204" t="str">
        <f>IF(B992&lt;&gt;"",IF(AND(B992&gt;=_TM1,B992&lt;=_TM2,OR(TH!L992="1111",TH!M992="1111")),TH!D992,""),"")</f>
        <v/>
      </c>
      <c r="B992" s="36">
        <f t="shared" si="371"/>
        <v>11</v>
      </c>
      <c r="C992" s="191">
        <f t="shared" si="375"/>
        <v>41584</v>
      </c>
      <c r="D992" s="184" t="s">
        <v>1077</v>
      </c>
      <c r="E992" s="191">
        <v>41584</v>
      </c>
      <c r="F992" s="192" t="s">
        <v>859</v>
      </c>
      <c r="G992" s="487" t="s">
        <v>1003</v>
      </c>
      <c r="H992" s="7" t="s">
        <v>431</v>
      </c>
      <c r="I992" s="256">
        <v>995</v>
      </c>
      <c r="J992" s="256">
        <v>19200</v>
      </c>
      <c r="K992" s="38">
        <f>ROUND(I992*J992,0)</f>
        <v>19104000</v>
      </c>
      <c r="L992" s="194" t="s">
        <v>265</v>
      </c>
      <c r="M992" s="194" t="s">
        <v>175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50"/>
      <c r="AC992" s="594"/>
    </row>
    <row r="993" spans="1:29" ht="15.75" customHeight="1">
      <c r="A993" s="204" t="str">
        <f>IF(B993&lt;&gt;"",IF(AND(B993&gt;=_TM1,B993&lt;=_TM2,OR(TH!L993="1111",TH!M993="1111")),TH!D993,""),"")</f>
        <v/>
      </c>
      <c r="B993" s="36">
        <f t="shared" si="371"/>
        <v>11</v>
      </c>
      <c r="C993" s="191">
        <f t="shared" si="375"/>
        <v>41584</v>
      </c>
      <c r="D993" s="184" t="s">
        <v>1077</v>
      </c>
      <c r="E993" s="191">
        <v>41584</v>
      </c>
      <c r="F993" s="192" t="s">
        <v>724</v>
      </c>
      <c r="G993" s="487" t="s">
        <v>1003</v>
      </c>
      <c r="H993" s="7" t="s">
        <v>431</v>
      </c>
      <c r="I993" s="256"/>
      <c r="J993" s="256"/>
      <c r="K993" s="38">
        <v>1910400</v>
      </c>
      <c r="L993" s="194" t="s">
        <v>265</v>
      </c>
      <c r="M993" s="194" t="s">
        <v>429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50"/>
      <c r="AC993" s="594" t="str">
        <f t="shared" si="363"/>
        <v/>
      </c>
    </row>
    <row r="994" spans="1:29" ht="15.75" customHeight="1">
      <c r="A994" s="204" t="str">
        <f>IF(B994&lt;&gt;"",IF(AND(B994&gt;=_TM1,B994&lt;=_TM2,OR(TH!L994="1111",TH!M994="1111")),TH!D994,""),"")</f>
        <v/>
      </c>
      <c r="B994" s="36">
        <f t="shared" si="371"/>
        <v>11</v>
      </c>
      <c r="C994" s="191">
        <f t="shared" si="375"/>
        <v>41586</v>
      </c>
      <c r="D994" s="184" t="s">
        <v>1078</v>
      </c>
      <c r="E994" s="191">
        <v>41586</v>
      </c>
      <c r="F994" s="192" t="s">
        <v>1133</v>
      </c>
      <c r="G994" s="487" t="s">
        <v>647</v>
      </c>
      <c r="H994" s="7" t="s">
        <v>541</v>
      </c>
      <c r="I994" s="256">
        <v>200</v>
      </c>
      <c r="J994" s="256">
        <v>7000</v>
      </c>
      <c r="K994" s="38">
        <f t="shared" ref="K994:K995" si="385">ROUND(I994*J994,0)</f>
        <v>1400000</v>
      </c>
      <c r="L994" s="194" t="s">
        <v>265</v>
      </c>
      <c r="M994" s="194" t="s">
        <v>175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50"/>
      <c r="AB994" s="810"/>
      <c r="AC994" s="594"/>
    </row>
    <row r="995" spans="1:29" ht="15.75" customHeight="1">
      <c r="A995" s="204" t="str">
        <f>IF(B995&lt;&gt;"",IF(AND(B995&gt;=_TM1,B995&lt;=_TM2,OR(TH!L995="1111",TH!M995="1111")),TH!D995,""),"")</f>
        <v/>
      </c>
      <c r="B995" s="36">
        <f t="shared" si="371"/>
        <v>11</v>
      </c>
      <c r="C995" s="191">
        <f t="shared" si="375"/>
        <v>41586</v>
      </c>
      <c r="D995" s="184" t="s">
        <v>1078</v>
      </c>
      <c r="E995" s="191">
        <v>41586</v>
      </c>
      <c r="F995" s="192" t="s">
        <v>1134</v>
      </c>
      <c r="G995" s="487" t="s">
        <v>647</v>
      </c>
      <c r="H995" s="7" t="s">
        <v>541</v>
      </c>
      <c r="I995" s="256">
        <v>157</v>
      </c>
      <c r="J995" s="256">
        <v>21150</v>
      </c>
      <c r="K995" s="38">
        <f t="shared" si="385"/>
        <v>3320550</v>
      </c>
      <c r="L995" s="194" t="s">
        <v>265</v>
      </c>
      <c r="M995" s="194" t="s">
        <v>175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50"/>
      <c r="AB995" s="810"/>
      <c r="AC995" s="594"/>
    </row>
    <row r="996" spans="1:29" ht="15.75" customHeight="1">
      <c r="A996" s="204" t="str">
        <f>IF(B996&lt;&gt;"",IF(AND(B996&gt;=_TM1,B996&lt;=_TM2,OR(TH!L996="1111",TH!M996="1111")),TH!D996,""),"")</f>
        <v/>
      </c>
      <c r="B996" s="36">
        <f t="shared" si="371"/>
        <v>11</v>
      </c>
      <c r="C996" s="191">
        <f t="shared" si="375"/>
        <v>41586</v>
      </c>
      <c r="D996" s="184" t="s">
        <v>1078</v>
      </c>
      <c r="E996" s="191">
        <v>41586</v>
      </c>
      <c r="F996" s="192" t="s">
        <v>724</v>
      </c>
      <c r="G996" s="487" t="s">
        <v>647</v>
      </c>
      <c r="H996" s="7" t="s">
        <v>541</v>
      </c>
      <c r="I996" s="256"/>
      <c r="J996" s="256"/>
      <c r="K996" s="38">
        <v>472055</v>
      </c>
      <c r="L996" s="194" t="s">
        <v>265</v>
      </c>
      <c r="M996" s="194" t="s">
        <v>429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50"/>
      <c r="AB996" s="810"/>
      <c r="AC996" s="594" t="str">
        <f t="shared" si="363"/>
        <v/>
      </c>
    </row>
    <row r="997" spans="1:29" ht="15.75" customHeight="1">
      <c r="A997" s="204" t="str">
        <f>IF(B997&lt;&gt;"",IF(AND(B997&gt;=_TM1,B997&lt;=_TM2,OR(TH!L997="1111",TH!M997="1111")),TH!D997,""),"")</f>
        <v/>
      </c>
      <c r="B997" s="36">
        <f t="shared" si="371"/>
        <v>11</v>
      </c>
      <c r="C997" s="191">
        <f t="shared" si="375"/>
        <v>41586</v>
      </c>
      <c r="D997" s="184" t="s">
        <v>1079</v>
      </c>
      <c r="E997" s="191">
        <v>41586</v>
      </c>
      <c r="F997" s="192" t="s">
        <v>1004</v>
      </c>
      <c r="G997" s="487" t="s">
        <v>1005</v>
      </c>
      <c r="H997" s="7" t="s">
        <v>1006</v>
      </c>
      <c r="I997" s="256">
        <v>200</v>
      </c>
      <c r="J997" s="256">
        <v>8000</v>
      </c>
      <c r="K997" s="38">
        <f t="shared" ref="K997:K999" si="386">ROUND(I997*J997,0)</f>
        <v>1600000</v>
      </c>
      <c r="L997" s="194" t="s">
        <v>265</v>
      </c>
      <c r="M997" s="194" t="s">
        <v>175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50"/>
      <c r="AB997" s="810"/>
      <c r="AC997" s="594"/>
    </row>
    <row r="998" spans="1:29" ht="15.75" customHeight="1">
      <c r="A998" s="204" t="str">
        <f>IF(B998&lt;&gt;"",IF(AND(B998&gt;=_TM1,B998&lt;=_TM2,OR(TH!L998="1111",TH!M998="1111")),TH!D998,""),"")</f>
        <v/>
      </c>
      <c r="B998" s="36">
        <f t="shared" si="371"/>
        <v>11</v>
      </c>
      <c r="C998" s="191">
        <f t="shared" si="375"/>
        <v>41586</v>
      </c>
      <c r="D998" s="184" t="s">
        <v>1079</v>
      </c>
      <c r="E998" s="191">
        <v>41586</v>
      </c>
      <c r="F998" s="192" t="s">
        <v>1007</v>
      </c>
      <c r="G998" s="487" t="s">
        <v>1005</v>
      </c>
      <c r="H998" s="7" t="s">
        <v>1006</v>
      </c>
      <c r="I998" s="256">
        <v>100</v>
      </c>
      <c r="J998" s="256">
        <v>14200</v>
      </c>
      <c r="K998" s="38">
        <f t="shared" si="386"/>
        <v>1420000</v>
      </c>
      <c r="L998" s="194" t="s">
        <v>265</v>
      </c>
      <c r="M998" s="194" t="s">
        <v>175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50"/>
      <c r="AB998" s="810"/>
      <c r="AC998" s="594"/>
    </row>
    <row r="999" spans="1:29" ht="15.75" customHeight="1">
      <c r="A999" s="204" t="str">
        <f>IF(B999&lt;&gt;"",IF(AND(B999&gt;=_TM1,B999&lt;=_TM2,OR(TH!L999="1111",TH!M999="1111")),TH!D999,""),"")</f>
        <v/>
      </c>
      <c r="B999" s="36">
        <f t="shared" si="371"/>
        <v>11</v>
      </c>
      <c r="C999" s="191">
        <f t="shared" si="375"/>
        <v>41586</v>
      </c>
      <c r="D999" s="184" t="s">
        <v>1079</v>
      </c>
      <c r="E999" s="191">
        <v>41586</v>
      </c>
      <c r="F999" s="880" t="s">
        <v>1008</v>
      </c>
      <c r="G999" s="487" t="s">
        <v>1005</v>
      </c>
      <c r="H999" s="7" t="s">
        <v>1006</v>
      </c>
      <c r="I999" s="256">
        <v>150</v>
      </c>
      <c r="J999" s="256">
        <v>13000</v>
      </c>
      <c r="K999" s="38">
        <f t="shared" si="386"/>
        <v>1950000</v>
      </c>
      <c r="L999" s="194" t="s">
        <v>265</v>
      </c>
      <c r="M999" s="194" t="s">
        <v>175</v>
      </c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50"/>
      <c r="AB999" s="810"/>
      <c r="AC999" s="594"/>
    </row>
    <row r="1000" spans="1:29" ht="15.75" customHeight="1">
      <c r="A1000" s="204" t="str">
        <f>IF(B1000&lt;&gt;"",IF(AND(B1000&gt;=_TM1,B1000&lt;=_TM2,OR(TH!L1000="1111",TH!M1000="1111")),TH!D1000,""),"")</f>
        <v/>
      </c>
      <c r="B1000" s="36">
        <f t="shared" si="371"/>
        <v>11</v>
      </c>
      <c r="C1000" s="191">
        <f t="shared" si="375"/>
        <v>41586</v>
      </c>
      <c r="D1000" s="184" t="s">
        <v>1079</v>
      </c>
      <c r="E1000" s="191">
        <v>41586</v>
      </c>
      <c r="F1000" s="880" t="s">
        <v>724</v>
      </c>
      <c r="G1000" s="487" t="s">
        <v>1005</v>
      </c>
      <c r="H1000" s="7" t="s">
        <v>1006</v>
      </c>
      <c r="I1000" s="256"/>
      <c r="J1000" s="256"/>
      <c r="K1000" s="38">
        <v>497000</v>
      </c>
      <c r="L1000" s="194" t="s">
        <v>265</v>
      </c>
      <c r="M1000" s="194" t="s">
        <v>429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50"/>
      <c r="AB1000" s="810"/>
      <c r="AC1000" s="594" t="str">
        <f t="shared" si="363"/>
        <v/>
      </c>
    </row>
    <row r="1001" spans="1:29" ht="15.75" customHeight="1">
      <c r="A1001" s="204" t="str">
        <f>IF(B1001&lt;&gt;"",IF(AND(B1001&gt;=_TM1,B1001&lt;=_TM2,OR(TH!L1001="1111",TH!M1001="1111")),TH!D1001,""),"")</f>
        <v/>
      </c>
      <c r="B1001" s="36">
        <f t="shared" si="371"/>
        <v>11</v>
      </c>
      <c r="C1001" s="191">
        <f t="shared" si="375"/>
        <v>41591</v>
      </c>
      <c r="D1001" s="184" t="s">
        <v>1080</v>
      </c>
      <c r="E1001" s="191">
        <v>41591</v>
      </c>
      <c r="F1001" s="192" t="s">
        <v>836</v>
      </c>
      <c r="G1001" s="487" t="s">
        <v>1009</v>
      </c>
      <c r="H1001" s="7" t="s">
        <v>741</v>
      </c>
      <c r="I1001" s="256">
        <v>395</v>
      </c>
      <c r="J1001" s="256">
        <v>10500</v>
      </c>
      <c r="K1001" s="38">
        <f>ROUND(I1001*J1001,0)</f>
        <v>4147500</v>
      </c>
      <c r="L1001" s="194" t="s">
        <v>265</v>
      </c>
      <c r="M1001" s="194" t="s">
        <v>175</v>
      </c>
      <c r="N1001" s="52" t="str">
        <f>IF(AND('331-CT'!$E$7=TH!H1001,OR(L1001="331",M1001="331")),"331",IF(AND(OR(L1001="131",M1001="131"),H1001='131-CT'!$E$7),"131",""))</f>
        <v>131</v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50"/>
      <c r="AB1001" s="810"/>
      <c r="AC1001" s="594"/>
    </row>
    <row r="1002" spans="1:29" ht="15.75" customHeight="1">
      <c r="A1002" s="204" t="str">
        <f>IF(B1002&lt;&gt;"",IF(AND(B1002&gt;=_TM1,B1002&lt;=_TM2,OR(TH!L1002="1111",TH!M1002="1111")),TH!D1002,""),"")</f>
        <v/>
      </c>
      <c r="B1002" s="36">
        <f t="shared" si="371"/>
        <v>11</v>
      </c>
      <c r="C1002" s="191">
        <f t="shared" si="375"/>
        <v>41591</v>
      </c>
      <c r="D1002" s="184" t="s">
        <v>1080</v>
      </c>
      <c r="E1002" s="191">
        <v>41591</v>
      </c>
      <c r="F1002" s="880" t="s">
        <v>724</v>
      </c>
      <c r="G1002" s="487" t="s">
        <v>1009</v>
      </c>
      <c r="H1002" s="7" t="s">
        <v>741</v>
      </c>
      <c r="I1002" s="256"/>
      <c r="J1002" s="256"/>
      <c r="K1002" s="38">
        <v>414750</v>
      </c>
      <c r="L1002" s="194" t="s">
        <v>265</v>
      </c>
      <c r="M1002" s="194" t="s">
        <v>429</v>
      </c>
      <c r="N1002" s="52" t="str">
        <f>IF(AND('331-CT'!$E$7=TH!H1002,OR(L1002="331",M1002="331")),"331",IF(AND(OR(L1002="131",M1002="131"),H1002='131-CT'!$E$7),"131",""))</f>
        <v>131</v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50"/>
      <c r="AB1002" s="810"/>
      <c r="AC1002" s="594" t="str">
        <f t="shared" si="363"/>
        <v/>
      </c>
    </row>
    <row r="1003" spans="1:29" ht="15.75" customHeight="1">
      <c r="A1003" s="204" t="str">
        <f>IF(B1003&lt;&gt;"",IF(AND(B1003&gt;=_TM1,B1003&lt;=_TM2,OR(TH!L1003="1111",TH!M1003="1111")),TH!D1003,""),"")</f>
        <v>TP/X36</v>
      </c>
      <c r="B1003" s="36">
        <f t="shared" ref="B1003" si="387">IF(C1003&lt;&gt;"",MONTH(C1003),"")</f>
        <v>11</v>
      </c>
      <c r="C1003" s="191">
        <f t="shared" ref="C1003" si="388">E1003</f>
        <v>41591</v>
      </c>
      <c r="D1003" s="184" t="s">
        <v>1080</v>
      </c>
      <c r="E1003" s="191">
        <v>41591</v>
      </c>
      <c r="F1003" s="189" t="s">
        <v>341</v>
      </c>
      <c r="G1003" s="487" t="s">
        <v>1009</v>
      </c>
      <c r="H1003" s="7" t="s">
        <v>741</v>
      </c>
      <c r="I1003" s="256"/>
      <c r="J1003" s="256"/>
      <c r="K1003" s="38">
        <v>4562250</v>
      </c>
      <c r="L1003" s="194" t="s">
        <v>47</v>
      </c>
      <c r="M1003" s="194" t="s">
        <v>265</v>
      </c>
      <c r="N1003" s="52" t="str">
        <f>IF(AND('331-CT'!$E$7=TH!H1003,OR(L1003="331",M1003="331")),"331",IF(AND(OR(L1003="131",M1003="131"),H1003='131-CT'!$E$7),"131",""))</f>
        <v>131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50"/>
      <c r="AB1003" s="810"/>
      <c r="AC1003" s="594" t="str">
        <f t="shared" ref="AC1003" si="389">IF(VLOOKUP(H1003,DS_131,1,0)&lt;&gt;"","","x")</f>
        <v/>
      </c>
    </row>
    <row r="1004" spans="1:29" ht="15.75" customHeight="1">
      <c r="A1004" s="204" t="str">
        <f>IF(B1004&lt;&gt;"",IF(AND(B1004&gt;=_TM1,B1004&lt;=_TM2,OR(TH!L1004="1111",TH!M1004="1111")),TH!D1004,""),"")</f>
        <v/>
      </c>
      <c r="B1004" s="36">
        <f t="shared" si="371"/>
        <v>11</v>
      </c>
      <c r="C1004" s="191">
        <f t="shared" si="375"/>
        <v>41592</v>
      </c>
      <c r="D1004" s="184" t="s">
        <v>1081</v>
      </c>
      <c r="E1004" s="191">
        <v>41592</v>
      </c>
      <c r="F1004" s="192" t="s">
        <v>1127</v>
      </c>
      <c r="G1004" s="487" t="s">
        <v>1010</v>
      </c>
      <c r="H1004" s="7" t="s">
        <v>788</v>
      </c>
      <c r="I1004" s="256">
        <v>500</v>
      </c>
      <c r="J1004" s="256">
        <v>16380</v>
      </c>
      <c r="K1004" s="38">
        <f>ROUND(I1004*J1004,0)</f>
        <v>8190000</v>
      </c>
      <c r="L1004" s="194" t="s">
        <v>265</v>
      </c>
      <c r="M1004" s="194" t="s">
        <v>175</v>
      </c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50"/>
      <c r="AB1004" s="810"/>
      <c r="AC1004" s="594"/>
    </row>
    <row r="1005" spans="1:29" ht="15.75" customHeight="1">
      <c r="A1005" s="204" t="str">
        <f>IF(B1005&lt;&gt;"",IF(AND(B1005&gt;=_TM1,B1005&lt;=_TM2,OR(TH!L1005="1111",TH!M1005="1111")),TH!D1005,""),"")</f>
        <v/>
      </c>
      <c r="B1005" s="36">
        <f t="shared" si="371"/>
        <v>11</v>
      </c>
      <c r="C1005" s="191">
        <f t="shared" si="375"/>
        <v>41592</v>
      </c>
      <c r="D1005" s="184" t="s">
        <v>1081</v>
      </c>
      <c r="E1005" s="191">
        <v>41592</v>
      </c>
      <c r="F1005" s="880" t="s">
        <v>724</v>
      </c>
      <c r="G1005" s="487" t="s">
        <v>1010</v>
      </c>
      <c r="H1005" s="7" t="s">
        <v>788</v>
      </c>
      <c r="I1005" s="256"/>
      <c r="J1005" s="256"/>
      <c r="K1005" s="38">
        <v>819000</v>
      </c>
      <c r="L1005" s="194" t="s">
        <v>265</v>
      </c>
      <c r="M1005" s="194" t="s">
        <v>429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50"/>
      <c r="AB1005" s="810"/>
      <c r="AC1005" s="594" t="str">
        <f t="shared" si="363"/>
        <v/>
      </c>
    </row>
    <row r="1006" spans="1:29" ht="15.75" customHeight="1">
      <c r="A1006" s="204" t="str">
        <f>IF(B1006&lt;&gt;"",IF(AND(B1006&gt;=_TM1,B1006&lt;=_TM2,OR(TH!L1006="1111",TH!M1006="1111")),TH!D1006,""),"")</f>
        <v/>
      </c>
      <c r="B1006" s="36">
        <f t="shared" si="371"/>
        <v>11</v>
      </c>
      <c r="C1006" s="191">
        <f t="shared" si="375"/>
        <v>41592</v>
      </c>
      <c r="D1006" s="184" t="s">
        <v>1082</v>
      </c>
      <c r="E1006" s="191">
        <v>41592</v>
      </c>
      <c r="F1006" s="192" t="s">
        <v>836</v>
      </c>
      <c r="G1006" s="487" t="s">
        <v>1011</v>
      </c>
      <c r="H1006" s="7" t="s">
        <v>741</v>
      </c>
      <c r="I1006" s="256">
        <v>500</v>
      </c>
      <c r="J1006" s="256">
        <v>10500</v>
      </c>
      <c r="K1006" s="38">
        <f>ROUND(I1006*J1006,0)</f>
        <v>5250000</v>
      </c>
      <c r="L1006" s="194" t="s">
        <v>265</v>
      </c>
      <c r="M1006" s="194" t="s">
        <v>175</v>
      </c>
      <c r="N1006" s="52" t="str">
        <f>IF(AND('331-CT'!$E$7=TH!H1006,OR(L1006="331",M1006="331")),"331",IF(AND(OR(L1006="131",M1006="131"),H1006='131-CT'!$E$7),"131",""))</f>
        <v>131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50"/>
      <c r="AB1006" s="810"/>
      <c r="AC1006" s="594"/>
    </row>
    <row r="1007" spans="1:29" ht="15.75" customHeight="1">
      <c r="A1007" s="204" t="str">
        <f>IF(B1007&lt;&gt;"",IF(AND(B1007&gt;=_TM1,B1007&lt;=_TM2,OR(TH!L1007="1111",TH!M1007="1111")),TH!D1007,""),"")</f>
        <v/>
      </c>
      <c r="B1007" s="36">
        <f t="shared" si="371"/>
        <v>11</v>
      </c>
      <c r="C1007" s="191">
        <f t="shared" si="375"/>
        <v>41592</v>
      </c>
      <c r="D1007" s="184" t="s">
        <v>1082</v>
      </c>
      <c r="E1007" s="191">
        <v>41592</v>
      </c>
      <c r="F1007" s="192" t="s">
        <v>724</v>
      </c>
      <c r="G1007" s="487" t="s">
        <v>1011</v>
      </c>
      <c r="H1007" s="7" t="s">
        <v>741</v>
      </c>
      <c r="I1007" s="256"/>
      <c r="J1007" s="256"/>
      <c r="K1007" s="38">
        <v>525000</v>
      </c>
      <c r="L1007" s="194" t="s">
        <v>265</v>
      </c>
      <c r="M1007" s="194" t="s">
        <v>429</v>
      </c>
      <c r="N1007" s="52" t="str">
        <f>IF(AND('331-CT'!$E$7=TH!H1007,OR(L1007="331",M1007="331")),"331",IF(AND(OR(L1007="131",M1007="131"),H1007='131-CT'!$E$7),"131",""))</f>
        <v>131</v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50"/>
      <c r="AB1007" s="810"/>
      <c r="AC1007" s="594" t="str">
        <f t="shared" si="363"/>
        <v/>
      </c>
    </row>
    <row r="1008" spans="1:29" ht="15.75" customHeight="1">
      <c r="A1008" s="204" t="str">
        <f>IF(B1008&lt;&gt;"",IF(AND(B1008&gt;=_TM1,B1008&lt;=_TM2,OR(TH!L1008="1111",TH!M1008="1111")),TH!D1008,""),"")</f>
        <v>TP/X38</v>
      </c>
      <c r="B1008" s="36">
        <f t="shared" ref="B1008" si="390">IF(C1008&lt;&gt;"",MONTH(C1008),"")</f>
        <v>11</v>
      </c>
      <c r="C1008" s="191">
        <f t="shared" ref="C1008" si="391">E1008</f>
        <v>41592</v>
      </c>
      <c r="D1008" s="184" t="s">
        <v>1082</v>
      </c>
      <c r="E1008" s="191">
        <v>41592</v>
      </c>
      <c r="F1008" s="189" t="s">
        <v>341</v>
      </c>
      <c r="G1008" s="487" t="s">
        <v>1011</v>
      </c>
      <c r="H1008" s="7" t="s">
        <v>741</v>
      </c>
      <c r="I1008" s="256"/>
      <c r="J1008" s="256"/>
      <c r="K1008" s="38">
        <v>5775000</v>
      </c>
      <c r="L1008" s="194" t="s">
        <v>47</v>
      </c>
      <c r="M1008" s="194" t="s">
        <v>265</v>
      </c>
      <c r="N1008" s="52" t="str">
        <f>IF(AND('331-CT'!$E$7=TH!H1008,OR(L1008="331",M1008="331")),"331",IF(AND(OR(L1008="131",M1008="131"),H1008='131-CT'!$E$7),"131",""))</f>
        <v>131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50"/>
      <c r="AB1008" s="810"/>
      <c r="AC1008" s="594" t="str">
        <f t="shared" ref="AC1008" si="392">IF(VLOOKUP(H1008,DS_131,1,0)&lt;&gt;"","","x")</f>
        <v/>
      </c>
    </row>
    <row r="1009" spans="1:29" ht="15.75" customHeight="1">
      <c r="A1009" s="204" t="str">
        <f>IF(B1009&lt;&gt;"",IF(AND(B1009&gt;=_TM1,B1009&lt;=_TM2,OR(TH!L1009="1111",TH!M1009="1111")),TH!D1009,""),"")</f>
        <v/>
      </c>
      <c r="B1009" s="36">
        <f t="shared" si="371"/>
        <v>11</v>
      </c>
      <c r="C1009" s="191">
        <f t="shared" si="375"/>
        <v>41592</v>
      </c>
      <c r="D1009" s="184" t="s">
        <v>1083</v>
      </c>
      <c r="E1009" s="191">
        <v>41592</v>
      </c>
      <c r="F1009" s="192" t="s">
        <v>1148</v>
      </c>
      <c r="G1009" s="487" t="s">
        <v>1012</v>
      </c>
      <c r="H1009" s="7" t="s">
        <v>894</v>
      </c>
      <c r="I1009" s="256">
        <v>2642</v>
      </c>
      <c r="J1009" s="256">
        <v>4700</v>
      </c>
      <c r="K1009" s="38">
        <f>ROUND(I1009*J1009,0)</f>
        <v>12417400</v>
      </c>
      <c r="L1009" s="194" t="s">
        <v>265</v>
      </c>
      <c r="M1009" s="194" t="s">
        <v>175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50"/>
      <c r="AB1009" s="810"/>
      <c r="AC1009" s="594"/>
    </row>
    <row r="1010" spans="1:29" ht="15.75" customHeight="1">
      <c r="A1010" s="204" t="str">
        <f>IF(B1010&lt;&gt;"",IF(AND(B1010&gt;=_TM1,B1010&lt;=_TM2,OR(TH!L1010="1111",TH!M1010="1111")),TH!D1010,""),"")</f>
        <v/>
      </c>
      <c r="B1010" s="36">
        <f t="shared" si="371"/>
        <v>11</v>
      </c>
      <c r="C1010" s="191">
        <f t="shared" si="375"/>
        <v>41592</v>
      </c>
      <c r="D1010" s="184" t="s">
        <v>1083</v>
      </c>
      <c r="E1010" s="191">
        <v>41592</v>
      </c>
      <c r="F1010" s="192" t="s">
        <v>724</v>
      </c>
      <c r="G1010" s="487" t="s">
        <v>1012</v>
      </c>
      <c r="H1010" s="193" t="s">
        <v>894</v>
      </c>
      <c r="I1010" s="256"/>
      <c r="J1010" s="256"/>
      <c r="K1010" s="38">
        <v>1241740</v>
      </c>
      <c r="L1010" s="194" t="s">
        <v>265</v>
      </c>
      <c r="M1010" s="194" t="s">
        <v>429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50"/>
      <c r="AB1010" s="810"/>
      <c r="AC1010" s="594" t="str">
        <f t="shared" si="363"/>
        <v/>
      </c>
    </row>
    <row r="1011" spans="1:29" ht="15.75" customHeight="1">
      <c r="A1011" s="204" t="str">
        <f>IF(B1011&lt;&gt;"",IF(AND(B1011&gt;=_TM1,B1011&lt;=_TM2,OR(TH!L1011="1111",TH!M1011="1111")),TH!D1011,""),"")</f>
        <v/>
      </c>
      <c r="B1011" s="36">
        <f t="shared" si="371"/>
        <v>11</v>
      </c>
      <c r="C1011" s="191">
        <f t="shared" si="375"/>
        <v>41593</v>
      </c>
      <c r="D1011" s="184" t="s">
        <v>1084</v>
      </c>
      <c r="E1011" s="191">
        <v>41593</v>
      </c>
      <c r="F1011" s="192" t="s">
        <v>1160</v>
      </c>
      <c r="G1011" s="487" t="s">
        <v>1013</v>
      </c>
      <c r="H1011" s="7" t="s">
        <v>542</v>
      </c>
      <c r="I1011" s="256">
        <v>2330</v>
      </c>
      <c r="J1011" s="256">
        <v>5860</v>
      </c>
      <c r="K1011" s="38">
        <f>ROUND(I1011*J1011,0)</f>
        <v>13653800</v>
      </c>
      <c r="L1011" s="194" t="s">
        <v>265</v>
      </c>
      <c r="M1011" s="194" t="s">
        <v>175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50"/>
      <c r="AB1011" s="810"/>
      <c r="AC1011" s="594"/>
    </row>
    <row r="1012" spans="1:29" ht="15.75" customHeight="1">
      <c r="A1012" s="204" t="str">
        <f>IF(B1012&lt;&gt;"",IF(AND(B1012&gt;=_TM1,B1012&lt;=_TM2,OR(TH!L1012="1111",TH!M1012="1111")),TH!D1012,""),"")</f>
        <v/>
      </c>
      <c r="B1012" s="36">
        <f t="shared" si="371"/>
        <v>11</v>
      </c>
      <c r="C1012" s="191">
        <f t="shared" si="375"/>
        <v>41593</v>
      </c>
      <c r="D1012" s="184" t="s">
        <v>1084</v>
      </c>
      <c r="E1012" s="191">
        <v>41593</v>
      </c>
      <c r="F1012" s="192" t="s">
        <v>724</v>
      </c>
      <c r="G1012" s="487" t="s">
        <v>1013</v>
      </c>
      <c r="H1012" s="193" t="s">
        <v>542</v>
      </c>
      <c r="I1012" s="256"/>
      <c r="J1012" s="256"/>
      <c r="K1012" s="38">
        <v>1365380</v>
      </c>
      <c r="L1012" s="194" t="s">
        <v>265</v>
      </c>
      <c r="M1012" s="194" t="s">
        <v>429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50"/>
      <c r="AB1012" s="810"/>
      <c r="AC1012" s="594" t="str">
        <f t="shared" si="363"/>
        <v/>
      </c>
    </row>
    <row r="1013" spans="1:29" ht="15.75" customHeight="1">
      <c r="A1013" s="204" t="str">
        <f>IF(B1013&lt;&gt;"",IF(AND(B1013&gt;=_TM1,B1013&lt;=_TM2,OR(TH!L1013="1111",TH!M1013="1111")),TH!D1013,""),"")</f>
        <v/>
      </c>
      <c r="B1013" s="36">
        <f t="shared" si="371"/>
        <v>11</v>
      </c>
      <c r="C1013" s="191">
        <f t="shared" si="375"/>
        <v>41594</v>
      </c>
      <c r="D1013" s="184" t="s">
        <v>1085</v>
      </c>
      <c r="E1013" s="191">
        <v>41594</v>
      </c>
      <c r="F1013" s="192" t="s">
        <v>836</v>
      </c>
      <c r="G1013" s="487" t="s">
        <v>1014</v>
      </c>
      <c r="H1013" s="193" t="s">
        <v>741</v>
      </c>
      <c r="I1013" s="256">
        <v>428</v>
      </c>
      <c r="J1013" s="256">
        <v>10500</v>
      </c>
      <c r="K1013" s="38">
        <f>ROUND(I1013*J1013,0)</f>
        <v>4494000</v>
      </c>
      <c r="L1013" s="194" t="s">
        <v>265</v>
      </c>
      <c r="M1013" s="194" t="s">
        <v>175</v>
      </c>
      <c r="N1013" s="52" t="str">
        <f>IF(AND('331-CT'!$E$7=TH!H1013,OR(L1013="331",M1013="331")),"331",IF(AND(OR(L1013="131",M1013="131"),H1013='131-CT'!$E$7),"131",""))</f>
        <v>131</v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50"/>
      <c r="AB1013" s="810"/>
      <c r="AC1013" s="594"/>
    </row>
    <row r="1014" spans="1:29" ht="15.75" customHeight="1">
      <c r="A1014" s="204" t="str">
        <f>IF(B1014&lt;&gt;"",IF(AND(B1014&gt;=_TM1,B1014&lt;=_TM2,OR(TH!L1014="1111",TH!M1014="1111")),TH!D1014,""),"")</f>
        <v/>
      </c>
      <c r="B1014" s="36">
        <f t="shared" si="371"/>
        <v>11</v>
      </c>
      <c r="C1014" s="191">
        <f t="shared" si="375"/>
        <v>41594</v>
      </c>
      <c r="D1014" s="184" t="s">
        <v>1085</v>
      </c>
      <c r="E1014" s="191">
        <v>41594</v>
      </c>
      <c r="F1014" s="192" t="s">
        <v>724</v>
      </c>
      <c r="G1014" s="487" t="s">
        <v>1014</v>
      </c>
      <c r="H1014" s="193" t="s">
        <v>741</v>
      </c>
      <c r="I1014" s="256"/>
      <c r="J1014" s="256"/>
      <c r="K1014" s="38">
        <v>449400</v>
      </c>
      <c r="L1014" s="194" t="s">
        <v>265</v>
      </c>
      <c r="M1014" s="194" t="s">
        <v>429</v>
      </c>
      <c r="N1014" s="52" t="str">
        <f>IF(AND('331-CT'!$E$7=TH!H1014,OR(L1014="331",M1014="331")),"331",IF(AND(OR(L1014="131",M1014="131"),H1014='131-CT'!$E$7),"131",""))</f>
        <v>131</v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50"/>
      <c r="AB1014" s="810"/>
      <c r="AC1014" s="594" t="str">
        <f t="shared" si="363"/>
        <v/>
      </c>
    </row>
    <row r="1015" spans="1:29" ht="15.75" customHeight="1">
      <c r="A1015" s="204" t="str">
        <f>IF(B1015&lt;&gt;"",IF(AND(B1015&gt;=_TM1,B1015&lt;=_TM2,OR(TH!L1015="1111",TH!M1015="1111")),TH!D1015,""),"")</f>
        <v>TP/X41</v>
      </c>
      <c r="B1015" s="36">
        <f t="shared" ref="B1015" si="393">IF(C1015&lt;&gt;"",MONTH(C1015),"")</f>
        <v>11</v>
      </c>
      <c r="C1015" s="191">
        <f t="shared" ref="C1015" si="394">E1015</f>
        <v>41594</v>
      </c>
      <c r="D1015" s="184" t="s">
        <v>1085</v>
      </c>
      <c r="E1015" s="191">
        <v>41594</v>
      </c>
      <c r="F1015" s="189" t="s">
        <v>341</v>
      </c>
      <c r="G1015" s="487" t="s">
        <v>1014</v>
      </c>
      <c r="H1015" s="193" t="s">
        <v>741</v>
      </c>
      <c r="I1015" s="256"/>
      <c r="J1015" s="256"/>
      <c r="K1015" s="38">
        <v>4943400</v>
      </c>
      <c r="L1015" s="194" t="s">
        <v>47</v>
      </c>
      <c r="M1015" s="194" t="s">
        <v>265</v>
      </c>
      <c r="N1015" s="52" t="str">
        <f>IF(AND('331-CT'!$E$7=TH!H1015,OR(L1015="331",M1015="331")),"331",IF(AND(OR(L1015="131",M1015="131"),H1015='131-CT'!$E$7),"131",""))</f>
        <v>131</v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50"/>
      <c r="AB1015" s="810"/>
      <c r="AC1015" s="594" t="str">
        <f t="shared" ref="AC1015" si="395">IF(VLOOKUP(H1015,DS_131,1,0)&lt;&gt;"","","x")</f>
        <v/>
      </c>
    </row>
    <row r="1016" spans="1:29" ht="15.75" customHeight="1">
      <c r="A1016" s="204" t="str">
        <f>IF(B1016&lt;&gt;"",IF(AND(B1016&gt;=_TM1,B1016&lt;=_TM2,OR(TH!L1016="1111",TH!M1016="1111")),TH!D1016,""),"")</f>
        <v/>
      </c>
      <c r="B1016" s="36">
        <f t="shared" si="371"/>
        <v>11</v>
      </c>
      <c r="C1016" s="191">
        <f t="shared" si="375"/>
        <v>41596</v>
      </c>
      <c r="D1016" s="184" t="s">
        <v>1086</v>
      </c>
      <c r="E1016" s="191">
        <v>41596</v>
      </c>
      <c r="F1016" s="192" t="s">
        <v>874</v>
      </c>
      <c r="G1016" s="487" t="s">
        <v>1015</v>
      </c>
      <c r="H1016" s="7" t="s">
        <v>538</v>
      </c>
      <c r="I1016" s="256">
        <v>1017</v>
      </c>
      <c r="J1016" s="256">
        <v>12000</v>
      </c>
      <c r="K1016" s="38">
        <f>ROUND(I1016*J1016,0)</f>
        <v>12204000</v>
      </c>
      <c r="L1016" s="194" t="s">
        <v>265</v>
      </c>
      <c r="M1016" s="194" t="s">
        <v>175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50"/>
      <c r="AB1016" s="810"/>
      <c r="AC1016" s="594"/>
    </row>
    <row r="1017" spans="1:29" ht="15.75" customHeight="1">
      <c r="A1017" s="204" t="str">
        <f>IF(B1017&lt;&gt;"",IF(AND(B1017&gt;=_TM1,B1017&lt;=_TM2,OR(TH!L1017="1111",TH!M1017="1111")),TH!D1017,""),"")</f>
        <v/>
      </c>
      <c r="B1017" s="36">
        <f t="shared" si="371"/>
        <v>11</v>
      </c>
      <c r="C1017" s="191">
        <f t="shared" si="375"/>
        <v>41596</v>
      </c>
      <c r="D1017" s="184" t="s">
        <v>1086</v>
      </c>
      <c r="E1017" s="191">
        <v>41596</v>
      </c>
      <c r="F1017" s="192" t="s">
        <v>724</v>
      </c>
      <c r="G1017" s="487" t="s">
        <v>1015</v>
      </c>
      <c r="H1017" s="7" t="s">
        <v>538</v>
      </c>
      <c r="I1017" s="256"/>
      <c r="J1017" s="256"/>
      <c r="K1017" s="38">
        <v>1220400</v>
      </c>
      <c r="L1017" s="194" t="s">
        <v>265</v>
      </c>
      <c r="M1017" s="194" t="s">
        <v>429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50"/>
      <c r="AB1017" s="810"/>
      <c r="AC1017" s="594" t="str">
        <f t="shared" si="363"/>
        <v/>
      </c>
    </row>
    <row r="1018" spans="1:29" ht="15.75" customHeight="1">
      <c r="A1018" s="204" t="str">
        <f>IF(B1018&lt;&gt;"",IF(AND(B1018&gt;=_TM1,B1018&lt;=_TM2,OR(TH!L1018="1111",TH!M1018="1111")),TH!D1018,""),"")</f>
        <v/>
      </c>
      <c r="B1018" s="36">
        <f t="shared" si="371"/>
        <v>11</v>
      </c>
      <c r="C1018" s="191">
        <f t="shared" si="375"/>
        <v>41597</v>
      </c>
      <c r="D1018" s="184" t="s">
        <v>1087</v>
      </c>
      <c r="E1018" s="191">
        <v>41597</v>
      </c>
      <c r="F1018" s="192" t="s">
        <v>1016</v>
      </c>
      <c r="G1018" s="192" t="s">
        <v>1017</v>
      </c>
      <c r="H1018" s="7" t="s">
        <v>877</v>
      </c>
      <c r="I1018" s="256">
        <v>70</v>
      </c>
      <c r="J1018" s="256">
        <v>42000</v>
      </c>
      <c r="K1018" s="38">
        <f t="shared" ref="K1018:K1021" si="396">ROUND(I1018*J1018,0)</f>
        <v>2940000</v>
      </c>
      <c r="L1018" s="194" t="s">
        <v>265</v>
      </c>
      <c r="M1018" s="194" t="s">
        <v>175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50"/>
      <c r="AB1018" s="810"/>
      <c r="AC1018" s="594"/>
    </row>
    <row r="1019" spans="1:29" ht="15.75" customHeight="1">
      <c r="A1019" s="204" t="str">
        <f>IF(B1019&lt;&gt;"",IF(AND(B1019&gt;=_TM1,B1019&lt;=_TM2,OR(TH!L1019="1111",TH!M1019="1111")),TH!D1019,""),"")</f>
        <v/>
      </c>
      <c r="B1019" s="36">
        <f t="shared" si="371"/>
        <v>11</v>
      </c>
      <c r="C1019" s="191">
        <f t="shared" si="375"/>
        <v>41597</v>
      </c>
      <c r="D1019" s="184" t="s">
        <v>1087</v>
      </c>
      <c r="E1019" s="191">
        <v>41597</v>
      </c>
      <c r="F1019" s="192" t="s">
        <v>878</v>
      </c>
      <c r="G1019" s="192" t="s">
        <v>1017</v>
      </c>
      <c r="H1019" s="7" t="s">
        <v>877</v>
      </c>
      <c r="I1019" s="256">
        <v>70</v>
      </c>
      <c r="J1019" s="256">
        <v>45000</v>
      </c>
      <c r="K1019" s="38">
        <f t="shared" si="396"/>
        <v>3150000</v>
      </c>
      <c r="L1019" s="194" t="s">
        <v>265</v>
      </c>
      <c r="M1019" s="194" t="s">
        <v>175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50"/>
      <c r="AB1019" s="810"/>
      <c r="AC1019" s="594"/>
    </row>
    <row r="1020" spans="1:29" ht="15.75" customHeight="1">
      <c r="A1020" s="204" t="str">
        <f>IF(B1020&lt;&gt;"",IF(AND(B1020&gt;=_TM1,B1020&lt;=_TM2,OR(TH!L1020="1111",TH!M1020="1111")),TH!D1020,""),"")</f>
        <v/>
      </c>
      <c r="B1020" s="36">
        <f t="shared" si="371"/>
        <v>11</v>
      </c>
      <c r="C1020" s="191">
        <f t="shared" si="375"/>
        <v>41597</v>
      </c>
      <c r="D1020" s="184" t="s">
        <v>1087</v>
      </c>
      <c r="E1020" s="191">
        <v>41597</v>
      </c>
      <c r="F1020" s="192" t="s">
        <v>1018</v>
      </c>
      <c r="G1020" s="192" t="s">
        <v>1017</v>
      </c>
      <c r="H1020" s="7" t="s">
        <v>877</v>
      </c>
      <c r="I1020" s="256">
        <v>50</v>
      </c>
      <c r="J1020" s="256">
        <v>45300</v>
      </c>
      <c r="K1020" s="38">
        <f t="shared" si="396"/>
        <v>2265000</v>
      </c>
      <c r="L1020" s="194" t="s">
        <v>265</v>
      </c>
      <c r="M1020" s="194" t="s">
        <v>175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50"/>
      <c r="AB1020" s="810"/>
      <c r="AC1020" s="594"/>
    </row>
    <row r="1021" spans="1:29" ht="15.75" customHeight="1">
      <c r="A1021" s="204" t="str">
        <f>IF(B1021&lt;&gt;"",IF(AND(B1021&gt;=_TM1,B1021&lt;=_TM2,OR(TH!L1021="1111",TH!M1021="1111")),TH!D1021,""),"")</f>
        <v/>
      </c>
      <c r="B1021" s="36">
        <f t="shared" si="371"/>
        <v>11</v>
      </c>
      <c r="C1021" s="191">
        <f t="shared" si="375"/>
        <v>41597</v>
      </c>
      <c r="D1021" s="184" t="s">
        <v>1087</v>
      </c>
      <c r="E1021" s="191">
        <v>41597</v>
      </c>
      <c r="F1021" s="192" t="s">
        <v>879</v>
      </c>
      <c r="G1021" s="192" t="s">
        <v>1017</v>
      </c>
      <c r="H1021" s="7" t="s">
        <v>877</v>
      </c>
      <c r="I1021" s="257">
        <v>50</v>
      </c>
      <c r="J1021" s="257">
        <v>50400</v>
      </c>
      <c r="K1021" s="38">
        <f t="shared" si="396"/>
        <v>2520000</v>
      </c>
      <c r="L1021" s="194" t="s">
        <v>265</v>
      </c>
      <c r="M1021" s="194" t="s">
        <v>175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50"/>
      <c r="AB1021" s="810"/>
      <c r="AC1021" s="594"/>
    </row>
    <row r="1022" spans="1:29" ht="15.75" customHeight="1">
      <c r="A1022" s="204" t="str">
        <f>IF(B1022&lt;&gt;"",IF(AND(B1022&gt;=_TM1,B1022&lt;=_TM2,OR(TH!L1022="1111",TH!M1022="1111")),TH!D1022,""),"")</f>
        <v/>
      </c>
      <c r="B1022" s="36">
        <f t="shared" si="371"/>
        <v>11</v>
      </c>
      <c r="C1022" s="191">
        <f t="shared" si="375"/>
        <v>41597</v>
      </c>
      <c r="D1022" s="184" t="s">
        <v>1087</v>
      </c>
      <c r="E1022" s="191">
        <v>41597</v>
      </c>
      <c r="F1022" s="192" t="s">
        <v>724</v>
      </c>
      <c r="G1022" s="192" t="s">
        <v>1017</v>
      </c>
      <c r="H1022" s="7" t="s">
        <v>877</v>
      </c>
      <c r="I1022" s="256"/>
      <c r="J1022" s="256"/>
      <c r="K1022" s="38">
        <v>1087500</v>
      </c>
      <c r="L1022" s="194" t="s">
        <v>265</v>
      </c>
      <c r="M1022" s="194" t="s">
        <v>429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50"/>
      <c r="AB1022" s="810"/>
      <c r="AC1022" s="594" t="str">
        <f t="shared" si="363"/>
        <v/>
      </c>
    </row>
    <row r="1023" spans="1:29" ht="15.75" customHeight="1">
      <c r="A1023" s="204" t="str">
        <f>IF(B1023&lt;&gt;"",IF(AND(B1023&gt;=_TM1,B1023&lt;=_TM2,OR(TH!L1023="1111",TH!M1023="1111")),TH!D1023,""),"")</f>
        <v>TP/X43</v>
      </c>
      <c r="B1023" s="36">
        <f t="shared" ref="B1023" si="397">IF(C1023&lt;&gt;"",MONTH(C1023),"")</f>
        <v>11</v>
      </c>
      <c r="C1023" s="191">
        <f t="shared" ref="C1023" si="398">E1023</f>
        <v>41597</v>
      </c>
      <c r="D1023" s="184" t="s">
        <v>1087</v>
      </c>
      <c r="E1023" s="191">
        <v>41597</v>
      </c>
      <c r="F1023" s="189" t="s">
        <v>341</v>
      </c>
      <c r="G1023" s="192" t="s">
        <v>1017</v>
      </c>
      <c r="H1023" s="7" t="s">
        <v>877</v>
      </c>
      <c r="I1023" s="256"/>
      <c r="J1023" s="256"/>
      <c r="K1023" s="38">
        <v>11962500</v>
      </c>
      <c r="L1023" s="194" t="s">
        <v>47</v>
      </c>
      <c r="M1023" s="194" t="s">
        <v>265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50"/>
      <c r="AB1023" s="810"/>
      <c r="AC1023" s="594" t="str">
        <f t="shared" ref="AC1023" si="399">IF(VLOOKUP(H1023,DS_131,1,0)&lt;&gt;"","","x")</f>
        <v/>
      </c>
    </row>
    <row r="1024" spans="1:29" ht="15.75" customHeight="1">
      <c r="A1024" s="204" t="str">
        <f>IF(B1024&lt;&gt;"",IF(AND(B1024&gt;=_TM1,B1024&lt;=_TM2,OR(TH!L1024="1111",TH!M1024="1111")),TH!D1024,""),"")</f>
        <v/>
      </c>
      <c r="B1024" s="36">
        <f t="shared" si="371"/>
        <v>11</v>
      </c>
      <c r="C1024" s="191">
        <f t="shared" si="375"/>
        <v>41598</v>
      </c>
      <c r="D1024" s="184" t="s">
        <v>1088</v>
      </c>
      <c r="E1024" s="191">
        <v>41598</v>
      </c>
      <c r="F1024" s="192" t="s">
        <v>880</v>
      </c>
      <c r="G1024" s="192" t="s">
        <v>1019</v>
      </c>
      <c r="H1024" s="7" t="s">
        <v>877</v>
      </c>
      <c r="I1024" s="256">
        <v>50</v>
      </c>
      <c r="J1024" s="256">
        <v>53500</v>
      </c>
      <c r="K1024" s="38">
        <f t="shared" ref="K1024:K1026" si="400">ROUND(I1024*J1024,0)</f>
        <v>2675000</v>
      </c>
      <c r="L1024" s="194" t="s">
        <v>265</v>
      </c>
      <c r="M1024" s="194" t="s">
        <v>175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50"/>
      <c r="AB1024" s="810"/>
      <c r="AC1024" s="594"/>
    </row>
    <row r="1025" spans="1:29" ht="15.75" customHeight="1">
      <c r="A1025" s="204" t="str">
        <f>IF(B1025&lt;&gt;"",IF(AND(B1025&gt;=_TM1,B1025&lt;=_TM2,OR(TH!L1025="1111",TH!M1025="1111")),TH!D1025,""),"")</f>
        <v/>
      </c>
      <c r="B1025" s="36">
        <f t="shared" si="371"/>
        <v>11</v>
      </c>
      <c r="C1025" s="191">
        <f t="shared" si="375"/>
        <v>41598</v>
      </c>
      <c r="D1025" s="184" t="s">
        <v>1088</v>
      </c>
      <c r="E1025" s="191">
        <v>41598</v>
      </c>
      <c r="F1025" s="192" t="s">
        <v>1020</v>
      </c>
      <c r="G1025" s="487" t="s">
        <v>1019</v>
      </c>
      <c r="H1025" s="7" t="s">
        <v>877</v>
      </c>
      <c r="I1025" s="256">
        <v>50</v>
      </c>
      <c r="J1025" s="256">
        <v>59700</v>
      </c>
      <c r="K1025" s="38">
        <f t="shared" si="400"/>
        <v>2985000</v>
      </c>
      <c r="L1025" s="194" t="s">
        <v>265</v>
      </c>
      <c r="M1025" s="194" t="s">
        <v>175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50"/>
      <c r="AB1025" s="810"/>
      <c r="AC1025" s="594"/>
    </row>
    <row r="1026" spans="1:29" ht="15.75" customHeight="1">
      <c r="A1026" s="204" t="str">
        <f>IF(B1026&lt;&gt;"",IF(AND(B1026&gt;=_TM1,B1026&lt;=_TM2,OR(TH!L1026="1111",TH!M1026="1111")),TH!D1026,""),"")</f>
        <v/>
      </c>
      <c r="B1026" s="36">
        <f t="shared" si="371"/>
        <v>11</v>
      </c>
      <c r="C1026" s="191">
        <f t="shared" si="375"/>
        <v>41598</v>
      </c>
      <c r="D1026" s="184" t="s">
        <v>1088</v>
      </c>
      <c r="E1026" s="191">
        <v>41598</v>
      </c>
      <c r="F1026" s="192" t="s">
        <v>1021</v>
      </c>
      <c r="G1026" s="487" t="s">
        <v>1019</v>
      </c>
      <c r="H1026" s="7" t="s">
        <v>877</v>
      </c>
      <c r="I1026" s="256">
        <v>50</v>
      </c>
      <c r="J1026" s="256">
        <v>65000</v>
      </c>
      <c r="K1026" s="38">
        <f t="shared" si="400"/>
        <v>3250000</v>
      </c>
      <c r="L1026" s="194" t="s">
        <v>265</v>
      </c>
      <c r="M1026" s="194" t="s">
        <v>175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50"/>
      <c r="AB1026" s="810"/>
      <c r="AC1026" s="594"/>
    </row>
    <row r="1027" spans="1:29" ht="15.75" customHeight="1">
      <c r="A1027" s="204" t="str">
        <f>IF(B1027&lt;&gt;"",IF(AND(B1027&gt;=_TM1,B1027&lt;=_TM2,OR(TH!L1027="1111",TH!M1027="1111")),TH!D1027,""),"")</f>
        <v/>
      </c>
      <c r="B1027" s="36">
        <f t="shared" si="371"/>
        <v>11</v>
      </c>
      <c r="C1027" s="191">
        <f t="shared" si="375"/>
        <v>41598</v>
      </c>
      <c r="D1027" s="184" t="s">
        <v>1088</v>
      </c>
      <c r="E1027" s="191">
        <v>41598</v>
      </c>
      <c r="F1027" s="192" t="s">
        <v>724</v>
      </c>
      <c r="G1027" s="487" t="s">
        <v>1019</v>
      </c>
      <c r="H1027" s="7" t="s">
        <v>877</v>
      </c>
      <c r="I1027" s="256"/>
      <c r="J1027" s="256"/>
      <c r="K1027" s="38">
        <v>891000</v>
      </c>
      <c r="L1027" s="194" t="s">
        <v>265</v>
      </c>
      <c r="M1027" s="194" t="s">
        <v>429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50"/>
      <c r="AB1027" s="810"/>
      <c r="AC1027" s="594" t="str">
        <f t="shared" si="363"/>
        <v/>
      </c>
    </row>
    <row r="1028" spans="1:29" ht="15.75" customHeight="1">
      <c r="A1028" s="204" t="str">
        <f>IF(B1028&lt;&gt;"",IF(AND(B1028&gt;=_TM1,B1028&lt;=_TM2,OR(TH!L1028="1111",TH!M1028="1111")),TH!D1028,""),"")</f>
        <v>TP/X44</v>
      </c>
      <c r="B1028" s="36">
        <f t="shared" ref="B1028" si="401">IF(C1028&lt;&gt;"",MONTH(C1028),"")</f>
        <v>11</v>
      </c>
      <c r="C1028" s="191">
        <f t="shared" ref="C1028" si="402">E1028</f>
        <v>41598</v>
      </c>
      <c r="D1028" s="184" t="s">
        <v>1088</v>
      </c>
      <c r="E1028" s="191">
        <v>41598</v>
      </c>
      <c r="F1028" s="189" t="s">
        <v>341</v>
      </c>
      <c r="G1028" s="487" t="s">
        <v>1019</v>
      </c>
      <c r="H1028" s="7" t="s">
        <v>877</v>
      </c>
      <c r="I1028" s="256"/>
      <c r="J1028" s="256"/>
      <c r="K1028" s="38">
        <v>9801000</v>
      </c>
      <c r="L1028" s="194" t="s">
        <v>47</v>
      </c>
      <c r="M1028" s="194" t="s">
        <v>265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50"/>
      <c r="AB1028" s="810"/>
      <c r="AC1028" s="594" t="str">
        <f t="shared" ref="AC1028" si="403">IF(VLOOKUP(H1028,DS_131,1,0)&lt;&gt;"","","x")</f>
        <v/>
      </c>
    </row>
    <row r="1029" spans="1:29" ht="15.75" customHeight="1">
      <c r="A1029" s="204" t="str">
        <f>IF(B1029&lt;&gt;"",IF(AND(B1029&gt;=_TM1,B1029&lt;=_TM2,OR(TH!L1029="1111",TH!M1029="1111")),TH!D1029,""),"")</f>
        <v/>
      </c>
      <c r="B1029" s="36">
        <f t="shared" si="371"/>
        <v>11</v>
      </c>
      <c r="C1029" s="191">
        <f t="shared" si="375"/>
        <v>41603</v>
      </c>
      <c r="D1029" s="184" t="s">
        <v>1089</v>
      </c>
      <c r="E1029" s="191">
        <v>41603</v>
      </c>
      <c r="F1029" s="192" t="s">
        <v>721</v>
      </c>
      <c r="G1029" s="487" t="s">
        <v>1022</v>
      </c>
      <c r="H1029" s="193" t="s">
        <v>1023</v>
      </c>
      <c r="I1029" s="256">
        <v>500</v>
      </c>
      <c r="J1029" s="256">
        <v>5700</v>
      </c>
      <c r="K1029" s="38">
        <f>ROUND(I1029*J1029,0)</f>
        <v>2850000</v>
      </c>
      <c r="L1029" s="194" t="s">
        <v>265</v>
      </c>
      <c r="M1029" s="194" t="s">
        <v>175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50"/>
      <c r="AB1029" s="810"/>
      <c r="AC1029" s="594"/>
    </row>
    <row r="1030" spans="1:29" ht="15.75" customHeight="1">
      <c r="A1030" s="204" t="str">
        <f>IF(B1030&lt;&gt;"",IF(AND(B1030&gt;=_TM1,B1030&lt;=_TM2,OR(TH!L1030="1111",TH!M1030="1111")),TH!D1030,""),"")</f>
        <v/>
      </c>
      <c r="B1030" s="36">
        <f t="shared" si="371"/>
        <v>11</v>
      </c>
      <c r="C1030" s="191">
        <f t="shared" si="375"/>
        <v>41603</v>
      </c>
      <c r="D1030" s="184" t="s">
        <v>1089</v>
      </c>
      <c r="E1030" s="191">
        <v>41603</v>
      </c>
      <c r="F1030" s="192" t="s">
        <v>724</v>
      </c>
      <c r="G1030" s="487" t="s">
        <v>1022</v>
      </c>
      <c r="H1030" s="193" t="s">
        <v>1023</v>
      </c>
      <c r="I1030" s="256"/>
      <c r="J1030" s="256"/>
      <c r="K1030" s="38">
        <v>285000</v>
      </c>
      <c r="L1030" s="194" t="s">
        <v>265</v>
      </c>
      <c r="M1030" s="194" t="s">
        <v>429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50"/>
      <c r="AB1030" s="810"/>
      <c r="AC1030" s="594" t="str">
        <f t="shared" ref="AC1030:AC1090" si="404">IF(VLOOKUP(H1030,DS_131,1,0)&lt;&gt;"","","x")</f>
        <v/>
      </c>
    </row>
    <row r="1031" spans="1:29" ht="15.75" customHeight="1">
      <c r="A1031" s="204" t="str">
        <f>IF(B1031&lt;&gt;"",IF(AND(B1031&gt;=_TM1,B1031&lt;=_TM2,OR(TH!L1031="1111",TH!M1031="1111")),TH!D1031,""),"")</f>
        <v/>
      </c>
      <c r="B1031" s="36">
        <f t="shared" si="371"/>
        <v>11</v>
      </c>
      <c r="C1031" s="191">
        <f t="shared" si="375"/>
        <v>41604</v>
      </c>
      <c r="D1031" s="184" t="s">
        <v>1090</v>
      </c>
      <c r="E1031" s="191">
        <v>41604</v>
      </c>
      <c r="F1031" s="192" t="s">
        <v>836</v>
      </c>
      <c r="G1031" s="487" t="s">
        <v>652</v>
      </c>
      <c r="H1031" s="7" t="s">
        <v>741</v>
      </c>
      <c r="I1031" s="256">
        <v>500</v>
      </c>
      <c r="J1031" s="256">
        <v>10500</v>
      </c>
      <c r="K1031" s="38">
        <f t="shared" ref="K1031:K1033" si="405">ROUND(I1031*J1031,0)</f>
        <v>5250000</v>
      </c>
      <c r="L1031" s="194" t="s">
        <v>265</v>
      </c>
      <c r="M1031" s="194" t="s">
        <v>175</v>
      </c>
      <c r="N1031" s="52" t="str">
        <f>IF(AND('331-CT'!$E$7=TH!H1031,OR(L1031="331",M1031="331")),"331",IF(AND(OR(L1031="131",M1031="131"),H1031='131-CT'!$E$7),"131",""))</f>
        <v>131</v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50"/>
      <c r="AB1031" s="810"/>
      <c r="AC1031" s="594"/>
    </row>
    <row r="1032" spans="1:29" ht="15.75" customHeight="1">
      <c r="A1032" s="204" t="str">
        <f>IF(B1032&lt;&gt;"",IF(AND(B1032&gt;=_TM1,B1032&lt;=_TM2,OR(TH!L1032="1111",TH!M1032="1111")),TH!D1032,""),"")</f>
        <v/>
      </c>
      <c r="B1032" s="36">
        <f t="shared" si="371"/>
        <v>11</v>
      </c>
      <c r="C1032" s="191">
        <f t="shared" si="375"/>
        <v>41604</v>
      </c>
      <c r="D1032" s="184" t="s">
        <v>1090</v>
      </c>
      <c r="E1032" s="191">
        <v>41604</v>
      </c>
      <c r="F1032" s="192" t="s">
        <v>836</v>
      </c>
      <c r="G1032" s="487" t="s">
        <v>652</v>
      </c>
      <c r="H1032" s="7" t="s">
        <v>741</v>
      </c>
      <c r="I1032" s="256">
        <v>500</v>
      </c>
      <c r="J1032" s="256">
        <v>10500</v>
      </c>
      <c r="K1032" s="38">
        <f t="shared" si="405"/>
        <v>5250000</v>
      </c>
      <c r="L1032" s="194" t="s">
        <v>265</v>
      </c>
      <c r="M1032" s="194" t="s">
        <v>175</v>
      </c>
      <c r="N1032" s="52" t="str">
        <f>IF(AND('331-CT'!$E$7=TH!H1032,OR(L1032="331",M1032="331")),"331",IF(AND(OR(L1032="131",M1032="131"),H1032='131-CT'!$E$7),"131",""))</f>
        <v>131</v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50"/>
      <c r="AB1032" s="810"/>
      <c r="AC1032" s="594"/>
    </row>
    <row r="1033" spans="1:29" ht="15.75" customHeight="1">
      <c r="A1033" s="204" t="str">
        <f>IF(B1033&lt;&gt;"",IF(AND(B1033&gt;=_TM1,B1033&lt;=_TM2,OR(TH!L1033="1111",TH!M1033="1111")),TH!D1033,""),"")</f>
        <v/>
      </c>
      <c r="B1033" s="36">
        <f t="shared" si="371"/>
        <v>11</v>
      </c>
      <c r="C1033" s="191">
        <f t="shared" si="375"/>
        <v>41604</v>
      </c>
      <c r="D1033" s="184" t="s">
        <v>1090</v>
      </c>
      <c r="E1033" s="191">
        <v>41604</v>
      </c>
      <c r="F1033" s="192" t="s">
        <v>836</v>
      </c>
      <c r="G1033" s="487" t="s">
        <v>652</v>
      </c>
      <c r="H1033" s="193" t="s">
        <v>741</v>
      </c>
      <c r="I1033" s="256">
        <v>500</v>
      </c>
      <c r="J1033" s="256">
        <v>10500</v>
      </c>
      <c r="K1033" s="38">
        <f t="shared" si="405"/>
        <v>5250000</v>
      </c>
      <c r="L1033" s="194" t="s">
        <v>265</v>
      </c>
      <c r="M1033" s="194" t="s">
        <v>175</v>
      </c>
      <c r="N1033" s="52" t="str">
        <f>IF(AND('331-CT'!$E$7=TH!H1033,OR(L1033="331",M1033="331")),"331",IF(AND(OR(L1033="131",M1033="131"),H1033='131-CT'!$E$7),"131",""))</f>
        <v>131</v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50"/>
      <c r="AB1033" s="810"/>
      <c r="AC1033" s="594"/>
    </row>
    <row r="1034" spans="1:29" ht="15.75" customHeight="1">
      <c r="A1034" s="204" t="str">
        <f>IF(B1034&lt;&gt;"",IF(AND(B1034&gt;=_TM1,B1034&lt;=_TM2,OR(TH!L1034="1111",TH!M1034="1111")),TH!D1034,""),"")</f>
        <v/>
      </c>
      <c r="B1034" s="36">
        <f t="shared" ref="B1034:B1100" si="406">IF(C1034&lt;&gt;"",MONTH(C1034),"")</f>
        <v>11</v>
      </c>
      <c r="C1034" s="191">
        <f t="shared" si="375"/>
        <v>41604</v>
      </c>
      <c r="D1034" s="184" t="s">
        <v>1090</v>
      </c>
      <c r="E1034" s="191">
        <v>41604</v>
      </c>
      <c r="F1034" s="192" t="s">
        <v>724</v>
      </c>
      <c r="G1034" s="487" t="s">
        <v>652</v>
      </c>
      <c r="H1034" s="193" t="s">
        <v>741</v>
      </c>
      <c r="I1034" s="256"/>
      <c r="J1034" s="256"/>
      <c r="K1034" s="38">
        <v>1575000</v>
      </c>
      <c r="L1034" s="194" t="s">
        <v>265</v>
      </c>
      <c r="M1034" s="194" t="s">
        <v>429</v>
      </c>
      <c r="N1034" s="52" t="str">
        <f>IF(AND('331-CT'!$E$7=TH!H1034,OR(L1034="331",M1034="331")),"331",IF(AND(OR(L1034="131",M1034="131"),H1034='131-CT'!$E$7),"131",""))</f>
        <v>131</v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50"/>
      <c r="AB1034" s="810"/>
      <c r="AC1034" s="594" t="str">
        <f t="shared" si="404"/>
        <v/>
      </c>
    </row>
    <row r="1035" spans="1:29" ht="15.75" customHeight="1">
      <c r="A1035" s="204" t="str">
        <f>IF(B1035&lt;&gt;"",IF(AND(B1035&gt;=_TM1,B1035&lt;=_TM2,OR(TH!L1035="1111",TH!M1035="1111")),TH!D1035,""),"")</f>
        <v>TP/X46</v>
      </c>
      <c r="B1035" s="36">
        <f t="shared" ref="B1035" si="407">IF(C1035&lt;&gt;"",MONTH(C1035),"")</f>
        <v>11</v>
      </c>
      <c r="C1035" s="191">
        <f t="shared" ref="C1035" si="408">E1035</f>
        <v>41604</v>
      </c>
      <c r="D1035" s="184" t="s">
        <v>1090</v>
      </c>
      <c r="E1035" s="191">
        <v>41604</v>
      </c>
      <c r="F1035" s="189" t="s">
        <v>341</v>
      </c>
      <c r="G1035" s="487" t="s">
        <v>652</v>
      </c>
      <c r="H1035" s="193" t="s">
        <v>741</v>
      </c>
      <c r="I1035" s="256"/>
      <c r="J1035" s="256"/>
      <c r="K1035" s="38">
        <v>17325000</v>
      </c>
      <c r="L1035" s="194" t="s">
        <v>47</v>
      </c>
      <c r="M1035" s="194" t="s">
        <v>265</v>
      </c>
      <c r="N1035" s="52" t="str">
        <f>IF(AND('331-CT'!$E$7=TH!H1035,OR(L1035="331",M1035="331")),"331",IF(AND(OR(L1035="131",M1035="131"),H1035='131-CT'!$E$7),"131",""))</f>
        <v>131</v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50"/>
      <c r="AB1035" s="810"/>
      <c r="AC1035" s="594" t="str">
        <f t="shared" ref="AC1035" si="409">IF(VLOOKUP(H1035,DS_131,1,0)&lt;&gt;"","","x")</f>
        <v/>
      </c>
    </row>
    <row r="1036" spans="1:29" ht="15.75" customHeight="1">
      <c r="A1036" s="204" t="str">
        <f>IF(B1036&lt;&gt;"",IF(AND(B1036&gt;=_TM1,B1036&lt;=_TM2,OR(TH!L1036="1111",TH!M1036="1111")),TH!D1036,""),"")</f>
        <v/>
      </c>
      <c r="B1036" s="36">
        <f t="shared" si="406"/>
        <v>11</v>
      </c>
      <c r="C1036" s="191">
        <f t="shared" si="375"/>
        <v>41606</v>
      </c>
      <c r="D1036" s="184" t="s">
        <v>1091</v>
      </c>
      <c r="E1036" s="191">
        <v>41606</v>
      </c>
      <c r="F1036" s="192" t="s">
        <v>836</v>
      </c>
      <c r="G1036" s="487" t="s">
        <v>1024</v>
      </c>
      <c r="H1036" s="193" t="s">
        <v>741</v>
      </c>
      <c r="I1036" s="256">
        <v>500</v>
      </c>
      <c r="J1036" s="256">
        <v>10500</v>
      </c>
      <c r="K1036" s="38">
        <f t="shared" ref="K1036:K1037" si="410">ROUND(I1036*J1036,0)</f>
        <v>5250000</v>
      </c>
      <c r="L1036" s="194" t="s">
        <v>265</v>
      </c>
      <c r="M1036" s="194" t="s">
        <v>175</v>
      </c>
      <c r="N1036" s="52" t="str">
        <f>IF(AND('331-CT'!$E$7=TH!H1036,OR(L1036="331",M1036="331")),"331",IF(AND(OR(L1036="131",M1036="131"),H1036='131-CT'!$E$7),"131",""))</f>
        <v>131</v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50"/>
      <c r="AB1036" s="810"/>
      <c r="AC1036" s="594"/>
    </row>
    <row r="1037" spans="1:29" ht="15.75" customHeight="1">
      <c r="A1037" s="204" t="str">
        <f>IF(B1037&lt;&gt;"",IF(AND(B1037&gt;=_TM1,B1037&lt;=_TM2,OR(TH!L1037="1111",TH!M1037="1111")),TH!D1037,""),"")</f>
        <v/>
      </c>
      <c r="B1037" s="36">
        <f t="shared" si="406"/>
        <v>11</v>
      </c>
      <c r="C1037" s="191">
        <f t="shared" si="375"/>
        <v>41606</v>
      </c>
      <c r="D1037" s="184" t="s">
        <v>1091</v>
      </c>
      <c r="E1037" s="191">
        <v>41606</v>
      </c>
      <c r="F1037" s="192" t="s">
        <v>739</v>
      </c>
      <c r="G1037" s="487" t="s">
        <v>1024</v>
      </c>
      <c r="H1037" s="193" t="s">
        <v>741</v>
      </c>
      <c r="I1037" s="256">
        <v>500</v>
      </c>
      <c r="J1037" s="256">
        <v>7500</v>
      </c>
      <c r="K1037" s="38">
        <f t="shared" si="410"/>
        <v>3750000</v>
      </c>
      <c r="L1037" s="194" t="s">
        <v>265</v>
      </c>
      <c r="M1037" s="194" t="s">
        <v>175</v>
      </c>
      <c r="N1037" s="52" t="str">
        <f>IF(AND('331-CT'!$E$7=TH!H1037,OR(L1037="331",M1037="331")),"331",IF(AND(OR(L1037="131",M1037="131"),H1037='131-CT'!$E$7),"131",""))</f>
        <v>131</v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50"/>
      <c r="AB1037" s="810"/>
      <c r="AC1037" s="594"/>
    </row>
    <row r="1038" spans="1:29" ht="15.75" customHeight="1">
      <c r="A1038" s="204" t="str">
        <f>IF(B1038&lt;&gt;"",IF(AND(B1038&gt;=_TM1,B1038&lt;=_TM2,OR(TH!L1038="1111",TH!M1038="1111")),TH!D1038,""),"")</f>
        <v/>
      </c>
      <c r="B1038" s="36">
        <f t="shared" si="406"/>
        <v>11</v>
      </c>
      <c r="C1038" s="191">
        <f t="shared" ref="C1038:C1100" si="411">E1038</f>
        <v>41606</v>
      </c>
      <c r="D1038" s="184" t="s">
        <v>1091</v>
      </c>
      <c r="E1038" s="191">
        <v>41606</v>
      </c>
      <c r="F1038" s="192" t="s">
        <v>724</v>
      </c>
      <c r="G1038" s="487" t="s">
        <v>1024</v>
      </c>
      <c r="H1038" s="193" t="s">
        <v>741</v>
      </c>
      <c r="I1038" s="256"/>
      <c r="J1038" s="256"/>
      <c r="K1038" s="38">
        <v>900000</v>
      </c>
      <c r="L1038" s="194" t="s">
        <v>265</v>
      </c>
      <c r="M1038" s="194" t="s">
        <v>429</v>
      </c>
      <c r="N1038" s="52" t="str">
        <f>IF(AND('331-CT'!$E$7=TH!H1038,OR(L1038="331",M1038="331")),"331",IF(AND(OR(L1038="131",M1038="131"),H1038='131-CT'!$E$7),"131",""))</f>
        <v>131</v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50"/>
      <c r="AB1038" s="810"/>
      <c r="AC1038" s="594" t="str">
        <f t="shared" si="404"/>
        <v/>
      </c>
    </row>
    <row r="1039" spans="1:29" ht="15.75" customHeight="1">
      <c r="A1039" s="204" t="str">
        <f>IF(B1039&lt;&gt;"",IF(AND(B1039&gt;=_TM1,B1039&lt;=_TM2,OR(TH!L1039="1111",TH!M1039="1111")),TH!D1039,""),"")</f>
        <v>TP/X47</v>
      </c>
      <c r="B1039" s="36">
        <f t="shared" ref="B1039" si="412">IF(C1039&lt;&gt;"",MONTH(C1039),"")</f>
        <v>11</v>
      </c>
      <c r="C1039" s="191">
        <f t="shared" ref="C1039" si="413">E1039</f>
        <v>41606</v>
      </c>
      <c r="D1039" s="184" t="s">
        <v>1091</v>
      </c>
      <c r="E1039" s="191">
        <v>41606</v>
      </c>
      <c r="F1039" s="189" t="s">
        <v>341</v>
      </c>
      <c r="G1039" s="487" t="s">
        <v>1024</v>
      </c>
      <c r="H1039" s="193" t="s">
        <v>741</v>
      </c>
      <c r="I1039" s="256"/>
      <c r="J1039" s="256"/>
      <c r="K1039" s="38">
        <v>9900000</v>
      </c>
      <c r="L1039" s="194" t="s">
        <v>47</v>
      </c>
      <c r="M1039" s="194" t="s">
        <v>265</v>
      </c>
      <c r="N1039" s="52" t="str">
        <f>IF(AND('331-CT'!$E$7=TH!H1039,OR(L1039="331",M1039="331")),"331",IF(AND(OR(L1039="131",M1039="131"),H1039='131-CT'!$E$7),"131",""))</f>
        <v>131</v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50"/>
      <c r="AB1039" s="810"/>
      <c r="AC1039" s="594" t="str">
        <f t="shared" ref="AC1039" si="414">IF(VLOOKUP(H1039,DS_131,1,0)&lt;&gt;"","","x")</f>
        <v/>
      </c>
    </row>
    <row r="1040" spans="1:29" ht="15.75" customHeight="1">
      <c r="A1040" s="204" t="str">
        <f>IF(B1040&lt;&gt;"",IF(AND(B1040&gt;=_TM1,B1040&lt;=_TM2,OR(TH!L1040="1111",TH!M1040="1111")),TH!D1040,""),"")</f>
        <v/>
      </c>
      <c r="B1040" s="36">
        <f t="shared" si="406"/>
        <v>11</v>
      </c>
      <c r="C1040" s="191">
        <f t="shared" si="411"/>
        <v>41606</v>
      </c>
      <c r="D1040" s="184" t="s">
        <v>1092</v>
      </c>
      <c r="E1040" s="191">
        <v>41606</v>
      </c>
      <c r="F1040" s="192" t="s">
        <v>845</v>
      </c>
      <c r="G1040" s="487" t="s">
        <v>658</v>
      </c>
      <c r="H1040" s="193" t="s">
        <v>847</v>
      </c>
      <c r="I1040" s="256">
        <v>220</v>
      </c>
      <c r="J1040" s="256">
        <v>19000</v>
      </c>
      <c r="K1040" s="38">
        <f>ROUND(I1040*J1040,0)</f>
        <v>4180000</v>
      </c>
      <c r="L1040" s="194" t="s">
        <v>265</v>
      </c>
      <c r="M1040" s="194" t="s">
        <v>175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50"/>
      <c r="AB1040" s="810"/>
      <c r="AC1040" s="594"/>
    </row>
    <row r="1041" spans="1:29" ht="15.75" customHeight="1">
      <c r="A1041" s="204" t="str">
        <f>IF(B1041&lt;&gt;"",IF(AND(B1041&gt;=_TM1,B1041&lt;=_TM2,OR(TH!L1041="1111",TH!M1041="1111")),TH!D1041,""),"")</f>
        <v/>
      </c>
      <c r="B1041" s="36">
        <f t="shared" si="406"/>
        <v>11</v>
      </c>
      <c r="C1041" s="191">
        <f t="shared" si="411"/>
        <v>41606</v>
      </c>
      <c r="D1041" s="184" t="s">
        <v>1092</v>
      </c>
      <c r="E1041" s="191">
        <v>41606</v>
      </c>
      <c r="F1041" s="192" t="s">
        <v>724</v>
      </c>
      <c r="G1041" s="192" t="s">
        <v>658</v>
      </c>
      <c r="H1041" s="7" t="s">
        <v>847</v>
      </c>
      <c r="I1041" s="256"/>
      <c r="J1041" s="256"/>
      <c r="K1041" s="38">
        <v>418000</v>
      </c>
      <c r="L1041" s="194" t="s">
        <v>265</v>
      </c>
      <c r="M1041" s="194" t="s">
        <v>429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50"/>
      <c r="AB1041" s="810"/>
      <c r="AC1041" s="594" t="str">
        <f t="shared" si="404"/>
        <v/>
      </c>
    </row>
    <row r="1042" spans="1:29" ht="15.75" customHeight="1">
      <c r="A1042" s="204" t="str">
        <f>IF(B1042&lt;&gt;"",IF(AND(B1042&gt;=_TM1,B1042&lt;=_TM2,OR(TH!L1042="1111",TH!M1042="1111")),TH!D1042,""),"")</f>
        <v/>
      </c>
      <c r="B1042" s="36">
        <f t="shared" si="406"/>
        <v>11</v>
      </c>
      <c r="C1042" s="191">
        <f t="shared" si="411"/>
        <v>41608</v>
      </c>
      <c r="D1042" s="184" t="s">
        <v>1093</v>
      </c>
      <c r="E1042" s="191">
        <v>41608</v>
      </c>
      <c r="F1042" s="192" t="s">
        <v>1008</v>
      </c>
      <c r="G1042" s="192" t="s">
        <v>1025</v>
      </c>
      <c r="H1042" s="45" t="s">
        <v>1006</v>
      </c>
      <c r="I1042" s="256">
        <v>200</v>
      </c>
      <c r="J1042" s="256">
        <v>13000</v>
      </c>
      <c r="K1042" s="38">
        <f t="shared" ref="K1042:K1044" si="415">ROUND(I1042*J1042,0)</f>
        <v>2600000</v>
      </c>
      <c r="L1042" s="194" t="s">
        <v>265</v>
      </c>
      <c r="M1042" s="194" t="s">
        <v>175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50"/>
      <c r="AB1042" s="810"/>
      <c r="AC1042" s="594"/>
    </row>
    <row r="1043" spans="1:29" ht="15.75" customHeight="1">
      <c r="A1043" s="204" t="str">
        <f>IF(B1043&lt;&gt;"",IF(AND(B1043&gt;=_TM1,B1043&lt;=_TM2,OR(TH!L1043="1111",TH!M1043="1111")),TH!D1043,""),"")</f>
        <v/>
      </c>
      <c r="B1043" s="36">
        <f t="shared" si="406"/>
        <v>11</v>
      </c>
      <c r="C1043" s="191">
        <f t="shared" si="411"/>
        <v>41608</v>
      </c>
      <c r="D1043" s="184" t="s">
        <v>1093</v>
      </c>
      <c r="E1043" s="191">
        <v>41608</v>
      </c>
      <c r="F1043" s="192" t="s">
        <v>1007</v>
      </c>
      <c r="G1043" s="192" t="s">
        <v>1025</v>
      </c>
      <c r="H1043" s="193" t="s">
        <v>1006</v>
      </c>
      <c r="I1043" s="256">
        <v>150</v>
      </c>
      <c r="J1043" s="256">
        <v>14200</v>
      </c>
      <c r="K1043" s="38">
        <f t="shared" si="415"/>
        <v>2130000</v>
      </c>
      <c r="L1043" s="194" t="s">
        <v>265</v>
      </c>
      <c r="M1043" s="194" t="s">
        <v>175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50"/>
      <c r="AB1043" s="810"/>
      <c r="AC1043" s="594"/>
    </row>
    <row r="1044" spans="1:29" ht="15.75" customHeight="1">
      <c r="A1044" s="204" t="str">
        <f>IF(B1044&lt;&gt;"",IF(AND(B1044&gt;=_TM1,B1044&lt;=_TM2,OR(TH!L1044="1111",TH!M1044="1111")),TH!D1044,""),"")</f>
        <v/>
      </c>
      <c r="B1044" s="36">
        <f t="shared" si="406"/>
        <v>11</v>
      </c>
      <c r="C1044" s="191">
        <f t="shared" si="411"/>
        <v>41608</v>
      </c>
      <c r="D1044" s="184" t="s">
        <v>1093</v>
      </c>
      <c r="E1044" s="191">
        <v>41608</v>
      </c>
      <c r="F1044" s="192" t="s">
        <v>1004</v>
      </c>
      <c r="G1044" s="192" t="s">
        <v>1025</v>
      </c>
      <c r="H1044" s="193" t="s">
        <v>1006</v>
      </c>
      <c r="I1044" s="256">
        <v>100</v>
      </c>
      <c r="J1044" s="256">
        <v>8000</v>
      </c>
      <c r="K1044" s="38">
        <f t="shared" si="415"/>
        <v>800000</v>
      </c>
      <c r="L1044" s="194" t="s">
        <v>265</v>
      </c>
      <c r="M1044" s="194" t="s">
        <v>175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50"/>
      <c r="AB1044" s="810"/>
      <c r="AC1044" s="594"/>
    </row>
    <row r="1045" spans="1:29" ht="15.75" customHeight="1">
      <c r="A1045" s="204" t="str">
        <f>IF(B1045&lt;&gt;"",IF(AND(B1045&gt;=_TM1,B1045&lt;=_TM2,OR(TH!L1045="1111",TH!M1045="1111")),TH!D1045,""),"")</f>
        <v/>
      </c>
      <c r="B1045" s="36">
        <f t="shared" si="406"/>
        <v>11</v>
      </c>
      <c r="C1045" s="191">
        <f t="shared" si="411"/>
        <v>41608</v>
      </c>
      <c r="D1045" s="184" t="s">
        <v>1093</v>
      </c>
      <c r="E1045" s="191">
        <v>41608</v>
      </c>
      <c r="F1045" s="192" t="s">
        <v>724</v>
      </c>
      <c r="G1045" s="192" t="s">
        <v>1025</v>
      </c>
      <c r="H1045" s="193" t="s">
        <v>1006</v>
      </c>
      <c r="I1045" s="256"/>
      <c r="J1045" s="256"/>
      <c r="K1045" s="38">
        <v>553000</v>
      </c>
      <c r="L1045" s="194" t="s">
        <v>265</v>
      </c>
      <c r="M1045" s="194" t="s">
        <v>429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50"/>
      <c r="AB1045" s="810"/>
      <c r="AC1045" s="594" t="str">
        <f t="shared" si="404"/>
        <v/>
      </c>
    </row>
    <row r="1046" spans="1:29" ht="15.75" customHeight="1">
      <c r="A1046" s="204" t="str">
        <f>IF(B1046&lt;&gt;"",IF(AND(B1046&gt;=_TM1,B1046&lt;=_TM2,OR(TH!L1046="1111",TH!M1046="1111")),TH!D1046,""),"")</f>
        <v/>
      </c>
      <c r="B1046" s="36">
        <f t="shared" si="406"/>
        <v>11</v>
      </c>
      <c r="C1046" s="191">
        <f t="shared" si="411"/>
        <v>41608</v>
      </c>
      <c r="D1046" s="184" t="s">
        <v>1094</v>
      </c>
      <c r="E1046" s="191">
        <v>41608</v>
      </c>
      <c r="F1046" s="192" t="s">
        <v>1026</v>
      </c>
      <c r="G1046" s="192" t="s">
        <v>1027</v>
      </c>
      <c r="H1046" s="7" t="s">
        <v>580</v>
      </c>
      <c r="I1046" s="256">
        <v>1236</v>
      </c>
      <c r="J1046" s="256">
        <v>17200</v>
      </c>
      <c r="K1046" s="38">
        <f>ROUND(I1046*J1046,0)</f>
        <v>21259200</v>
      </c>
      <c r="L1046" s="194" t="s">
        <v>265</v>
      </c>
      <c r="M1046" s="194" t="s">
        <v>175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50"/>
      <c r="AB1046" s="810"/>
      <c r="AC1046" s="594"/>
    </row>
    <row r="1047" spans="1:29" ht="15.75" customHeight="1">
      <c r="A1047" s="204" t="str">
        <f>IF(B1047&lt;&gt;"",IF(AND(B1047&gt;=_TM1,B1047&lt;=_TM2,OR(TH!L1047="1111",TH!M1047="1111")),TH!D1047,""),"")</f>
        <v/>
      </c>
      <c r="B1047" s="36">
        <f t="shared" si="406"/>
        <v>11</v>
      </c>
      <c r="C1047" s="191">
        <f t="shared" si="411"/>
        <v>41608</v>
      </c>
      <c r="D1047" s="184" t="s">
        <v>1094</v>
      </c>
      <c r="E1047" s="191">
        <v>41608</v>
      </c>
      <c r="F1047" s="192" t="s">
        <v>724</v>
      </c>
      <c r="G1047" s="192" t="s">
        <v>1027</v>
      </c>
      <c r="H1047" s="7" t="s">
        <v>580</v>
      </c>
      <c r="I1047" s="256"/>
      <c r="J1047" s="256"/>
      <c r="K1047" s="38">
        <v>2125920</v>
      </c>
      <c r="L1047" s="194" t="s">
        <v>265</v>
      </c>
      <c r="M1047" s="194" t="s">
        <v>429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50"/>
      <c r="AB1047" s="810"/>
      <c r="AC1047" s="594" t="str">
        <f t="shared" si="404"/>
        <v/>
      </c>
    </row>
    <row r="1048" spans="1:29" ht="15.75" customHeight="1">
      <c r="A1048" s="204" t="str">
        <f>IF(B1048&lt;&gt;"",IF(AND(B1048&gt;=_TM1,B1048&lt;=_TM2,OR(TH!L1048="1111",TH!M1048="1111")),TH!D1048,""),"")</f>
        <v/>
      </c>
      <c r="B1048" s="36">
        <f t="shared" si="406"/>
        <v>12</v>
      </c>
      <c r="C1048" s="191">
        <f t="shared" si="411"/>
        <v>41612</v>
      </c>
      <c r="D1048" s="184" t="s">
        <v>1095</v>
      </c>
      <c r="E1048" s="191">
        <v>41612</v>
      </c>
      <c r="F1048" s="192" t="s">
        <v>836</v>
      </c>
      <c r="G1048" s="192" t="s">
        <v>1028</v>
      </c>
      <c r="H1048" s="193" t="s">
        <v>741</v>
      </c>
      <c r="I1048" s="256">
        <v>500</v>
      </c>
      <c r="J1048" s="256">
        <v>10500</v>
      </c>
      <c r="K1048" s="38">
        <f t="shared" ref="K1048:K1049" si="416">ROUND(I1048*J1048,0)</f>
        <v>5250000</v>
      </c>
      <c r="L1048" s="194" t="s">
        <v>265</v>
      </c>
      <c r="M1048" s="194" t="s">
        <v>175</v>
      </c>
      <c r="N1048" s="52" t="str">
        <f>IF(AND('331-CT'!$E$7=TH!H1048,OR(L1048="331",M1048="331")),"331",IF(AND(OR(L1048="131",M1048="131"),H1048='131-CT'!$E$7),"131",""))</f>
        <v>131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50"/>
      <c r="AB1048" s="810"/>
      <c r="AC1048" s="594"/>
    </row>
    <row r="1049" spans="1:29" ht="15.75" customHeight="1">
      <c r="A1049" s="204" t="str">
        <f>IF(B1049&lt;&gt;"",IF(AND(B1049&gt;=_TM1,B1049&lt;=_TM2,OR(TH!L1049="1111",TH!M1049="1111")),TH!D1049,""),"")</f>
        <v/>
      </c>
      <c r="B1049" s="36">
        <f t="shared" si="406"/>
        <v>12</v>
      </c>
      <c r="C1049" s="191">
        <f t="shared" si="411"/>
        <v>41612</v>
      </c>
      <c r="D1049" s="184" t="s">
        <v>1095</v>
      </c>
      <c r="E1049" s="191">
        <v>41612</v>
      </c>
      <c r="F1049" s="192" t="s">
        <v>836</v>
      </c>
      <c r="G1049" s="192" t="s">
        <v>1028</v>
      </c>
      <c r="H1049" s="193" t="s">
        <v>741</v>
      </c>
      <c r="I1049" s="256">
        <v>500</v>
      </c>
      <c r="J1049" s="256">
        <v>10500</v>
      </c>
      <c r="K1049" s="38">
        <f t="shared" si="416"/>
        <v>5250000</v>
      </c>
      <c r="L1049" s="194" t="s">
        <v>265</v>
      </c>
      <c r="M1049" s="194" t="s">
        <v>175</v>
      </c>
      <c r="N1049" s="52" t="str">
        <f>IF(AND('331-CT'!$E$7=TH!H1049,OR(L1049="331",M1049="331")),"331",IF(AND(OR(L1049="131",M1049="131"),H1049='131-CT'!$E$7),"131",""))</f>
        <v>131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50"/>
      <c r="AB1049" s="810"/>
      <c r="AC1049" s="594"/>
    </row>
    <row r="1050" spans="1:29" ht="15.75" customHeight="1">
      <c r="A1050" s="204" t="str">
        <f>IF(B1050&lt;&gt;"",IF(AND(B1050&gt;=_TM1,B1050&lt;=_TM2,OR(TH!L1050="1111",TH!M1050="1111")),TH!D1050,""),"")</f>
        <v/>
      </c>
      <c r="B1050" s="36">
        <f t="shared" si="406"/>
        <v>12</v>
      </c>
      <c r="C1050" s="191">
        <f t="shared" si="411"/>
        <v>41612</v>
      </c>
      <c r="D1050" s="184" t="s">
        <v>1095</v>
      </c>
      <c r="E1050" s="191">
        <v>41612</v>
      </c>
      <c r="F1050" s="192" t="s">
        <v>724</v>
      </c>
      <c r="G1050" s="192" t="s">
        <v>1028</v>
      </c>
      <c r="H1050" s="7" t="s">
        <v>741</v>
      </c>
      <c r="I1050" s="257"/>
      <c r="J1050" s="257"/>
      <c r="K1050" s="38">
        <v>1050000</v>
      </c>
      <c r="L1050" s="194" t="s">
        <v>265</v>
      </c>
      <c r="M1050" s="194" t="s">
        <v>429</v>
      </c>
      <c r="N1050" s="52" t="str">
        <f>IF(AND('331-CT'!$E$7=TH!H1050,OR(L1050="331",M1050="331")),"331",IF(AND(OR(L1050="131",M1050="131"),H1050='131-CT'!$E$7),"131",""))</f>
        <v>131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50"/>
      <c r="AB1050" s="810"/>
      <c r="AC1050" s="594" t="str">
        <f t="shared" si="404"/>
        <v/>
      </c>
    </row>
    <row r="1051" spans="1:29" ht="15.75" customHeight="1">
      <c r="A1051" s="204" t="str">
        <f>IF(B1051&lt;&gt;"",IF(AND(B1051&gt;=_TM1,B1051&lt;=_TM2,OR(TH!L1051="1111",TH!M1051="1111")),TH!D1051,""),"")</f>
        <v>TP/X51</v>
      </c>
      <c r="B1051" s="36">
        <f t="shared" ref="B1051" si="417">IF(C1051&lt;&gt;"",MONTH(C1051),"")</f>
        <v>12</v>
      </c>
      <c r="C1051" s="191">
        <f t="shared" ref="C1051" si="418">E1051</f>
        <v>41612</v>
      </c>
      <c r="D1051" s="184" t="s">
        <v>1095</v>
      </c>
      <c r="E1051" s="191">
        <v>41612</v>
      </c>
      <c r="F1051" s="189" t="s">
        <v>341</v>
      </c>
      <c r="G1051" s="192" t="s">
        <v>1028</v>
      </c>
      <c r="H1051" s="7" t="s">
        <v>741</v>
      </c>
      <c r="I1051" s="257"/>
      <c r="J1051" s="257"/>
      <c r="K1051" s="38">
        <v>11550000</v>
      </c>
      <c r="L1051" s="194" t="s">
        <v>47</v>
      </c>
      <c r="M1051" s="194" t="s">
        <v>265</v>
      </c>
      <c r="N1051" s="52" t="str">
        <f>IF(AND('331-CT'!$E$7=TH!H1051,OR(L1051="331",M1051="331")),"331",IF(AND(OR(L1051="131",M1051="131"),H1051='131-CT'!$E$7),"131",""))</f>
        <v>131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50"/>
      <c r="AB1051" s="810"/>
      <c r="AC1051" s="594" t="str">
        <f t="shared" ref="AC1051" si="419">IF(VLOOKUP(H1051,DS_131,1,0)&lt;&gt;"","","x")</f>
        <v/>
      </c>
    </row>
    <row r="1052" spans="1:29" ht="15.75" customHeight="1">
      <c r="A1052" s="204" t="str">
        <f>IF(B1052&lt;&gt;"",IF(AND(B1052&gt;=_TM1,B1052&lt;=_TM2,OR(TH!L1052="1111",TH!M1052="1111")),TH!D1052,""),"")</f>
        <v/>
      </c>
      <c r="B1052" s="36">
        <f t="shared" si="406"/>
        <v>12</v>
      </c>
      <c r="C1052" s="191">
        <f t="shared" si="411"/>
        <v>41613</v>
      </c>
      <c r="D1052" s="184" t="s">
        <v>1096</v>
      </c>
      <c r="E1052" s="191">
        <v>41613</v>
      </c>
      <c r="F1052" s="192" t="s">
        <v>883</v>
      </c>
      <c r="G1052" s="192" t="s">
        <v>1029</v>
      </c>
      <c r="H1052" s="7" t="s">
        <v>541</v>
      </c>
      <c r="I1052" s="256">
        <v>202</v>
      </c>
      <c r="J1052" s="256">
        <v>8600</v>
      </c>
      <c r="K1052" s="38">
        <f t="shared" ref="K1052:K1053" si="420">ROUND(I1052*J1052,0)</f>
        <v>1737200</v>
      </c>
      <c r="L1052" s="194" t="s">
        <v>265</v>
      </c>
      <c r="M1052" s="194" t="s">
        <v>175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50"/>
      <c r="AB1052" s="810"/>
      <c r="AC1052" s="594"/>
    </row>
    <row r="1053" spans="1:29" ht="15.75" customHeight="1">
      <c r="A1053" s="204" t="str">
        <f>IF(B1053&lt;&gt;"",IF(AND(B1053&gt;=_TM1,B1053&lt;=_TM2,OR(TH!L1053="1111",TH!M1053="1111")),TH!D1053,""),"")</f>
        <v/>
      </c>
      <c r="B1053" s="36">
        <f t="shared" si="406"/>
        <v>12</v>
      </c>
      <c r="C1053" s="191">
        <f t="shared" si="411"/>
        <v>41613</v>
      </c>
      <c r="D1053" s="184" t="s">
        <v>1096</v>
      </c>
      <c r="E1053" s="191">
        <v>41613</v>
      </c>
      <c r="F1053" s="192" t="s">
        <v>841</v>
      </c>
      <c r="G1053" s="192" t="s">
        <v>1029</v>
      </c>
      <c r="H1053" s="7" t="s">
        <v>541</v>
      </c>
      <c r="I1053" s="256">
        <v>85</v>
      </c>
      <c r="J1053" s="256">
        <v>11000</v>
      </c>
      <c r="K1053" s="38">
        <f t="shared" si="420"/>
        <v>935000</v>
      </c>
      <c r="L1053" s="194" t="s">
        <v>265</v>
      </c>
      <c r="M1053" s="194" t="s">
        <v>175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50"/>
      <c r="AB1053" s="810"/>
      <c r="AC1053" s="594"/>
    </row>
    <row r="1054" spans="1:29" ht="15.75" customHeight="1">
      <c r="A1054" s="204" t="str">
        <f>IF(B1054&lt;&gt;"",IF(AND(B1054&gt;=_TM1,B1054&lt;=_TM2,OR(TH!L1054="1111",TH!M1054="1111")),TH!D1054,""),"")</f>
        <v/>
      </c>
      <c r="B1054" s="36">
        <f t="shared" si="406"/>
        <v>12</v>
      </c>
      <c r="C1054" s="191">
        <f t="shared" si="411"/>
        <v>41613</v>
      </c>
      <c r="D1054" s="184" t="s">
        <v>1096</v>
      </c>
      <c r="E1054" s="191">
        <v>41613</v>
      </c>
      <c r="F1054" s="192" t="s">
        <v>724</v>
      </c>
      <c r="G1054" s="192" t="s">
        <v>1029</v>
      </c>
      <c r="H1054" s="7" t="s">
        <v>541</v>
      </c>
      <c r="I1054" s="257"/>
      <c r="J1054" s="257"/>
      <c r="K1054" s="38">
        <v>267220</v>
      </c>
      <c r="L1054" s="194" t="s">
        <v>265</v>
      </c>
      <c r="M1054" s="194" t="s">
        <v>429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50"/>
      <c r="AB1054" s="810"/>
      <c r="AC1054" s="594" t="str">
        <f t="shared" si="404"/>
        <v/>
      </c>
    </row>
    <row r="1055" spans="1:29" ht="15.75" customHeight="1">
      <c r="A1055" s="204" t="str">
        <f>IF(B1055&lt;&gt;"",IF(AND(B1055&gt;=_TM1,B1055&lt;=_TM2,OR(TH!L1055="1111",TH!M1055="1111")),TH!D1055,""),"")</f>
        <v/>
      </c>
      <c r="B1055" s="36">
        <f t="shared" si="406"/>
        <v>12</v>
      </c>
      <c r="C1055" s="191">
        <f t="shared" si="411"/>
        <v>41615</v>
      </c>
      <c r="D1055" s="184" t="s">
        <v>1097</v>
      </c>
      <c r="E1055" s="191">
        <v>41615</v>
      </c>
      <c r="F1055" s="192" t="s">
        <v>1148</v>
      </c>
      <c r="G1055" s="192" t="s">
        <v>660</v>
      </c>
      <c r="H1055" s="193" t="s">
        <v>894</v>
      </c>
      <c r="I1055" s="256">
        <v>2700</v>
      </c>
      <c r="J1055" s="256">
        <v>4700</v>
      </c>
      <c r="K1055" s="38">
        <f>ROUND(I1055*J1055,0)</f>
        <v>12690000</v>
      </c>
      <c r="L1055" s="194" t="s">
        <v>265</v>
      </c>
      <c r="M1055" s="194" t="s">
        <v>175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50"/>
      <c r="AB1055" s="810"/>
      <c r="AC1055" s="594"/>
    </row>
    <row r="1056" spans="1:29" ht="15.75" customHeight="1">
      <c r="A1056" s="204" t="str">
        <f>IF(B1056&lt;&gt;"",IF(AND(B1056&gt;=_TM1,B1056&lt;=_TM2,OR(TH!L1056="1111",TH!M1056="1111")),TH!D1056,""),"")</f>
        <v/>
      </c>
      <c r="B1056" s="36">
        <f t="shared" si="406"/>
        <v>12</v>
      </c>
      <c r="C1056" s="191">
        <f t="shared" si="411"/>
        <v>41615</v>
      </c>
      <c r="D1056" s="184" t="s">
        <v>1097</v>
      </c>
      <c r="E1056" s="191">
        <v>41615</v>
      </c>
      <c r="F1056" s="192" t="s">
        <v>724</v>
      </c>
      <c r="G1056" s="192" t="s">
        <v>660</v>
      </c>
      <c r="H1056" s="7" t="s">
        <v>894</v>
      </c>
      <c r="I1056" s="256"/>
      <c r="J1056" s="256"/>
      <c r="K1056" s="38">
        <v>1269000</v>
      </c>
      <c r="L1056" s="194" t="s">
        <v>265</v>
      </c>
      <c r="M1056" s="194" t="s">
        <v>429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50"/>
      <c r="AB1056" s="810"/>
      <c r="AC1056" s="594" t="str">
        <f t="shared" si="404"/>
        <v/>
      </c>
    </row>
    <row r="1057" spans="1:29" ht="15.75" customHeight="1">
      <c r="A1057" s="204" t="str">
        <f>IF(B1057&lt;&gt;"",IF(AND(B1057&gt;=_TM1,B1057&lt;=_TM2,OR(TH!L1057="1111",TH!M1057="1111")),TH!D1057,""),"")</f>
        <v/>
      </c>
      <c r="B1057" s="36">
        <f t="shared" si="406"/>
        <v>12</v>
      </c>
      <c r="C1057" s="191">
        <f t="shared" si="411"/>
        <v>41620</v>
      </c>
      <c r="D1057" s="184" t="s">
        <v>1098</v>
      </c>
      <c r="E1057" s="191">
        <v>41620</v>
      </c>
      <c r="F1057" s="189" t="s">
        <v>1140</v>
      </c>
      <c r="G1057" s="487" t="s">
        <v>1030</v>
      </c>
      <c r="H1057" s="193" t="s">
        <v>788</v>
      </c>
      <c r="I1057" s="256">
        <v>1055</v>
      </c>
      <c r="J1057" s="256">
        <v>4700</v>
      </c>
      <c r="K1057" s="38">
        <f>ROUND(I1057*J1057,0)</f>
        <v>4958500</v>
      </c>
      <c r="L1057" s="194" t="s">
        <v>265</v>
      </c>
      <c r="M1057" s="194" t="s">
        <v>175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50"/>
      <c r="AB1057" s="810"/>
      <c r="AC1057" s="594"/>
    </row>
    <row r="1058" spans="1:29" ht="15.75" customHeight="1">
      <c r="A1058" s="204" t="str">
        <f>IF(B1058&lt;&gt;"",IF(AND(B1058&gt;=_TM1,B1058&lt;=_TM2,OR(TH!L1058="1111",TH!M1058="1111")),TH!D1058,""),"")</f>
        <v/>
      </c>
      <c r="B1058" s="36">
        <f t="shared" si="406"/>
        <v>12</v>
      </c>
      <c r="C1058" s="191">
        <f t="shared" si="411"/>
        <v>41620</v>
      </c>
      <c r="D1058" s="184" t="s">
        <v>1098</v>
      </c>
      <c r="E1058" s="191">
        <v>41620</v>
      </c>
      <c r="F1058" s="192" t="s">
        <v>724</v>
      </c>
      <c r="G1058" s="487" t="s">
        <v>1030</v>
      </c>
      <c r="H1058" s="193" t="s">
        <v>788</v>
      </c>
      <c r="I1058" s="256"/>
      <c r="J1058" s="256"/>
      <c r="K1058" s="38">
        <v>495850</v>
      </c>
      <c r="L1058" s="194" t="s">
        <v>265</v>
      </c>
      <c r="M1058" s="194" t="s">
        <v>429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50"/>
      <c r="AB1058" s="810"/>
      <c r="AC1058" s="594" t="str">
        <f t="shared" si="404"/>
        <v/>
      </c>
    </row>
    <row r="1059" spans="1:29" ht="15.75" customHeight="1">
      <c r="A1059" s="204" t="str">
        <f>IF(B1059&lt;&gt;"",IF(AND(B1059&gt;=_TM1,B1059&lt;=_TM2,OR(TH!L1059="1111",TH!M1059="1111")),TH!D1059,""),"")</f>
        <v/>
      </c>
      <c r="B1059" s="36">
        <f t="shared" si="406"/>
        <v>12</v>
      </c>
      <c r="C1059" s="191">
        <f t="shared" si="411"/>
        <v>41622</v>
      </c>
      <c r="D1059" s="184" t="s">
        <v>1099</v>
      </c>
      <c r="E1059" s="191">
        <v>41622</v>
      </c>
      <c r="F1059" s="192" t="s">
        <v>1150</v>
      </c>
      <c r="G1059" s="192" t="s">
        <v>1031</v>
      </c>
      <c r="H1059" s="193" t="s">
        <v>894</v>
      </c>
      <c r="I1059" s="256">
        <v>2700</v>
      </c>
      <c r="J1059" s="256">
        <v>4550</v>
      </c>
      <c r="K1059" s="38">
        <f>ROUND(I1059*J1059,0)</f>
        <v>12285000</v>
      </c>
      <c r="L1059" s="194" t="s">
        <v>265</v>
      </c>
      <c r="M1059" s="194" t="s">
        <v>175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50"/>
      <c r="AB1059" s="810"/>
      <c r="AC1059" s="594"/>
    </row>
    <row r="1060" spans="1:29" ht="15.75" customHeight="1">
      <c r="A1060" s="204" t="str">
        <f>IF(B1060&lt;&gt;"",IF(AND(B1060&gt;=_TM1,B1060&lt;=_TM2,OR(TH!L1060="1111",TH!M1060="1111")),TH!D1060,""),"")</f>
        <v/>
      </c>
      <c r="B1060" s="36">
        <f t="shared" si="406"/>
        <v>12</v>
      </c>
      <c r="C1060" s="191">
        <f t="shared" si="411"/>
        <v>41622</v>
      </c>
      <c r="D1060" s="184" t="s">
        <v>1099</v>
      </c>
      <c r="E1060" s="191">
        <v>41622</v>
      </c>
      <c r="F1060" s="192" t="s">
        <v>724</v>
      </c>
      <c r="G1060" s="192" t="s">
        <v>1031</v>
      </c>
      <c r="H1060" s="193" t="s">
        <v>894</v>
      </c>
      <c r="I1060" s="256"/>
      <c r="J1060" s="256"/>
      <c r="K1060" s="38">
        <v>1228500</v>
      </c>
      <c r="L1060" s="194" t="s">
        <v>265</v>
      </c>
      <c r="M1060" s="194" t="s">
        <v>429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50"/>
      <c r="AB1060" s="810"/>
      <c r="AC1060" s="594" t="str">
        <f t="shared" si="404"/>
        <v/>
      </c>
    </row>
    <row r="1061" spans="1:29" ht="15.75" customHeight="1">
      <c r="A1061" s="204" t="str">
        <f>IF(B1061&lt;&gt;"",IF(AND(B1061&gt;=_TM1,B1061&lt;=_TM2,OR(TH!L1061="1111",TH!M1061="1111")),TH!D1061,""),"")</f>
        <v/>
      </c>
      <c r="B1061" s="36">
        <f t="shared" si="406"/>
        <v>12</v>
      </c>
      <c r="C1061" s="191">
        <f t="shared" si="411"/>
        <v>41624</v>
      </c>
      <c r="D1061" s="184" t="s">
        <v>1100</v>
      </c>
      <c r="E1061" s="191">
        <v>41624</v>
      </c>
      <c r="F1061" s="192" t="s">
        <v>836</v>
      </c>
      <c r="G1061" s="192" t="s">
        <v>1032</v>
      </c>
      <c r="H1061" s="193" t="s">
        <v>741</v>
      </c>
      <c r="I1061" s="256">
        <v>1030</v>
      </c>
      <c r="J1061" s="256">
        <v>10500</v>
      </c>
      <c r="K1061" s="38">
        <f>ROUND(I1061*J1061,0)</f>
        <v>10815000</v>
      </c>
      <c r="L1061" s="194" t="s">
        <v>265</v>
      </c>
      <c r="M1061" s="194" t="s">
        <v>175</v>
      </c>
      <c r="N1061" s="52" t="str">
        <f>IF(AND('331-CT'!$E$7=TH!H1061,OR(L1061="331",M1061="331")),"331",IF(AND(OR(L1061="131",M1061="131"),H1061='131-CT'!$E$7),"131",""))</f>
        <v>131</v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50"/>
      <c r="AB1061" s="810"/>
      <c r="AC1061" s="594"/>
    </row>
    <row r="1062" spans="1:29" ht="15.75" customHeight="1">
      <c r="A1062" s="204" t="str">
        <f>IF(B1062&lt;&gt;"",IF(AND(B1062&gt;=_TM1,B1062&lt;=_TM2,OR(TH!L1062="1111",TH!M1062="1111")),TH!D1062,""),"")</f>
        <v/>
      </c>
      <c r="B1062" s="36">
        <f t="shared" si="406"/>
        <v>12</v>
      </c>
      <c r="C1062" s="191">
        <f t="shared" si="411"/>
        <v>41624</v>
      </c>
      <c r="D1062" s="184" t="s">
        <v>1100</v>
      </c>
      <c r="E1062" s="191">
        <v>41624</v>
      </c>
      <c r="F1062" s="192" t="s">
        <v>724</v>
      </c>
      <c r="G1062" s="487" t="s">
        <v>1032</v>
      </c>
      <c r="H1062" s="210" t="s">
        <v>741</v>
      </c>
      <c r="I1062" s="257"/>
      <c r="J1062" s="257"/>
      <c r="K1062" s="38">
        <v>1081500</v>
      </c>
      <c r="L1062" s="194" t="s">
        <v>265</v>
      </c>
      <c r="M1062" s="194" t="s">
        <v>429</v>
      </c>
      <c r="N1062" s="52" t="str">
        <f>IF(AND('331-CT'!$E$7=TH!H1062,OR(L1062="331",M1062="331")),"331",IF(AND(OR(L1062="131",M1062="131"),H1062='131-CT'!$E$7),"131",""))</f>
        <v>131</v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50"/>
      <c r="AB1062" s="810"/>
      <c r="AC1062" s="594" t="str">
        <f t="shared" si="404"/>
        <v/>
      </c>
    </row>
    <row r="1063" spans="1:29" ht="15.75" customHeight="1">
      <c r="A1063" s="204" t="str">
        <f>IF(B1063&lt;&gt;"",IF(AND(B1063&gt;=_TM1,B1063&lt;=_TM2,OR(TH!L1063="1111",TH!M1063="1111")),TH!D1063,""),"")</f>
        <v>TP/X56</v>
      </c>
      <c r="B1063" s="36">
        <f t="shared" ref="B1063" si="421">IF(C1063&lt;&gt;"",MONTH(C1063),"")</f>
        <v>12</v>
      </c>
      <c r="C1063" s="191">
        <f t="shared" ref="C1063" si="422">E1063</f>
        <v>41624</v>
      </c>
      <c r="D1063" s="184" t="s">
        <v>1100</v>
      </c>
      <c r="E1063" s="191">
        <v>41624</v>
      </c>
      <c r="F1063" s="189" t="s">
        <v>341</v>
      </c>
      <c r="G1063" s="487" t="s">
        <v>1032</v>
      </c>
      <c r="H1063" s="210" t="s">
        <v>741</v>
      </c>
      <c r="I1063" s="257"/>
      <c r="J1063" s="257"/>
      <c r="K1063" s="38">
        <v>11896500</v>
      </c>
      <c r="L1063" s="194" t="s">
        <v>47</v>
      </c>
      <c r="M1063" s="194" t="s">
        <v>265</v>
      </c>
      <c r="N1063" s="52" t="str">
        <f>IF(AND('331-CT'!$E$7=TH!H1063,OR(L1063="331",M1063="331")),"331",IF(AND(OR(L1063="131",M1063="131"),H1063='131-CT'!$E$7),"131",""))</f>
        <v>131</v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50"/>
      <c r="AB1063" s="810"/>
      <c r="AC1063" s="594" t="str">
        <f t="shared" ref="AC1063" si="423">IF(VLOOKUP(H1063,DS_131,1,0)&lt;&gt;"","","x")</f>
        <v/>
      </c>
    </row>
    <row r="1064" spans="1:29" ht="15.75" customHeight="1">
      <c r="A1064" s="204" t="str">
        <f>IF(B1064&lt;&gt;"",IF(AND(B1064&gt;=_TM1,B1064&lt;=_TM2,OR(TH!L1064="1111",TH!M1064="1111")),TH!D1064,""),"")</f>
        <v/>
      </c>
      <c r="B1064" s="36">
        <f t="shared" si="406"/>
        <v>12</v>
      </c>
      <c r="C1064" s="191">
        <f t="shared" si="411"/>
        <v>41625</v>
      </c>
      <c r="D1064" s="184" t="s">
        <v>1101</v>
      </c>
      <c r="E1064" s="191">
        <v>41625</v>
      </c>
      <c r="F1064" s="192" t="s">
        <v>1150</v>
      </c>
      <c r="G1064" s="487" t="s">
        <v>1033</v>
      </c>
      <c r="H1064" s="210" t="s">
        <v>894</v>
      </c>
      <c r="I1064" s="257">
        <v>2700</v>
      </c>
      <c r="J1064" s="257">
        <v>4550</v>
      </c>
      <c r="K1064" s="38">
        <f>ROUND(I1064*J1064,0)</f>
        <v>12285000</v>
      </c>
      <c r="L1064" s="194" t="s">
        <v>265</v>
      </c>
      <c r="M1064" s="194" t="s">
        <v>175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50"/>
      <c r="AB1064" s="810"/>
      <c r="AC1064" s="594"/>
    </row>
    <row r="1065" spans="1:29" ht="15.75" customHeight="1">
      <c r="A1065" s="204" t="str">
        <f>IF(B1065&lt;&gt;"",IF(AND(B1065&gt;=_TM1,B1065&lt;=_TM2,OR(TH!L1065="1111",TH!M1065="1111")),TH!D1065,""),"")</f>
        <v/>
      </c>
      <c r="B1065" s="36">
        <f t="shared" si="406"/>
        <v>12</v>
      </c>
      <c r="C1065" s="191">
        <f t="shared" si="411"/>
        <v>41625</v>
      </c>
      <c r="D1065" s="184" t="s">
        <v>1101</v>
      </c>
      <c r="E1065" s="191">
        <v>41625</v>
      </c>
      <c r="F1065" s="192" t="s">
        <v>724</v>
      </c>
      <c r="G1065" s="192" t="s">
        <v>1033</v>
      </c>
      <c r="H1065" s="193" t="s">
        <v>894</v>
      </c>
      <c r="I1065" s="256"/>
      <c r="J1065" s="256"/>
      <c r="K1065" s="38">
        <v>1228500</v>
      </c>
      <c r="L1065" s="194" t="s">
        <v>265</v>
      </c>
      <c r="M1065" s="194" t="s">
        <v>429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50"/>
      <c r="AB1065" s="810"/>
      <c r="AC1065" s="594" t="str">
        <f t="shared" si="404"/>
        <v/>
      </c>
    </row>
    <row r="1066" spans="1:29" ht="15.75" customHeight="1">
      <c r="A1066" s="204" t="str">
        <f>IF(B1066&lt;&gt;"",IF(AND(B1066&gt;=_TM1,B1066&lt;=_TM2,OR(TH!L1066="1111",TH!M1066="1111")),TH!D1066,""),"")</f>
        <v/>
      </c>
      <c r="B1066" s="36">
        <f t="shared" si="406"/>
        <v>12</v>
      </c>
      <c r="C1066" s="191">
        <f t="shared" si="411"/>
        <v>41626</v>
      </c>
      <c r="D1066" s="184" t="s">
        <v>1102</v>
      </c>
      <c r="E1066" s="191">
        <v>41626</v>
      </c>
      <c r="F1066" s="192" t="s">
        <v>836</v>
      </c>
      <c r="G1066" s="192" t="s">
        <v>1034</v>
      </c>
      <c r="H1066" s="193" t="s">
        <v>741</v>
      </c>
      <c r="I1066" s="256">
        <v>505</v>
      </c>
      <c r="J1066" s="256">
        <v>10500</v>
      </c>
      <c r="K1066" s="38">
        <f>ROUND(I1066*J1066,0)</f>
        <v>5302500</v>
      </c>
      <c r="L1066" s="194" t="s">
        <v>265</v>
      </c>
      <c r="M1066" s="194" t="s">
        <v>175</v>
      </c>
      <c r="N1066" s="52" t="str">
        <f>IF(AND('331-CT'!$E$7=TH!H1066,OR(L1066="331",M1066="331")),"331",IF(AND(OR(L1066="131",M1066="131"),H1066='131-CT'!$E$7),"131",""))</f>
        <v>131</v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50"/>
      <c r="AB1066" s="810"/>
      <c r="AC1066" s="594"/>
    </row>
    <row r="1067" spans="1:29" ht="15.75" customHeight="1">
      <c r="A1067" s="204" t="str">
        <f>IF(B1067&lt;&gt;"",IF(AND(B1067&gt;=_TM1,B1067&lt;=_TM2,OR(TH!L1067="1111",TH!M1067="1111")),TH!D1067,""),"")</f>
        <v/>
      </c>
      <c r="B1067" s="36">
        <f t="shared" si="406"/>
        <v>12</v>
      </c>
      <c r="C1067" s="191">
        <f t="shared" si="411"/>
        <v>41626</v>
      </c>
      <c r="D1067" s="184" t="s">
        <v>1102</v>
      </c>
      <c r="E1067" s="191">
        <v>41626</v>
      </c>
      <c r="F1067" s="192" t="s">
        <v>724</v>
      </c>
      <c r="G1067" s="192" t="s">
        <v>1034</v>
      </c>
      <c r="H1067" s="193" t="s">
        <v>741</v>
      </c>
      <c r="I1067" s="256"/>
      <c r="J1067" s="256"/>
      <c r="K1067" s="38">
        <v>530250</v>
      </c>
      <c r="L1067" s="194" t="s">
        <v>265</v>
      </c>
      <c r="M1067" s="194" t="s">
        <v>429</v>
      </c>
      <c r="N1067" s="52" t="str">
        <f>IF(AND('331-CT'!$E$7=TH!H1067,OR(L1067="331",M1067="331")),"331",IF(AND(OR(L1067="131",M1067="131"),H1067='131-CT'!$E$7),"131",""))</f>
        <v>131</v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50"/>
      <c r="AB1067" s="810"/>
      <c r="AC1067" s="594" t="str">
        <f t="shared" si="404"/>
        <v/>
      </c>
    </row>
    <row r="1068" spans="1:29" ht="15.75" customHeight="1">
      <c r="A1068" s="204" t="str">
        <f>IF(B1068&lt;&gt;"",IF(AND(B1068&gt;=_TM1,B1068&lt;=_TM2,OR(TH!L1068="1111",TH!M1068="1111")),TH!D1068,""),"")</f>
        <v>TP/X58</v>
      </c>
      <c r="B1068" s="36">
        <f t="shared" ref="B1068" si="424">IF(C1068&lt;&gt;"",MONTH(C1068),"")</f>
        <v>12</v>
      </c>
      <c r="C1068" s="191">
        <f t="shared" ref="C1068" si="425">E1068</f>
        <v>41626</v>
      </c>
      <c r="D1068" s="184" t="s">
        <v>1102</v>
      </c>
      <c r="E1068" s="191">
        <v>41626</v>
      </c>
      <c r="F1068" s="189" t="s">
        <v>341</v>
      </c>
      <c r="G1068" s="192" t="s">
        <v>1034</v>
      </c>
      <c r="H1068" s="193" t="s">
        <v>741</v>
      </c>
      <c r="I1068" s="256"/>
      <c r="J1068" s="256"/>
      <c r="K1068" s="38">
        <v>5832750</v>
      </c>
      <c r="L1068" s="194" t="s">
        <v>47</v>
      </c>
      <c r="M1068" s="194" t="s">
        <v>265</v>
      </c>
      <c r="N1068" s="52" t="str">
        <f>IF(AND('331-CT'!$E$7=TH!H1068,OR(L1068="331",M1068="331")),"331",IF(AND(OR(L1068="131",M1068="131"),H1068='131-CT'!$E$7),"131",""))</f>
        <v>131</v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50"/>
      <c r="AB1068" s="810"/>
      <c r="AC1068" s="594" t="str">
        <f t="shared" ref="AC1068" si="426">IF(VLOOKUP(H1068,DS_131,1,0)&lt;&gt;"","","x")</f>
        <v/>
      </c>
    </row>
    <row r="1069" spans="1:29" ht="15.75" customHeight="1">
      <c r="A1069" s="204" t="str">
        <f>IF(B1069&lt;&gt;"",IF(AND(B1069&gt;=_TM1,B1069&lt;=_TM2,OR(TH!L1069="1111",TH!M1069="1111")),TH!D1069,""),"")</f>
        <v/>
      </c>
      <c r="B1069" s="36">
        <f t="shared" si="406"/>
        <v>12</v>
      </c>
      <c r="C1069" s="191">
        <f t="shared" si="411"/>
        <v>41628</v>
      </c>
      <c r="D1069" s="184" t="s">
        <v>1103</v>
      </c>
      <c r="E1069" s="191">
        <v>41628</v>
      </c>
      <c r="F1069" s="192" t="s">
        <v>1129</v>
      </c>
      <c r="G1069" s="192" t="s">
        <v>1035</v>
      </c>
      <c r="H1069" s="7" t="s">
        <v>541</v>
      </c>
      <c r="I1069" s="256">
        <v>259</v>
      </c>
      <c r="J1069" s="256">
        <v>6400</v>
      </c>
      <c r="K1069" s="38">
        <f t="shared" ref="K1069:K1076" si="427">ROUND(I1069*J1069,0)</f>
        <v>1657600</v>
      </c>
      <c r="L1069" s="194" t="s">
        <v>265</v>
      </c>
      <c r="M1069" s="194" t="s">
        <v>175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50"/>
      <c r="AB1069" s="810"/>
      <c r="AC1069" s="594"/>
    </row>
    <row r="1070" spans="1:29" ht="15.75" customHeight="1">
      <c r="A1070" s="204" t="str">
        <f>IF(B1070&lt;&gt;"",IF(AND(B1070&gt;=_TM1,B1070&lt;=_TM2,OR(TH!L1070="1111",TH!M1070="1111")),TH!D1070,""),"")</f>
        <v/>
      </c>
      <c r="B1070" s="36">
        <f t="shared" si="406"/>
        <v>12</v>
      </c>
      <c r="C1070" s="191">
        <f t="shared" si="411"/>
        <v>41628</v>
      </c>
      <c r="D1070" s="184" t="s">
        <v>1103</v>
      </c>
      <c r="E1070" s="191">
        <v>41628</v>
      </c>
      <c r="F1070" s="192" t="s">
        <v>1130</v>
      </c>
      <c r="G1070" s="192" t="s">
        <v>1035</v>
      </c>
      <c r="H1070" s="7" t="s">
        <v>541</v>
      </c>
      <c r="I1070" s="256">
        <v>103</v>
      </c>
      <c r="J1070" s="256">
        <v>13500</v>
      </c>
      <c r="K1070" s="38">
        <f t="shared" si="427"/>
        <v>1390500</v>
      </c>
      <c r="L1070" s="194" t="s">
        <v>265</v>
      </c>
      <c r="M1070" s="194" t="s">
        <v>175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50"/>
      <c r="AB1070" s="810"/>
      <c r="AC1070" s="594"/>
    </row>
    <row r="1071" spans="1:29" ht="15.75" customHeight="1">
      <c r="A1071" s="204" t="str">
        <f>IF(B1071&lt;&gt;"",IF(AND(B1071&gt;=_TM1,B1071&lt;=_TM2,OR(TH!L1071="1111",TH!M1071="1111")),TH!D1071,""),"")</f>
        <v/>
      </c>
      <c r="B1071" s="36">
        <f t="shared" si="406"/>
        <v>12</v>
      </c>
      <c r="C1071" s="191">
        <f t="shared" si="411"/>
        <v>41628</v>
      </c>
      <c r="D1071" s="184" t="s">
        <v>1103</v>
      </c>
      <c r="E1071" s="191">
        <v>41628</v>
      </c>
      <c r="F1071" s="192" t="s">
        <v>1131</v>
      </c>
      <c r="G1071" s="192" t="s">
        <v>1035</v>
      </c>
      <c r="H1071" s="7" t="s">
        <v>541</v>
      </c>
      <c r="I1071" s="256">
        <v>283</v>
      </c>
      <c r="J1071" s="256">
        <v>9400</v>
      </c>
      <c r="K1071" s="38">
        <f t="shared" si="427"/>
        <v>2660200</v>
      </c>
      <c r="L1071" s="194" t="s">
        <v>265</v>
      </c>
      <c r="M1071" s="194" t="s">
        <v>175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50"/>
      <c r="AB1071" s="810"/>
      <c r="AC1071" s="594"/>
    </row>
    <row r="1072" spans="1:29" ht="15.75" customHeight="1">
      <c r="A1072" s="204" t="str">
        <f>IF(B1072&lt;&gt;"",IF(AND(B1072&gt;=_TM1,B1072&lt;=_TM2,OR(TH!L1072="1111",TH!M1072="1111")),TH!D1072,""),"")</f>
        <v/>
      </c>
      <c r="B1072" s="36">
        <f t="shared" si="406"/>
        <v>12</v>
      </c>
      <c r="C1072" s="191">
        <f t="shared" si="411"/>
        <v>41628</v>
      </c>
      <c r="D1072" s="184" t="s">
        <v>1103</v>
      </c>
      <c r="E1072" s="191">
        <v>41628</v>
      </c>
      <c r="F1072" s="192" t="s">
        <v>1132</v>
      </c>
      <c r="G1072" s="192" t="s">
        <v>1035</v>
      </c>
      <c r="H1072" s="7" t="s">
        <v>541</v>
      </c>
      <c r="I1072" s="256">
        <v>203</v>
      </c>
      <c r="J1072" s="256">
        <v>12900</v>
      </c>
      <c r="K1072" s="38">
        <f t="shared" si="427"/>
        <v>2618700</v>
      </c>
      <c r="L1072" s="194" t="s">
        <v>265</v>
      </c>
      <c r="M1072" s="194" t="s">
        <v>175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50"/>
      <c r="AB1072" s="810"/>
      <c r="AC1072" s="594"/>
    </row>
    <row r="1073" spans="1:29" ht="15.75" customHeight="1">
      <c r="A1073" s="204" t="str">
        <f>IF(B1073&lt;&gt;"",IF(AND(B1073&gt;=_TM1,B1073&lt;=_TM2,OR(TH!L1073="1111",TH!M1073="1111")),TH!D1073,""),"")</f>
        <v/>
      </c>
      <c r="B1073" s="36">
        <f t="shared" si="406"/>
        <v>12</v>
      </c>
      <c r="C1073" s="191">
        <f t="shared" si="411"/>
        <v>41628</v>
      </c>
      <c r="D1073" s="184" t="s">
        <v>1103</v>
      </c>
      <c r="E1073" s="191">
        <v>41628</v>
      </c>
      <c r="F1073" s="192" t="s">
        <v>1133</v>
      </c>
      <c r="G1073" s="192" t="s">
        <v>1035</v>
      </c>
      <c r="H1073" s="7" t="s">
        <v>541</v>
      </c>
      <c r="I1073" s="256">
        <v>238</v>
      </c>
      <c r="J1073" s="256">
        <v>7000</v>
      </c>
      <c r="K1073" s="38">
        <f t="shared" si="427"/>
        <v>1666000</v>
      </c>
      <c r="L1073" s="194" t="s">
        <v>265</v>
      </c>
      <c r="M1073" s="194" t="s">
        <v>175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50"/>
      <c r="AC1073" s="594"/>
    </row>
    <row r="1074" spans="1:29" ht="15.75" customHeight="1">
      <c r="A1074" s="204" t="str">
        <f>IF(B1074&lt;&gt;"",IF(AND(B1074&gt;=_TM1,B1074&lt;=_TM2,OR(TH!L1074="1111",TH!M1074="1111")),TH!D1074,""),"")</f>
        <v/>
      </c>
      <c r="B1074" s="36">
        <f t="shared" si="406"/>
        <v>12</v>
      </c>
      <c r="C1074" s="191">
        <f t="shared" si="411"/>
        <v>41628</v>
      </c>
      <c r="D1074" s="184" t="s">
        <v>1103</v>
      </c>
      <c r="E1074" s="191">
        <v>41628</v>
      </c>
      <c r="F1074" s="192" t="s">
        <v>883</v>
      </c>
      <c r="G1074" s="192" t="s">
        <v>1035</v>
      </c>
      <c r="H1074" s="7" t="s">
        <v>541</v>
      </c>
      <c r="I1074" s="256">
        <v>441</v>
      </c>
      <c r="J1074" s="256">
        <v>8600</v>
      </c>
      <c r="K1074" s="38">
        <f t="shared" si="427"/>
        <v>3792600</v>
      </c>
      <c r="L1074" s="194" t="s">
        <v>265</v>
      </c>
      <c r="M1074" s="194" t="s">
        <v>175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50"/>
      <c r="AC1074" s="594"/>
    </row>
    <row r="1075" spans="1:29" ht="15.75" customHeight="1">
      <c r="A1075" s="204" t="str">
        <f>IF(B1075&lt;&gt;"",IF(AND(B1075&gt;=_TM1,B1075&lt;=_TM2,OR(TH!L1075="1111",TH!M1075="1111")),TH!D1075,""),"")</f>
        <v/>
      </c>
      <c r="B1075" s="36">
        <f t="shared" si="406"/>
        <v>12</v>
      </c>
      <c r="C1075" s="191">
        <f t="shared" si="411"/>
        <v>41628</v>
      </c>
      <c r="D1075" s="184" t="s">
        <v>1103</v>
      </c>
      <c r="E1075" s="191">
        <v>41628</v>
      </c>
      <c r="F1075" s="192" t="s">
        <v>1036</v>
      </c>
      <c r="G1075" s="192" t="s">
        <v>1035</v>
      </c>
      <c r="H1075" s="7" t="s">
        <v>541</v>
      </c>
      <c r="I1075" s="256">
        <v>104</v>
      </c>
      <c r="J1075" s="256">
        <v>8000</v>
      </c>
      <c r="K1075" s="38">
        <f t="shared" si="427"/>
        <v>832000</v>
      </c>
      <c r="L1075" s="194" t="s">
        <v>265</v>
      </c>
      <c r="M1075" s="194" t="s">
        <v>175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50"/>
      <c r="AC1075" s="594"/>
    </row>
    <row r="1076" spans="1:29" ht="15.75" customHeight="1">
      <c r="A1076" s="204" t="str">
        <f>IF(B1076&lt;&gt;"",IF(AND(B1076&gt;=_TM1,B1076&lt;=_TM2,OR(TH!L1076="1111",TH!M1076="1111")),TH!D1076,""),"")</f>
        <v/>
      </c>
      <c r="B1076" s="36">
        <f t="shared" si="406"/>
        <v>12</v>
      </c>
      <c r="C1076" s="191">
        <f t="shared" si="411"/>
        <v>41628</v>
      </c>
      <c r="D1076" s="184" t="s">
        <v>1103</v>
      </c>
      <c r="E1076" s="191">
        <v>41628</v>
      </c>
      <c r="F1076" s="192" t="s">
        <v>842</v>
      </c>
      <c r="G1076" s="192" t="s">
        <v>1035</v>
      </c>
      <c r="H1076" s="7" t="s">
        <v>541</v>
      </c>
      <c r="I1076" s="256">
        <v>102</v>
      </c>
      <c r="J1076" s="256">
        <v>10500</v>
      </c>
      <c r="K1076" s="38">
        <f t="shared" si="427"/>
        <v>1071000</v>
      </c>
      <c r="L1076" s="194" t="s">
        <v>265</v>
      </c>
      <c r="M1076" s="194" t="s">
        <v>175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50"/>
      <c r="AC1076" s="594"/>
    </row>
    <row r="1077" spans="1:29" ht="15.75" customHeight="1">
      <c r="A1077" s="204" t="str">
        <f>IF(B1077&lt;&gt;"",IF(AND(B1077&gt;=_TM1,B1077&lt;=_TM2,OR(TH!L1077="1111",TH!M1077="1111")),TH!D1077,""),"")</f>
        <v/>
      </c>
      <c r="B1077" s="36">
        <f t="shared" si="406"/>
        <v>12</v>
      </c>
      <c r="C1077" s="191">
        <f t="shared" si="411"/>
        <v>41628</v>
      </c>
      <c r="D1077" s="184" t="s">
        <v>1103</v>
      </c>
      <c r="E1077" s="191">
        <v>41628</v>
      </c>
      <c r="F1077" s="192" t="s">
        <v>724</v>
      </c>
      <c r="G1077" s="192" t="s">
        <v>1035</v>
      </c>
      <c r="H1077" s="7" t="s">
        <v>541</v>
      </c>
      <c r="I1077" s="256"/>
      <c r="J1077" s="256"/>
      <c r="K1077" s="38">
        <v>1568860</v>
      </c>
      <c r="L1077" s="194" t="s">
        <v>265</v>
      </c>
      <c r="M1077" s="194" t="s">
        <v>429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50"/>
      <c r="AC1077" s="594" t="str">
        <f t="shared" si="404"/>
        <v/>
      </c>
    </row>
    <row r="1078" spans="1:29" ht="15.75" customHeight="1">
      <c r="A1078" s="204" t="str">
        <f>IF(B1078&lt;&gt;"",IF(AND(B1078&gt;=_TM1,B1078&lt;=_TM2,OR(TH!L1078="1111",TH!M1078="1111")),TH!D1078,""),"")</f>
        <v/>
      </c>
      <c r="B1078" s="36">
        <f t="shared" si="406"/>
        <v>12</v>
      </c>
      <c r="C1078" s="191">
        <f t="shared" si="411"/>
        <v>41631</v>
      </c>
      <c r="D1078" s="184" t="s">
        <v>1104</v>
      </c>
      <c r="E1078" s="191">
        <v>41631</v>
      </c>
      <c r="F1078" s="192" t="s">
        <v>1154</v>
      </c>
      <c r="G1078" s="192" t="s">
        <v>1037</v>
      </c>
      <c r="H1078" s="7" t="s">
        <v>538</v>
      </c>
      <c r="I1078" s="256">
        <v>1520</v>
      </c>
      <c r="J1078" s="256">
        <v>4650</v>
      </c>
      <c r="K1078" s="38">
        <f>ROUND(I1078*J1078,0)</f>
        <v>7068000</v>
      </c>
      <c r="L1078" s="194" t="s">
        <v>265</v>
      </c>
      <c r="M1078" s="194" t="s">
        <v>175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50"/>
      <c r="AC1078" s="594"/>
    </row>
    <row r="1079" spans="1:29" ht="15.75" customHeight="1">
      <c r="A1079" s="204" t="str">
        <f>IF(B1079&lt;&gt;"",IF(AND(B1079&gt;=_TM1,B1079&lt;=_TM2,OR(TH!L1079="1111",TH!M1079="1111")),TH!D1079,""),"")</f>
        <v/>
      </c>
      <c r="B1079" s="36">
        <f t="shared" si="406"/>
        <v>12</v>
      </c>
      <c r="C1079" s="191">
        <f t="shared" si="411"/>
        <v>41631</v>
      </c>
      <c r="D1079" s="184" t="s">
        <v>1104</v>
      </c>
      <c r="E1079" s="191">
        <v>41631</v>
      </c>
      <c r="F1079" s="192" t="s">
        <v>724</v>
      </c>
      <c r="G1079" s="192" t="s">
        <v>1037</v>
      </c>
      <c r="H1079" s="7" t="s">
        <v>538</v>
      </c>
      <c r="I1079" s="256"/>
      <c r="J1079" s="256"/>
      <c r="K1079" s="38">
        <v>706800</v>
      </c>
      <c r="L1079" s="194" t="s">
        <v>265</v>
      </c>
      <c r="M1079" s="194" t="s">
        <v>429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50"/>
      <c r="AC1079" s="594" t="str">
        <f t="shared" si="404"/>
        <v/>
      </c>
    </row>
    <row r="1080" spans="1:29" ht="15.75" customHeight="1">
      <c r="A1080" s="204" t="str">
        <f>IF(B1080&lt;&gt;"",IF(AND(B1080&gt;=_TM1,B1080&lt;=_TM2,OR(TH!L1080="1111",TH!M1080="1111")),TH!D1080,""),"")</f>
        <v/>
      </c>
      <c r="B1080" s="36">
        <f t="shared" si="406"/>
        <v>12</v>
      </c>
      <c r="C1080" s="191">
        <f t="shared" si="411"/>
        <v>41633</v>
      </c>
      <c r="D1080" s="184" t="s">
        <v>1105</v>
      </c>
      <c r="E1080" s="191">
        <v>41633</v>
      </c>
      <c r="F1080" s="192" t="s">
        <v>729</v>
      </c>
      <c r="G1080" s="192" t="s">
        <v>1038</v>
      </c>
      <c r="H1080" s="193" t="s">
        <v>501</v>
      </c>
      <c r="I1080" s="256">
        <v>980</v>
      </c>
      <c r="J1080" s="256">
        <v>8740</v>
      </c>
      <c r="K1080" s="38">
        <f>ROUND(I1080*J1080,0)</f>
        <v>8565200</v>
      </c>
      <c r="L1080" s="194" t="s">
        <v>265</v>
      </c>
      <c r="M1080" s="194" t="s">
        <v>175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50"/>
      <c r="AC1080" s="594"/>
    </row>
    <row r="1081" spans="1:29" ht="15.75" customHeight="1">
      <c r="A1081" s="204" t="str">
        <f>IF(B1081&lt;&gt;"",IF(AND(B1081&gt;=_TM1,B1081&lt;=_TM2,OR(TH!L1081="1111",TH!M1081="1111")),TH!D1081,""),"")</f>
        <v/>
      </c>
      <c r="B1081" s="36">
        <f t="shared" si="406"/>
        <v>12</v>
      </c>
      <c r="C1081" s="191">
        <f t="shared" si="411"/>
        <v>41633</v>
      </c>
      <c r="D1081" s="184" t="s">
        <v>1105</v>
      </c>
      <c r="E1081" s="191">
        <v>41633</v>
      </c>
      <c r="F1081" s="192" t="s">
        <v>724</v>
      </c>
      <c r="G1081" s="192" t="s">
        <v>1038</v>
      </c>
      <c r="H1081" s="45" t="s">
        <v>501</v>
      </c>
      <c r="I1081" s="256"/>
      <c r="J1081" s="256"/>
      <c r="K1081" s="38">
        <v>856520</v>
      </c>
      <c r="L1081" s="194" t="s">
        <v>265</v>
      </c>
      <c r="M1081" s="194" t="s">
        <v>429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50"/>
      <c r="AC1081" s="594" t="str">
        <f t="shared" si="404"/>
        <v/>
      </c>
    </row>
    <row r="1082" spans="1:29" ht="15.75" customHeight="1">
      <c r="A1082" s="204" t="str">
        <f>IF(B1082&lt;&gt;"",IF(AND(B1082&gt;=_TM1,B1082&lt;=_TM2,OR(TH!L1082="1111",TH!M1082="1111")),TH!D1082,""),"")</f>
        <v/>
      </c>
      <c r="B1082" s="36">
        <f t="shared" si="406"/>
        <v>12</v>
      </c>
      <c r="C1082" s="191">
        <f t="shared" si="411"/>
        <v>41635</v>
      </c>
      <c r="D1082" s="184" t="s">
        <v>1106</v>
      </c>
      <c r="E1082" s="191">
        <v>41635</v>
      </c>
      <c r="F1082" s="192" t="s">
        <v>875</v>
      </c>
      <c r="G1082" s="192" t="s">
        <v>1039</v>
      </c>
      <c r="H1082" s="7" t="s">
        <v>877</v>
      </c>
      <c r="I1082" s="256">
        <v>60</v>
      </c>
      <c r="J1082" s="256">
        <v>38800</v>
      </c>
      <c r="K1082" s="38">
        <f t="shared" ref="K1082:K1084" si="428">ROUND(I1082*J1082,0)</f>
        <v>2328000</v>
      </c>
      <c r="L1082" s="194" t="s">
        <v>265</v>
      </c>
      <c r="M1082" s="194" t="s">
        <v>175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50"/>
      <c r="AC1082" s="594"/>
    </row>
    <row r="1083" spans="1:29" ht="15.75" customHeight="1">
      <c r="A1083" s="204" t="str">
        <f>IF(B1083&lt;&gt;"",IF(AND(B1083&gt;=_TM1,B1083&lt;=_TM2,OR(TH!L1083="1111",TH!M1083="1111")),TH!D1083,""),"")</f>
        <v/>
      </c>
      <c r="B1083" s="36">
        <f t="shared" si="406"/>
        <v>12</v>
      </c>
      <c r="C1083" s="191">
        <f t="shared" si="411"/>
        <v>41635</v>
      </c>
      <c r="D1083" s="184" t="s">
        <v>1106</v>
      </c>
      <c r="E1083" s="191">
        <v>41635</v>
      </c>
      <c r="F1083" s="192" t="s">
        <v>878</v>
      </c>
      <c r="G1083" s="487" t="s">
        <v>1039</v>
      </c>
      <c r="H1083" s="7" t="s">
        <v>877</v>
      </c>
      <c r="I1083" s="257">
        <v>10</v>
      </c>
      <c r="J1083" s="257">
        <v>45000</v>
      </c>
      <c r="K1083" s="38">
        <f t="shared" si="428"/>
        <v>450000</v>
      </c>
      <c r="L1083" s="194" t="s">
        <v>265</v>
      </c>
      <c r="M1083" s="194" t="s">
        <v>175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50"/>
      <c r="AC1083" s="594"/>
    </row>
    <row r="1084" spans="1:29" ht="15.75" customHeight="1">
      <c r="A1084" s="204" t="str">
        <f>IF(B1084&lt;&gt;"",IF(AND(B1084&gt;=_TM1,B1084&lt;=_TM2,OR(TH!L1084="1111",TH!M1084="1111")),TH!D1084,""),"")</f>
        <v/>
      </c>
      <c r="B1084" s="36">
        <f t="shared" si="406"/>
        <v>12</v>
      </c>
      <c r="C1084" s="191">
        <f t="shared" si="411"/>
        <v>41635</v>
      </c>
      <c r="D1084" s="184" t="s">
        <v>1106</v>
      </c>
      <c r="E1084" s="191">
        <v>41635</v>
      </c>
      <c r="F1084" s="192" t="s">
        <v>1018</v>
      </c>
      <c r="G1084" s="487" t="s">
        <v>1039</v>
      </c>
      <c r="H1084" s="7" t="s">
        <v>877</v>
      </c>
      <c r="I1084" s="257">
        <v>20</v>
      </c>
      <c r="J1084" s="257">
        <v>45300</v>
      </c>
      <c r="K1084" s="38">
        <f t="shared" si="428"/>
        <v>906000</v>
      </c>
      <c r="L1084" s="194" t="s">
        <v>265</v>
      </c>
      <c r="M1084" s="194" t="s">
        <v>175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50"/>
      <c r="AC1084" s="594"/>
    </row>
    <row r="1085" spans="1:29" ht="15.75" customHeight="1">
      <c r="A1085" s="204" t="str">
        <f>IF(B1085&lt;&gt;"",IF(AND(B1085&gt;=_TM1,B1085&lt;=_TM2,OR(TH!L1085="1111",TH!M1085="1111")),TH!D1085,""),"")</f>
        <v/>
      </c>
      <c r="B1085" s="36">
        <f t="shared" si="406"/>
        <v>12</v>
      </c>
      <c r="C1085" s="191">
        <f t="shared" si="411"/>
        <v>41635</v>
      </c>
      <c r="D1085" s="184" t="s">
        <v>1106</v>
      </c>
      <c r="E1085" s="191">
        <v>41635</v>
      </c>
      <c r="F1085" s="192" t="s">
        <v>724</v>
      </c>
      <c r="G1085" s="192" t="s">
        <v>1039</v>
      </c>
      <c r="H1085" s="7" t="s">
        <v>877</v>
      </c>
      <c r="I1085" s="256"/>
      <c r="J1085" s="256"/>
      <c r="K1085" s="38">
        <v>368400</v>
      </c>
      <c r="L1085" s="194" t="s">
        <v>265</v>
      </c>
      <c r="M1085" s="194" t="s">
        <v>429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50"/>
      <c r="AC1085" s="594" t="str">
        <f t="shared" si="404"/>
        <v/>
      </c>
    </row>
    <row r="1086" spans="1:29" ht="15.75" customHeight="1">
      <c r="A1086" s="204" t="str">
        <f>IF(B1086&lt;&gt;"",IF(AND(B1086&gt;=_TM1,B1086&lt;=_TM2,OR(TH!L1086="1111",TH!M1086="1111")),TH!D1086,""),"")</f>
        <v>TP/X62</v>
      </c>
      <c r="B1086" s="36">
        <f t="shared" ref="B1086" si="429">IF(C1086&lt;&gt;"",MONTH(C1086),"")</f>
        <v>12</v>
      </c>
      <c r="C1086" s="191">
        <f t="shared" ref="C1086" si="430">E1086</f>
        <v>41635</v>
      </c>
      <c r="D1086" s="184" t="s">
        <v>1106</v>
      </c>
      <c r="E1086" s="191">
        <v>41635</v>
      </c>
      <c r="F1086" s="189" t="s">
        <v>341</v>
      </c>
      <c r="G1086" s="192" t="s">
        <v>1039</v>
      </c>
      <c r="H1086" s="7" t="s">
        <v>877</v>
      </c>
      <c r="I1086" s="256"/>
      <c r="J1086" s="256"/>
      <c r="K1086" s="38">
        <v>4052400</v>
      </c>
      <c r="L1086" s="194" t="s">
        <v>47</v>
      </c>
      <c r="M1086" s="194" t="s">
        <v>265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50"/>
      <c r="AC1086" s="594" t="str">
        <f t="shared" ref="AC1086" si="431">IF(VLOOKUP(H1086,DS_131,1,0)&lt;&gt;"","","x")</f>
        <v/>
      </c>
    </row>
    <row r="1087" spans="1:29" ht="15.75" customHeight="1">
      <c r="A1087" s="204" t="str">
        <f>IF(B1087&lt;&gt;"",IF(AND(B1087&gt;=_TM1,B1087&lt;=_TM2,OR(TH!L1087="1111",TH!M1087="1111")),TH!D1087,""),"")</f>
        <v/>
      </c>
      <c r="B1087" s="36">
        <f t="shared" si="406"/>
        <v>12</v>
      </c>
      <c r="C1087" s="191">
        <f t="shared" si="411"/>
        <v>41635</v>
      </c>
      <c r="D1087" s="184" t="s">
        <v>1107</v>
      </c>
      <c r="E1087" s="191">
        <v>41635</v>
      </c>
      <c r="F1087" s="192" t="s">
        <v>1150</v>
      </c>
      <c r="G1087" s="192" t="s">
        <v>1040</v>
      </c>
      <c r="H1087" s="193" t="s">
        <v>894</v>
      </c>
      <c r="I1087" s="256">
        <v>2295</v>
      </c>
      <c r="J1087" s="256">
        <v>4550</v>
      </c>
      <c r="K1087" s="38">
        <f>ROUND(I1087*J1087,0)</f>
        <v>10442250</v>
      </c>
      <c r="L1087" s="194" t="s">
        <v>265</v>
      </c>
      <c r="M1087" s="194" t="s">
        <v>175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50"/>
      <c r="AC1087" s="594"/>
    </row>
    <row r="1088" spans="1:29" ht="15.75" customHeight="1">
      <c r="A1088" s="204" t="str">
        <f>IF(B1088&lt;&gt;"",IF(AND(B1088&gt;=_TM1,B1088&lt;=_TM2,OR(TH!L1088="1111",TH!M1088="1111")),TH!D1088,""),"")</f>
        <v/>
      </c>
      <c r="B1088" s="36">
        <f t="shared" si="406"/>
        <v>12</v>
      </c>
      <c r="C1088" s="191">
        <f t="shared" si="411"/>
        <v>41635</v>
      </c>
      <c r="D1088" s="184" t="s">
        <v>1107</v>
      </c>
      <c r="E1088" s="191">
        <v>41635</v>
      </c>
      <c r="F1088" s="192" t="s">
        <v>724</v>
      </c>
      <c r="G1088" s="192" t="s">
        <v>1040</v>
      </c>
      <c r="H1088" s="193" t="s">
        <v>894</v>
      </c>
      <c r="I1088" s="256"/>
      <c r="J1088" s="256"/>
      <c r="K1088" s="38">
        <v>1044225</v>
      </c>
      <c r="L1088" s="194" t="s">
        <v>265</v>
      </c>
      <c r="M1088" s="194" t="s">
        <v>429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50"/>
      <c r="AC1088" s="594" t="str">
        <f t="shared" si="404"/>
        <v/>
      </c>
    </row>
    <row r="1089" spans="1:29" ht="15.75" customHeight="1">
      <c r="A1089" s="204" t="str">
        <f>IF(B1089&lt;&gt;"",IF(AND(B1089&gt;=_TM1,B1089&lt;=_TM2,OR(TH!L1089="1111",TH!M1089="1111")),TH!D1089,""),"")</f>
        <v/>
      </c>
      <c r="B1089" s="36">
        <f t="shared" si="406"/>
        <v>12</v>
      </c>
      <c r="C1089" s="191">
        <f t="shared" si="411"/>
        <v>41636</v>
      </c>
      <c r="D1089" s="184" t="s">
        <v>1108</v>
      </c>
      <c r="E1089" s="191">
        <v>41636</v>
      </c>
      <c r="F1089" s="192" t="s">
        <v>1139</v>
      </c>
      <c r="G1089" s="192" t="s">
        <v>1041</v>
      </c>
      <c r="H1089" s="193" t="s">
        <v>788</v>
      </c>
      <c r="I1089" s="256">
        <v>112</v>
      </c>
      <c r="J1089" s="256">
        <v>15100</v>
      </c>
      <c r="K1089" s="38">
        <f>ROUND(I1089*J1089,0)</f>
        <v>1691200</v>
      </c>
      <c r="L1089" s="194" t="s">
        <v>265</v>
      </c>
      <c r="M1089" s="194" t="s">
        <v>175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50"/>
      <c r="AC1089" s="594"/>
    </row>
    <row r="1090" spans="1:29" ht="15.75" customHeight="1">
      <c r="A1090" s="204" t="str">
        <f>IF(B1090&lt;&gt;"",IF(AND(B1090&gt;=_TM1,B1090&lt;=_TM2,OR(TH!L1090="1111",TH!M1090="1111")),TH!D1090,""),"")</f>
        <v/>
      </c>
      <c r="B1090" s="36">
        <f t="shared" si="406"/>
        <v>12</v>
      </c>
      <c r="C1090" s="191">
        <f t="shared" si="411"/>
        <v>41636</v>
      </c>
      <c r="D1090" s="184" t="s">
        <v>1108</v>
      </c>
      <c r="E1090" s="191">
        <v>41636</v>
      </c>
      <c r="F1090" s="192" t="s">
        <v>724</v>
      </c>
      <c r="G1090" s="192" t="s">
        <v>1041</v>
      </c>
      <c r="H1090" s="193" t="s">
        <v>788</v>
      </c>
      <c r="I1090" s="256"/>
      <c r="J1090" s="256"/>
      <c r="K1090" s="38">
        <v>169120</v>
      </c>
      <c r="L1090" s="194" t="s">
        <v>265</v>
      </c>
      <c r="M1090" s="194" t="s">
        <v>429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50"/>
      <c r="AC1090" s="594" t="str">
        <f t="shared" si="404"/>
        <v/>
      </c>
    </row>
    <row r="1091" spans="1:29" ht="15.75" customHeight="1">
      <c r="A1091" s="204" t="str">
        <f>IF(B1091&lt;&gt;"",IF(AND(B1091&gt;=_TM1,B1091&lt;=_TM2,OR(TH!L1091="1111",TH!M1091="1111")),TH!D1091,""),"")</f>
        <v/>
      </c>
      <c r="B1091" s="36">
        <f t="shared" si="406"/>
        <v>9</v>
      </c>
      <c r="C1091" s="191">
        <f t="shared" si="411"/>
        <v>41547</v>
      </c>
      <c r="D1091" s="184" t="s">
        <v>343</v>
      </c>
      <c r="E1091" s="184">
        <v>41547</v>
      </c>
      <c r="F1091" s="189" t="s">
        <v>1042</v>
      </c>
      <c r="G1091" s="604"/>
      <c r="H1091" s="193" t="s">
        <v>1043</v>
      </c>
      <c r="I1091" s="256"/>
      <c r="J1091" s="256"/>
      <c r="K1091" s="602">
        <v>17002098</v>
      </c>
      <c r="L1091" s="603" t="s">
        <v>9</v>
      </c>
      <c r="M1091" s="603" t="s">
        <v>17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850"/>
      <c r="AB1091" s="594">
        <v>9</v>
      </c>
    </row>
    <row r="1092" spans="1:29" ht="15.75" customHeight="1">
      <c r="A1092" s="204" t="str">
        <f>IF(B1092&lt;&gt;"",IF(AND(B1092&gt;=_TM1,B1092&lt;=_TM2,OR(TH!L1092="1111",TH!M1092="1111")),TH!D1092,""),"")</f>
        <v/>
      </c>
      <c r="B1092" s="36">
        <f t="shared" si="406"/>
        <v>12</v>
      </c>
      <c r="C1092" s="191">
        <f t="shared" si="411"/>
        <v>41639</v>
      </c>
      <c r="D1092" s="184" t="s">
        <v>343</v>
      </c>
      <c r="E1092" s="191">
        <v>41639</v>
      </c>
      <c r="F1092" s="189" t="s">
        <v>1044</v>
      </c>
      <c r="G1092" s="604"/>
      <c r="H1092" s="193" t="s">
        <v>1043</v>
      </c>
      <c r="I1092" s="256"/>
      <c r="J1092" s="256"/>
      <c r="K1092" s="602">
        <v>19239684</v>
      </c>
      <c r="L1092" s="603" t="s">
        <v>9</v>
      </c>
      <c r="M1092" s="603" t="s">
        <v>17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50"/>
      <c r="AB1092" s="594">
        <v>12</v>
      </c>
    </row>
    <row r="1093" spans="1:29" s="808" customFormat="1" ht="15.75" customHeight="1">
      <c r="A1093" s="204" t="str">
        <f>IF(B1093&lt;&gt;"",IF(AND(B1093&gt;=_TM1,B1093&lt;=_TM2,OR(TH!L1093="1111",TH!M1093="1111")),TH!D1093,""),"")</f>
        <v/>
      </c>
      <c r="B1093" s="700">
        <f t="shared" si="406"/>
        <v>1</v>
      </c>
      <c r="C1093" s="833">
        <f t="shared" si="411"/>
        <v>41276</v>
      </c>
      <c r="D1093" s="833" t="s">
        <v>1283</v>
      </c>
      <c r="E1093" s="894">
        <v>41276</v>
      </c>
      <c r="F1093" s="895" t="s">
        <v>373</v>
      </c>
      <c r="G1093" s="834"/>
      <c r="H1093" s="837" t="s">
        <v>1284</v>
      </c>
      <c r="I1093" s="254">
        <v>25</v>
      </c>
      <c r="J1093" s="254">
        <v>25000</v>
      </c>
      <c r="K1093" s="701">
        <f>ROUND(I1093*J1093,0)</f>
        <v>625000</v>
      </c>
      <c r="L1093" s="52" t="s">
        <v>165</v>
      </c>
      <c r="M1093" s="52" t="s">
        <v>161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52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>x</v>
      </c>
      <c r="Z1093" s="52" t="str">
        <f>IF(AND(B1093&lt;=NKC!$N$8,B1093&gt;=NKC!$M$8),"x","")</f>
        <v/>
      </c>
      <c r="AA1093" s="850"/>
    </row>
    <row r="1094" spans="1:29" s="808" customFormat="1" ht="15.75" customHeight="1">
      <c r="A1094" s="204" t="str">
        <f>IF(B1094&lt;&gt;"",IF(AND(B1094&gt;=_TM1,B1094&lt;=_TM2,OR(TH!L1094="1111",TH!M1094="1111")),TH!D1094,""),"")</f>
        <v/>
      </c>
      <c r="B1094" s="700">
        <f t="shared" si="406"/>
        <v>1</v>
      </c>
      <c r="C1094" s="833">
        <f t="shared" si="411"/>
        <v>41276</v>
      </c>
      <c r="D1094" s="833" t="s">
        <v>1283</v>
      </c>
      <c r="E1094" s="894">
        <v>41276</v>
      </c>
      <c r="F1094" s="895" t="s">
        <v>346</v>
      </c>
      <c r="G1094" s="834"/>
      <c r="H1094" s="837" t="s">
        <v>1284</v>
      </c>
      <c r="I1094" s="254">
        <v>24</v>
      </c>
      <c r="J1094" s="254">
        <v>42000</v>
      </c>
      <c r="K1094" s="701">
        <f t="shared" ref="K1094:K1101" si="432">ROUND(I1094*J1094,0)</f>
        <v>1008000</v>
      </c>
      <c r="L1094" s="52" t="s">
        <v>165</v>
      </c>
      <c r="M1094" s="52" t="s">
        <v>161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52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50"/>
    </row>
    <row r="1095" spans="1:29" s="808" customFormat="1" ht="15.75" customHeight="1">
      <c r="A1095" s="204" t="str">
        <f>IF(B1095&lt;&gt;"",IF(AND(B1095&gt;=_TM1,B1095&lt;=_TM2,OR(TH!L1095="1111",TH!M1095="1111")),TH!D1095,""),"")</f>
        <v/>
      </c>
      <c r="B1095" s="700">
        <f t="shared" si="406"/>
        <v>4</v>
      </c>
      <c r="C1095" s="833">
        <f t="shared" si="411"/>
        <v>41365</v>
      </c>
      <c r="D1095" s="833" t="s">
        <v>1283</v>
      </c>
      <c r="E1095" s="833">
        <v>41365</v>
      </c>
      <c r="F1095" s="895" t="s">
        <v>373</v>
      </c>
      <c r="G1095" s="834"/>
      <c r="H1095" s="837" t="s">
        <v>1284</v>
      </c>
      <c r="I1095" s="254">
        <v>25</v>
      </c>
      <c r="J1095" s="254">
        <v>25000</v>
      </c>
      <c r="K1095" s="701">
        <f t="shared" si="432"/>
        <v>625000</v>
      </c>
      <c r="L1095" s="52" t="s">
        <v>165</v>
      </c>
      <c r="M1095" s="52" t="s">
        <v>161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52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>154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>x</v>
      </c>
      <c r="Z1095" s="52" t="str">
        <f>IF(AND(B1095&lt;=NKC!$N$8,B1095&gt;=NKC!$M$8),"x","")</f>
        <v/>
      </c>
      <c r="AA1095" s="850"/>
    </row>
    <row r="1096" spans="1:29" s="808" customFormat="1" ht="15.75" customHeight="1">
      <c r="A1096" s="204" t="str">
        <f>IF(B1096&lt;&gt;"",IF(AND(B1096&gt;=_TM1,B1096&lt;=_TM2,OR(TH!L1096="1111",TH!M1096="1111")),TH!D1096,""),"")</f>
        <v/>
      </c>
      <c r="B1096" s="700">
        <f t="shared" si="406"/>
        <v>4</v>
      </c>
      <c r="C1096" s="833">
        <f t="shared" si="411"/>
        <v>41365</v>
      </c>
      <c r="D1096" s="833" t="s">
        <v>1283</v>
      </c>
      <c r="E1096" s="833">
        <v>41365</v>
      </c>
      <c r="F1096" s="895" t="s">
        <v>346</v>
      </c>
      <c r="G1096" s="834"/>
      <c r="H1096" s="837" t="s">
        <v>1284</v>
      </c>
      <c r="I1096" s="254">
        <v>24</v>
      </c>
      <c r="J1096" s="254">
        <v>44000</v>
      </c>
      <c r="K1096" s="701">
        <f t="shared" si="432"/>
        <v>1056000</v>
      </c>
      <c r="L1096" s="52" t="s">
        <v>165</v>
      </c>
      <c r="M1096" s="52" t="s">
        <v>161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52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>154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50"/>
    </row>
    <row r="1097" spans="1:29" s="808" customFormat="1" ht="15.75" customHeight="1">
      <c r="A1097" s="204" t="str">
        <f>IF(B1097&lt;&gt;"",IF(AND(B1097&gt;=_TM1,B1097&lt;=_TM2,OR(TH!L1097="1111",TH!M1097="1111")),TH!D1097,""),"")</f>
        <v/>
      </c>
      <c r="B1097" s="700">
        <f t="shared" si="406"/>
        <v>7</v>
      </c>
      <c r="C1097" s="833">
        <f t="shared" si="411"/>
        <v>41456</v>
      </c>
      <c r="D1097" s="833" t="s">
        <v>1283</v>
      </c>
      <c r="E1097" s="833">
        <v>41456</v>
      </c>
      <c r="F1097" s="895" t="s">
        <v>373</v>
      </c>
      <c r="G1097" s="834"/>
      <c r="H1097" s="837" t="s">
        <v>1284</v>
      </c>
      <c r="I1097" s="254">
        <v>25</v>
      </c>
      <c r="J1097" s="254">
        <v>25000</v>
      </c>
      <c r="K1097" s="701">
        <f t="shared" si="432"/>
        <v>625000</v>
      </c>
      <c r="L1097" s="52" t="s">
        <v>165</v>
      </c>
      <c r="M1097" s="52" t="s">
        <v>161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52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>x</v>
      </c>
      <c r="Z1097" s="52" t="str">
        <f>IF(AND(B1097&lt;=NKC!$N$8,B1097&gt;=NKC!$M$8),"x","")</f>
        <v>x</v>
      </c>
      <c r="AA1097" s="850"/>
    </row>
    <row r="1098" spans="1:29" s="808" customFormat="1" ht="15.75" customHeight="1">
      <c r="A1098" s="204" t="str">
        <f>IF(B1098&lt;&gt;"",IF(AND(B1098&gt;=_TM1,B1098&lt;=_TM2,OR(TH!L1098="1111",TH!M1098="1111")),TH!D1098,""),"")</f>
        <v/>
      </c>
      <c r="B1098" s="700">
        <f t="shared" si="406"/>
        <v>7</v>
      </c>
      <c r="C1098" s="833">
        <f t="shared" si="411"/>
        <v>41456</v>
      </c>
      <c r="D1098" s="833" t="s">
        <v>1283</v>
      </c>
      <c r="E1098" s="833">
        <v>41456</v>
      </c>
      <c r="F1098" s="895" t="s">
        <v>346</v>
      </c>
      <c r="G1098" s="834"/>
      <c r="H1098" s="837" t="s">
        <v>1284</v>
      </c>
      <c r="I1098" s="254">
        <v>24</v>
      </c>
      <c r="J1098" s="254">
        <v>44000</v>
      </c>
      <c r="K1098" s="701">
        <f t="shared" si="432"/>
        <v>1056000</v>
      </c>
      <c r="L1098" s="52" t="s">
        <v>165</v>
      </c>
      <c r="M1098" s="52" t="s">
        <v>161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52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  <c r="AA1098" s="850"/>
    </row>
    <row r="1099" spans="1:29" s="808" customFormat="1" ht="15.75" customHeight="1">
      <c r="A1099" s="204" t="str">
        <f>IF(B1099&lt;&gt;"",IF(AND(B1099&gt;=_TM1,B1099&lt;=_TM2,OR(TH!L1099="1111",TH!M1099="1111")),TH!D1099,""),"")</f>
        <v/>
      </c>
      <c r="B1099" s="700">
        <f t="shared" si="406"/>
        <v>10</v>
      </c>
      <c r="C1099" s="833">
        <f t="shared" si="411"/>
        <v>41548</v>
      </c>
      <c r="D1099" s="833" t="s">
        <v>1283</v>
      </c>
      <c r="E1099" s="833">
        <v>41548</v>
      </c>
      <c r="F1099" s="895" t="s">
        <v>373</v>
      </c>
      <c r="G1099" s="834"/>
      <c r="H1099" s="837" t="s">
        <v>1284</v>
      </c>
      <c r="I1099" s="254">
        <v>25</v>
      </c>
      <c r="J1099" s="254">
        <v>25000</v>
      </c>
      <c r="K1099" s="701">
        <f t="shared" si="432"/>
        <v>625000</v>
      </c>
      <c r="L1099" s="52" t="s">
        <v>165</v>
      </c>
      <c r="M1099" s="52" t="s">
        <v>161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52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>x</v>
      </c>
      <c r="Z1099" s="52" t="str">
        <f>IF(AND(B1099&lt;=NKC!$N$8,B1099&gt;=NKC!$M$8),"x","")</f>
        <v/>
      </c>
      <c r="AA1099" s="850"/>
    </row>
    <row r="1100" spans="1:29" s="808" customFormat="1" ht="15.75" customHeight="1">
      <c r="A1100" s="204" t="str">
        <f>IF(B1100&lt;&gt;"",IF(AND(B1100&gt;=_TM1,B1100&lt;=_TM2,OR(TH!L1100="1111",TH!M1100="1111")),TH!D1100,""),"")</f>
        <v/>
      </c>
      <c r="B1100" s="700">
        <f t="shared" si="406"/>
        <v>10</v>
      </c>
      <c r="C1100" s="833">
        <f t="shared" si="411"/>
        <v>41548</v>
      </c>
      <c r="D1100" s="833" t="s">
        <v>1283</v>
      </c>
      <c r="E1100" s="833">
        <v>41548</v>
      </c>
      <c r="F1100" s="895" t="s">
        <v>346</v>
      </c>
      <c r="G1100" s="834"/>
      <c r="H1100" s="837" t="s">
        <v>1284</v>
      </c>
      <c r="I1100" s="254">
        <v>24</v>
      </c>
      <c r="J1100" s="254">
        <v>44000</v>
      </c>
      <c r="K1100" s="701">
        <f t="shared" si="432"/>
        <v>1056000</v>
      </c>
      <c r="L1100" s="52" t="s">
        <v>165</v>
      </c>
      <c r="M1100" s="52" t="s">
        <v>161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52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50"/>
    </row>
    <row r="1101" spans="1:29" s="840" customFormat="1" ht="15.75" customHeight="1">
      <c r="A1101" s="902" t="str">
        <f>IF(B1101&lt;&gt;"",IF(AND(B1101&gt;=_TM1,B1101&lt;=_TM2,OR(TH!L1101="1111",TH!M1101="1111")),TH!D1101,""),"")</f>
        <v/>
      </c>
      <c r="B1101" s="838">
        <f t="shared" ref="B1101:B1127" si="433">IF(C1101&lt;&gt;"",MONTH(C1101),"")</f>
        <v>1</v>
      </c>
      <c r="C1101" s="903">
        <f>E1101</f>
        <v>41275</v>
      </c>
      <c r="D1101" s="903" t="s">
        <v>1292</v>
      </c>
      <c r="E1101" s="904">
        <v>41275</v>
      </c>
      <c r="F1101" s="905" t="s">
        <v>1185</v>
      </c>
      <c r="G1101" s="905" t="s">
        <v>722</v>
      </c>
      <c r="H1101" s="906" t="s">
        <v>1284</v>
      </c>
      <c r="I1101" s="907">
        <v>250</v>
      </c>
      <c r="J1101" s="908">
        <v>13507</v>
      </c>
      <c r="K1101" s="835">
        <f t="shared" si="432"/>
        <v>3376750</v>
      </c>
      <c r="L1101" s="828" t="s">
        <v>165</v>
      </c>
      <c r="M1101" s="909" t="s">
        <v>159</v>
      </c>
      <c r="N1101" s="828" t="str">
        <f>IF(AND('331-CT'!$E$7=TH!H1101,OR(L1101="331",M1101="331")),"331",IF(AND(OR(L1101="131",M1101="131"),H1101='131-CT'!$E$7),"131",""))</f>
        <v/>
      </c>
      <c r="O1101" s="828" t="str">
        <f>IF(AND($B1101&gt;='111'!$N$11,$B1101&lt;='111'!$O$11,OR($L1101=$O$7,$M1101=$O$7)),"x","")</f>
        <v/>
      </c>
      <c r="P1101" s="828" t="str">
        <f>IF(AND($L1101=$O$7,$B1101&lt;'111'!$N$11),"x","")</f>
        <v/>
      </c>
      <c r="Q1101" s="828" t="str">
        <f>IF(AND($M1101=$O$7,$B1101&lt;'111'!$N$11),"x","")</f>
        <v/>
      </c>
      <c r="R1101" s="828" t="str">
        <f>IF(ISERROR(FIND('112'!$M$9,G1101,1)),"",IF((AND(FIND('112'!$M$9,G1101,1)&gt;=1,$B1101&gt;='112'!$N$8,$B1101&lt;='112'!$O$8,OR($L1101='112'!$I$6,$M1101='112'!$I$6))),"x",""))</f>
        <v/>
      </c>
      <c r="S1101" s="828" t="str">
        <f>IF(ISERROR(FIND('112'!$M$9,G1101,1)),"",IF((AND(LEFT(G1101,2)=LEFT('112'!$M$9,2),B1101&lt;'112'!$N$8,$L1101='112'!$I$6)),"x",""))</f>
        <v/>
      </c>
      <c r="T1101" s="828" t="str">
        <f>IF(ISERROR(FIND('112'!$M$9,G1101,1)),"",IF((AND(RIGHT(G1101,2)=RIGHT('112'!$M$9,2),B1101&lt;'112'!$N$8,$M1101='112'!$I$6)),"x",""))</f>
        <v/>
      </c>
      <c r="U1101" s="828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828" t="str">
        <f>IF(OR(TH!L1101=TH!$V$7,M1101=TH!$V$7),"x","")</f>
        <v/>
      </c>
      <c r="W1101" s="828" t="str">
        <f>IF(AND(B1101&gt;='IN-NX'!$P$3,B1101&lt;='IN-NX'!$Q$3,'IN-NX'!$D$7=D1101,OR(LEFT(L1101,2)="15",AND(LEFT(M1101,2)&lt;&gt;"15",LEFT(M1101,2)&lt;&gt;"33"))),"x","")</f>
        <v/>
      </c>
      <c r="X1101" s="828" t="str">
        <f>IF(AND(OR(LEFT(TH!L1101,2)="15",LEFT(TH!M1101,2)="15"),'152-CT'!$J$8=TH!F1101),"x","")</f>
        <v/>
      </c>
      <c r="Y1101" s="828" t="str">
        <f>IF(AND(OR(LEFT(TH!L1101,2)="15",LEFT(TH!M1101,2)="15"),TK!$E$7=TH!F1101),"x","")</f>
        <v/>
      </c>
      <c r="Z1101" s="828" t="str">
        <f>IF(AND(B1101&lt;=NKC!$N$8,B1101&gt;=NKC!$M$8),"x","")</f>
        <v/>
      </c>
      <c r="AA1101" s="910"/>
    </row>
    <row r="1102" spans="1:29" s="211" customFormat="1" ht="15.75" customHeight="1">
      <c r="A1102" s="204" t="str">
        <f>IF(B1102&lt;&gt;"",IF(AND(B1102&gt;=_TM1,B1102&lt;=_TM2,OR(TH!L1102="1111",TH!M1102="1111")),TH!D1102,""),"")</f>
        <v/>
      </c>
      <c r="B1102" s="36">
        <f t="shared" si="433"/>
        <v>1</v>
      </c>
      <c r="C1102" s="191">
        <f t="shared" ref="C1102:C1165" si="434">E1102</f>
        <v>41275</v>
      </c>
      <c r="D1102" s="191" t="s">
        <v>1292</v>
      </c>
      <c r="E1102" s="37">
        <v>41275</v>
      </c>
      <c r="F1102" s="297" t="s">
        <v>1185</v>
      </c>
      <c r="G1102" s="40" t="s">
        <v>722</v>
      </c>
      <c r="H1102" s="7" t="s">
        <v>1284</v>
      </c>
      <c r="I1102" s="305">
        <v>80</v>
      </c>
      <c r="J1102" s="753">
        <v>13507</v>
      </c>
      <c r="K1102" s="602">
        <f t="shared" ref="K1102:K1165" si="435">ROUND(I1102*J1102,0)</f>
        <v>1080560</v>
      </c>
      <c r="L1102" s="39" t="s">
        <v>165</v>
      </c>
      <c r="M1102" s="603" t="s">
        <v>159</v>
      </c>
      <c r="N1102" s="39" t="str">
        <f>IF(AND('331-CT'!$E$7=TH!H1102,OR(L1102="331",M1102="331")),"331",IF(AND(OR(L1102="131",M1102="131"),H1102='131-CT'!$E$7),"131",""))</f>
        <v/>
      </c>
      <c r="O1102" s="39" t="str">
        <f>IF(AND($B1102&gt;='111'!$N$11,$B1102&lt;='111'!$O$11,OR($L1102=$O$7,$M1102=$O$7)),"x","")</f>
        <v/>
      </c>
      <c r="P1102" s="39" t="str">
        <f>IF(AND($L1102=$O$7,$B1102&lt;'111'!$N$11),"x","")</f>
        <v/>
      </c>
      <c r="Q1102" s="39" t="str">
        <f>IF(AND($M1102=$O$7,$B1102&lt;'111'!$N$11),"x","")</f>
        <v/>
      </c>
      <c r="R1102" s="39" t="str">
        <f>IF(ISERROR(FIND('112'!$M$9,G1102,1)),"",IF((AND(FIND('112'!$M$9,G1102,1)&gt;=1,$B1102&gt;='112'!$N$8,$B1102&lt;='112'!$O$8,OR($L1102='112'!$I$6,$M1102='112'!$I$6))),"x",""))</f>
        <v/>
      </c>
      <c r="S1102" s="39" t="str">
        <f>IF(ISERROR(FIND('112'!$M$9,G1102,1)),"",IF((AND(LEFT(G1102,2)=LEFT('112'!$M$9,2),B1102&lt;'112'!$N$8,$L1102='112'!$I$6)),"x",""))</f>
        <v/>
      </c>
      <c r="T1102" s="39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39" t="str">
        <f>IF(OR(TH!L1102=TH!$V$7,M1102=TH!$V$7),"x","")</f>
        <v/>
      </c>
      <c r="W1102" s="39" t="str">
        <f>IF(AND(B1102&gt;='IN-NX'!$P$3,B1102&lt;='IN-NX'!$Q$3,'IN-NX'!$D$7=D1102,OR(LEFT(L1102,2)="15",AND(LEFT(M1102,2)&lt;&gt;"15",LEFT(M1102,2)&lt;&gt;"33"))),"x","")</f>
        <v/>
      </c>
      <c r="X1102" s="39" t="str">
        <f>IF(AND(OR(LEFT(TH!L1102,2)="15",LEFT(TH!M1102,2)="15"),'152-CT'!$J$8=TH!F1102),"x","")</f>
        <v/>
      </c>
      <c r="Y1102" s="39" t="str">
        <f>IF(AND(OR(LEFT(TH!L1102,2)="15",LEFT(TH!M1102,2)="15"),TK!$E$7=TH!F1102),"x","")</f>
        <v/>
      </c>
      <c r="Z1102" s="39" t="str">
        <f>IF(AND(B1102&lt;=NKC!$N$8,B1102&gt;=NKC!$M$8),"x","")</f>
        <v/>
      </c>
      <c r="AA1102" s="883"/>
    </row>
    <row r="1103" spans="1:29" s="211" customFormat="1" ht="15.75" customHeight="1">
      <c r="A1103" s="204" t="str">
        <f>IF(B1103&lt;&gt;"",IF(AND(B1103&gt;=_TM1,B1103&lt;=_TM2,OR(TH!L1103="1111",TH!M1103="1111")),TH!D1103,""),"")</f>
        <v/>
      </c>
      <c r="B1103" s="36">
        <f t="shared" si="433"/>
        <v>1</v>
      </c>
      <c r="C1103" s="191">
        <f t="shared" si="434"/>
        <v>41279</v>
      </c>
      <c r="D1103" s="191" t="s">
        <v>1292</v>
      </c>
      <c r="E1103" s="37">
        <v>41279</v>
      </c>
      <c r="F1103" s="189" t="s">
        <v>1186</v>
      </c>
      <c r="G1103" s="40" t="s">
        <v>726</v>
      </c>
      <c r="H1103" s="7" t="s">
        <v>1284</v>
      </c>
      <c r="I1103" s="305">
        <v>510</v>
      </c>
      <c r="J1103" s="803">
        <v>8505</v>
      </c>
      <c r="K1103" s="602">
        <f t="shared" si="435"/>
        <v>4337550</v>
      </c>
      <c r="L1103" s="39" t="s">
        <v>165</v>
      </c>
      <c r="M1103" s="603" t="s">
        <v>159</v>
      </c>
      <c r="N1103" s="39" t="str">
        <f>IF(AND('331-CT'!$E$7=TH!H1103,OR(L1103="331",M1103="331")),"331",IF(AND(OR(L1103="131",M1103="131"),H1103='131-CT'!$E$7),"131",""))</f>
        <v/>
      </c>
      <c r="O1103" s="39" t="str">
        <f>IF(AND($B1103&gt;='111'!$N$11,$B1103&lt;='111'!$O$11,OR($L1103=$O$7,$M1103=$O$7)),"x","")</f>
        <v/>
      </c>
      <c r="P1103" s="39" t="str">
        <f>IF(AND($L1103=$O$7,$B1103&lt;'111'!$N$11),"x","")</f>
        <v/>
      </c>
      <c r="Q1103" s="39" t="str">
        <f>IF(AND($M1103=$O$7,$B1103&lt;'111'!$N$11),"x","")</f>
        <v/>
      </c>
      <c r="R1103" s="39" t="str">
        <f>IF(ISERROR(FIND('112'!$M$9,G1103,1)),"",IF((AND(FIND('112'!$M$9,G1103,1)&gt;=1,$B1103&gt;='112'!$N$8,$B1103&lt;='112'!$O$8,OR($L1103='112'!$I$6,$M1103='112'!$I$6))),"x",""))</f>
        <v/>
      </c>
      <c r="S1103" s="39" t="str">
        <f>IF(ISERROR(FIND('112'!$M$9,G1103,1)),"",IF((AND(LEFT(G1103,2)=LEFT('112'!$M$9,2),B1103&lt;'112'!$N$8,$L1103='112'!$I$6)),"x",""))</f>
        <v/>
      </c>
      <c r="T1103" s="39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39" t="str">
        <f>IF(OR(TH!L1103=TH!$V$7,M1103=TH!$V$7),"x","")</f>
        <v/>
      </c>
      <c r="W1103" s="39" t="str">
        <f>IF(AND(B1103&gt;='IN-NX'!$P$3,B1103&lt;='IN-NX'!$Q$3,'IN-NX'!$D$7=D1103,OR(LEFT(L1103,2)="15",AND(LEFT(M1103,2)&lt;&gt;"15",LEFT(M1103,2)&lt;&gt;"33"))),"x","")</f>
        <v/>
      </c>
      <c r="X1103" s="39" t="str">
        <f>IF(AND(OR(LEFT(TH!L1103,2)="15",LEFT(TH!M1103,2)="15"),'152-CT'!$J$8=TH!F1103),"x","")</f>
        <v/>
      </c>
      <c r="Y1103" s="39" t="str">
        <f>IF(AND(OR(LEFT(TH!L1103,2)="15",LEFT(TH!M1103,2)="15"),TK!$E$7=TH!F1103),"x","")</f>
        <v/>
      </c>
      <c r="Z1103" s="39" t="str">
        <f>IF(AND(B1103&lt;=NKC!$N$8,B1103&gt;=NKC!$M$8),"x","")</f>
        <v/>
      </c>
      <c r="AA1103" s="883"/>
    </row>
    <row r="1104" spans="1:29" s="211" customFormat="1" ht="15.75" customHeight="1">
      <c r="A1104" s="204" t="str">
        <f>IF(B1104&lt;&gt;"",IF(AND(B1104&gt;=_TM1,B1104&lt;=_TM2,OR(TH!L1104="1111",TH!M1104="1111")),TH!D1104,""),"")</f>
        <v/>
      </c>
      <c r="B1104" s="36">
        <f t="shared" si="433"/>
        <v>1</v>
      </c>
      <c r="C1104" s="191">
        <f t="shared" si="434"/>
        <v>41279</v>
      </c>
      <c r="D1104" s="191" t="s">
        <v>1292</v>
      </c>
      <c r="E1104" s="37">
        <v>41279</v>
      </c>
      <c r="F1104" s="189" t="s">
        <v>1276</v>
      </c>
      <c r="G1104" s="40" t="s">
        <v>726</v>
      </c>
      <c r="H1104" s="7" t="s">
        <v>1284</v>
      </c>
      <c r="I1104" s="305">
        <v>100</v>
      </c>
      <c r="J1104" s="803">
        <v>10180</v>
      </c>
      <c r="K1104" s="602">
        <f t="shared" si="435"/>
        <v>1018000</v>
      </c>
      <c r="L1104" s="39" t="s">
        <v>165</v>
      </c>
      <c r="M1104" s="603" t="s">
        <v>159</v>
      </c>
      <c r="N1104" s="39" t="str">
        <f>IF(AND('331-CT'!$E$7=TH!H1104,OR(L1104="331",M1104="331")),"331",IF(AND(OR(L1104="131",M1104="131"),H1104='131-CT'!$E$7),"131",""))</f>
        <v/>
      </c>
      <c r="O1104" s="39" t="str">
        <f>IF(AND($B1104&gt;='111'!$N$11,$B1104&lt;='111'!$O$11,OR($L1104=$O$7,$M1104=$O$7)),"x","")</f>
        <v/>
      </c>
      <c r="P1104" s="39" t="str">
        <f>IF(AND($L1104=$O$7,$B1104&lt;'111'!$N$11),"x","")</f>
        <v/>
      </c>
      <c r="Q1104" s="39" t="str">
        <f>IF(AND($M1104=$O$7,$B1104&lt;'111'!$N$11),"x","")</f>
        <v/>
      </c>
      <c r="R1104" s="39" t="str">
        <f>IF(ISERROR(FIND('112'!$M$9,G1104,1)),"",IF((AND(FIND('112'!$M$9,G1104,1)&gt;=1,$B1104&gt;='112'!$N$8,$B1104&lt;='112'!$O$8,OR($L1104='112'!$I$6,$M1104='112'!$I$6))),"x",""))</f>
        <v/>
      </c>
      <c r="S1104" s="39" t="str">
        <f>IF(ISERROR(FIND('112'!$M$9,G1104,1)),"",IF((AND(LEFT(G1104,2)=LEFT('112'!$M$9,2),B1104&lt;'112'!$N$8,$L1104='112'!$I$6)),"x",""))</f>
        <v/>
      </c>
      <c r="T1104" s="39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39" t="str">
        <f>IF(OR(TH!L1104=TH!$V$7,M1104=TH!$V$7),"x","")</f>
        <v/>
      </c>
      <c r="W1104" s="39" t="str">
        <f>IF(AND(B1104&gt;='IN-NX'!$P$3,B1104&lt;='IN-NX'!$Q$3,'IN-NX'!$D$7=D1104,OR(LEFT(L1104,2)="15",AND(LEFT(M1104,2)&lt;&gt;"15",LEFT(M1104,2)&lt;&gt;"33"))),"x","")</f>
        <v/>
      </c>
      <c r="X1104" s="39" t="str">
        <f>IF(AND(OR(LEFT(TH!L1104,2)="15",LEFT(TH!M1104,2)="15"),'152-CT'!$J$8=TH!F1104),"x","")</f>
        <v/>
      </c>
      <c r="Y1104" s="39" t="str">
        <f>IF(AND(OR(LEFT(TH!L1104,2)="15",LEFT(TH!M1104,2)="15"),TK!$E$7=TH!F1104),"x","")</f>
        <v/>
      </c>
      <c r="Z1104" s="39" t="str">
        <f>IF(AND(B1104&lt;=NKC!$N$8,B1104&gt;=NKC!$M$8),"x","")</f>
        <v/>
      </c>
      <c r="AA1104" s="883"/>
    </row>
    <row r="1105" spans="1:27" s="211" customFormat="1" ht="15.75" customHeight="1">
      <c r="A1105" s="204" t="str">
        <f>IF(B1105&lt;&gt;"",IF(AND(B1105&gt;=_TM1,B1105&lt;=_TM2,OR(TH!L1105="1111",TH!M1105="1111")),TH!D1105,""),"")</f>
        <v/>
      </c>
      <c r="B1105" s="36">
        <f t="shared" si="433"/>
        <v>1</v>
      </c>
      <c r="C1105" s="191">
        <f t="shared" si="434"/>
        <v>41281</v>
      </c>
      <c r="D1105" s="191" t="s">
        <v>1292</v>
      </c>
      <c r="E1105" s="37">
        <v>41281</v>
      </c>
      <c r="F1105" s="40" t="s">
        <v>1244</v>
      </c>
      <c r="G1105" s="40" t="s">
        <v>730</v>
      </c>
      <c r="H1105" s="7" t="s">
        <v>1284</v>
      </c>
      <c r="I1105" s="305">
        <v>280</v>
      </c>
      <c r="J1105" s="803">
        <v>22321</v>
      </c>
      <c r="K1105" s="602">
        <f t="shared" si="435"/>
        <v>6249880</v>
      </c>
      <c r="L1105" s="39" t="s">
        <v>165</v>
      </c>
      <c r="M1105" s="603" t="s">
        <v>159</v>
      </c>
      <c r="N1105" s="39" t="str">
        <f>IF(AND('331-CT'!$E$7=TH!H1105,OR(L1105="331",M1105="331")),"331",IF(AND(OR(L1105="131",M1105="131"),H1105='131-CT'!$E$7),"131",""))</f>
        <v/>
      </c>
      <c r="O1105" s="39" t="str">
        <f>IF(AND($B1105&gt;='111'!$N$11,$B1105&lt;='111'!$O$11,OR($L1105=$O$7,$M1105=$O$7)),"x","")</f>
        <v/>
      </c>
      <c r="P1105" s="39" t="str">
        <f>IF(AND($L1105=$O$7,$B1105&lt;'111'!$N$11),"x","")</f>
        <v/>
      </c>
      <c r="Q1105" s="39" t="str">
        <f>IF(AND($M1105=$O$7,$B1105&lt;'111'!$N$11),"x","")</f>
        <v/>
      </c>
      <c r="R1105" s="39" t="str">
        <f>IF(ISERROR(FIND('112'!$M$9,G1105,1)),"",IF((AND(FIND('112'!$M$9,G1105,1)&gt;=1,$B1105&gt;='112'!$N$8,$B1105&lt;='112'!$O$8,OR($L1105='112'!$I$6,$M1105='112'!$I$6))),"x",""))</f>
        <v/>
      </c>
      <c r="S1105" s="39" t="str">
        <f>IF(ISERROR(FIND('112'!$M$9,G1105,1)),"",IF((AND(LEFT(G1105,2)=LEFT('112'!$M$9,2),B1105&lt;'112'!$N$8,$L1105='112'!$I$6)),"x",""))</f>
        <v/>
      </c>
      <c r="T1105" s="39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39" t="str">
        <f>IF(OR(TH!L1105=TH!$V$7,M1105=TH!$V$7),"x","")</f>
        <v/>
      </c>
      <c r="W1105" s="39" t="str">
        <f>IF(AND(B1105&gt;='IN-NX'!$P$3,B1105&lt;='IN-NX'!$Q$3,'IN-NX'!$D$7=D1105,OR(LEFT(L1105,2)="15",AND(LEFT(M1105,2)&lt;&gt;"15",LEFT(M1105,2)&lt;&gt;"33"))),"x","")</f>
        <v/>
      </c>
      <c r="X1105" s="39" t="str">
        <f>IF(AND(OR(LEFT(TH!L1105,2)="15",LEFT(TH!M1105,2)="15"),'152-CT'!$J$8=TH!F1105),"x","")</f>
        <v/>
      </c>
      <c r="Y1105" s="39" t="str">
        <f>IF(AND(OR(LEFT(TH!L1105,2)="15",LEFT(TH!M1105,2)="15"),TK!$E$7=TH!F1105),"x","")</f>
        <v/>
      </c>
      <c r="Z1105" s="39" t="str">
        <f>IF(AND(B1105&lt;=NKC!$N$8,B1105&gt;=NKC!$M$8),"x","")</f>
        <v/>
      </c>
      <c r="AA1105" s="883"/>
    </row>
    <row r="1106" spans="1:27" s="211" customFormat="1" ht="15.75" customHeight="1">
      <c r="A1106" s="204" t="str">
        <f>IF(B1106&lt;&gt;"",IF(AND(B1106&gt;=_TM1,B1106&lt;=_TM2,OR(TH!L1106="1111",TH!M1106="1111")),TH!D1106,""),"")</f>
        <v/>
      </c>
      <c r="B1106" s="36">
        <f t="shared" si="433"/>
        <v>1</v>
      </c>
      <c r="C1106" s="191">
        <f t="shared" si="434"/>
        <v>41282</v>
      </c>
      <c r="D1106" s="191" t="s">
        <v>1292</v>
      </c>
      <c r="E1106" s="37">
        <v>41282</v>
      </c>
      <c r="F1106" s="297" t="s">
        <v>1276</v>
      </c>
      <c r="G1106" s="40" t="s">
        <v>732</v>
      </c>
      <c r="H1106" s="7" t="s">
        <v>1284</v>
      </c>
      <c r="I1106" s="305">
        <v>100</v>
      </c>
      <c r="J1106" s="845">
        <v>10180</v>
      </c>
      <c r="K1106" s="602">
        <f t="shared" si="435"/>
        <v>1018000</v>
      </c>
      <c r="L1106" s="39" t="s">
        <v>165</v>
      </c>
      <c r="M1106" s="603" t="s">
        <v>159</v>
      </c>
      <c r="N1106" s="39" t="str">
        <f>IF(AND('331-CT'!$E$7=TH!H1106,OR(L1106="331",M1106="331")),"331",IF(AND(OR(L1106="131",M1106="131"),H1106='131-CT'!$E$7),"131",""))</f>
        <v/>
      </c>
      <c r="O1106" s="39" t="str">
        <f>IF(AND($B1106&gt;='111'!$N$11,$B1106&lt;='111'!$O$11,OR($L1106=$O$7,$M1106=$O$7)),"x","")</f>
        <v/>
      </c>
      <c r="P1106" s="39" t="str">
        <f>IF(AND($L1106=$O$7,$B1106&lt;'111'!$N$11),"x","")</f>
        <v/>
      </c>
      <c r="Q1106" s="39" t="str">
        <f>IF(AND($M1106=$O$7,$B1106&lt;'111'!$N$11),"x","")</f>
        <v/>
      </c>
      <c r="R1106" s="39" t="str">
        <f>IF(ISERROR(FIND('112'!$M$9,G1106,1)),"",IF((AND(FIND('112'!$M$9,G1106,1)&gt;=1,$B1106&gt;='112'!$N$8,$B1106&lt;='112'!$O$8,OR($L1106='112'!$I$6,$M1106='112'!$I$6))),"x",""))</f>
        <v/>
      </c>
      <c r="S1106" s="39" t="str">
        <f>IF(ISERROR(FIND('112'!$M$9,G1106,1)),"",IF((AND(LEFT(G1106,2)=LEFT('112'!$M$9,2),B1106&lt;'112'!$N$8,$L1106='112'!$I$6)),"x",""))</f>
        <v/>
      </c>
      <c r="T1106" s="39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39" t="str">
        <f>IF(OR(TH!L1106=TH!$V$7,M1106=TH!$V$7),"x","")</f>
        <v/>
      </c>
      <c r="W1106" s="39" t="str">
        <f>IF(AND(B1106&gt;='IN-NX'!$P$3,B1106&lt;='IN-NX'!$Q$3,'IN-NX'!$D$7=D1106,OR(LEFT(L1106,2)="15",AND(LEFT(M1106,2)&lt;&gt;"15",LEFT(M1106,2)&lt;&gt;"33"))),"x","")</f>
        <v/>
      </c>
      <c r="X1106" s="39" t="str">
        <f>IF(AND(OR(LEFT(TH!L1106,2)="15",LEFT(TH!M1106,2)="15"),'152-CT'!$J$8=TH!F1106),"x","")</f>
        <v/>
      </c>
      <c r="Y1106" s="39" t="str">
        <f>IF(AND(OR(LEFT(TH!L1106,2)="15",LEFT(TH!M1106,2)="15"),TK!$E$7=TH!F1106),"x","")</f>
        <v/>
      </c>
      <c r="Z1106" s="39" t="str">
        <f>IF(AND(B1106&lt;=NKC!$N$8,B1106&gt;=NKC!$M$8),"x","")</f>
        <v/>
      </c>
      <c r="AA1106" s="883"/>
    </row>
    <row r="1107" spans="1:27" s="211" customFormat="1" ht="15.75" customHeight="1">
      <c r="A1107" s="204" t="str">
        <f>IF(B1107&lt;&gt;"",IF(AND(B1107&gt;=_TM1,B1107&lt;=_TM2,OR(TH!L1107="1111",TH!M1107="1111")),TH!D1107,""),"")</f>
        <v/>
      </c>
      <c r="B1107" s="36">
        <f t="shared" si="433"/>
        <v>1</v>
      </c>
      <c r="C1107" s="191">
        <f t="shared" si="434"/>
        <v>41282</v>
      </c>
      <c r="D1107" s="191" t="s">
        <v>1292</v>
      </c>
      <c r="E1107" s="37">
        <v>41282</v>
      </c>
      <c r="F1107" s="40" t="s">
        <v>1215</v>
      </c>
      <c r="G1107" s="40" t="s">
        <v>732</v>
      </c>
      <c r="H1107" s="7" t="s">
        <v>1284</v>
      </c>
      <c r="I1107" s="305">
        <v>100</v>
      </c>
      <c r="J1107" s="801">
        <v>12814</v>
      </c>
      <c r="K1107" s="602">
        <f t="shared" si="435"/>
        <v>1281400</v>
      </c>
      <c r="L1107" s="39" t="s">
        <v>165</v>
      </c>
      <c r="M1107" s="603" t="s">
        <v>159</v>
      </c>
      <c r="N1107" s="39" t="str">
        <f>IF(AND('331-CT'!$E$7=TH!H1107,OR(L1107="331",M1107="331")),"331",IF(AND(OR(L1107="131",M1107="131"),H1107='131-CT'!$E$7),"131",""))</f>
        <v/>
      </c>
      <c r="O1107" s="39" t="str">
        <f>IF(AND($B1107&gt;='111'!$N$11,$B1107&lt;='111'!$O$11,OR($L1107=$O$7,$M1107=$O$7)),"x","")</f>
        <v/>
      </c>
      <c r="P1107" s="39" t="str">
        <f>IF(AND($L1107=$O$7,$B1107&lt;'111'!$N$11),"x","")</f>
        <v/>
      </c>
      <c r="Q1107" s="39" t="str">
        <f>IF(AND($M1107=$O$7,$B1107&lt;'111'!$N$11),"x","")</f>
        <v/>
      </c>
      <c r="R1107" s="39" t="str">
        <f>IF(ISERROR(FIND('112'!$M$9,G1107,1)),"",IF((AND(FIND('112'!$M$9,G1107,1)&gt;=1,$B1107&gt;='112'!$N$8,$B1107&lt;='112'!$O$8,OR($L1107='112'!$I$6,$M1107='112'!$I$6))),"x",""))</f>
        <v/>
      </c>
      <c r="S1107" s="39" t="str">
        <f>IF(ISERROR(FIND('112'!$M$9,G1107,1)),"",IF((AND(LEFT(G1107,2)=LEFT('112'!$M$9,2),B1107&lt;'112'!$N$8,$L1107='112'!$I$6)),"x",""))</f>
        <v/>
      </c>
      <c r="T1107" s="39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39" t="str">
        <f>IF(OR(TH!L1107=TH!$V$7,M1107=TH!$V$7),"x","")</f>
        <v/>
      </c>
      <c r="W1107" s="39" t="str">
        <f>IF(AND(B1107&gt;='IN-NX'!$P$3,B1107&lt;='IN-NX'!$Q$3,'IN-NX'!$D$7=D1107,OR(LEFT(L1107,2)="15",AND(LEFT(M1107,2)&lt;&gt;"15",LEFT(M1107,2)&lt;&gt;"33"))),"x","")</f>
        <v/>
      </c>
      <c r="X1107" s="39" t="str">
        <f>IF(AND(OR(LEFT(TH!L1107,2)="15",LEFT(TH!M1107,2)="15"),'152-CT'!$J$8=TH!F1107),"x","")</f>
        <v/>
      </c>
      <c r="Y1107" s="39" t="str">
        <f>IF(AND(OR(LEFT(TH!L1107,2)="15",LEFT(TH!M1107,2)="15"),TK!$E$7=TH!F1107),"x","")</f>
        <v/>
      </c>
      <c r="Z1107" s="39" t="str">
        <f>IF(AND(B1107&lt;=NKC!$N$8,B1107&gt;=NKC!$M$8),"x","")</f>
        <v/>
      </c>
      <c r="AA1107" s="883"/>
    </row>
    <row r="1108" spans="1:27" s="211" customFormat="1" ht="15.75" customHeight="1">
      <c r="A1108" s="204" t="str">
        <f>IF(B1108&lt;&gt;"",IF(AND(B1108&gt;=_TM1,B1108&lt;=_TM2,OR(TH!L1108="1111",TH!M1108="1111")),TH!D1108,""),"")</f>
        <v/>
      </c>
      <c r="B1108" s="36">
        <f t="shared" si="433"/>
        <v>1</v>
      </c>
      <c r="C1108" s="191">
        <f t="shared" si="434"/>
        <v>41282</v>
      </c>
      <c r="D1108" s="191" t="s">
        <v>1292</v>
      </c>
      <c r="E1108" s="37">
        <v>41282</v>
      </c>
      <c r="F1108" s="40" t="s">
        <v>1183</v>
      </c>
      <c r="G1108" s="40" t="s">
        <v>732</v>
      </c>
      <c r="H1108" s="7" t="s">
        <v>1284</v>
      </c>
      <c r="I1108" s="305">
        <v>5</v>
      </c>
      <c r="J1108" s="803">
        <v>10681.539156626506</v>
      </c>
      <c r="K1108" s="602">
        <f t="shared" si="435"/>
        <v>53408</v>
      </c>
      <c r="L1108" s="39" t="s">
        <v>165</v>
      </c>
      <c r="M1108" s="603" t="s">
        <v>159</v>
      </c>
      <c r="N1108" s="39" t="str">
        <f>IF(AND('331-CT'!$E$7=TH!H1108,OR(L1108="331",M1108="331")),"331",IF(AND(OR(L1108="131",M1108="131"),H1108='131-CT'!$E$7),"131",""))</f>
        <v/>
      </c>
      <c r="O1108" s="39" t="str">
        <f>IF(AND($B1108&gt;='111'!$N$11,$B1108&lt;='111'!$O$11,OR($L1108=$O$7,$M1108=$O$7)),"x","")</f>
        <v/>
      </c>
      <c r="P1108" s="39" t="str">
        <f>IF(AND($L1108=$O$7,$B1108&lt;'111'!$N$11),"x","")</f>
        <v/>
      </c>
      <c r="Q1108" s="39" t="str">
        <f>IF(AND($M1108=$O$7,$B1108&lt;'111'!$N$11),"x","")</f>
        <v/>
      </c>
      <c r="R1108" s="39" t="str">
        <f>IF(ISERROR(FIND('112'!$M$9,G1108,1)),"",IF((AND(FIND('112'!$M$9,G1108,1)&gt;=1,$B1108&gt;='112'!$N$8,$B1108&lt;='112'!$O$8,OR($L1108='112'!$I$6,$M1108='112'!$I$6))),"x",""))</f>
        <v/>
      </c>
      <c r="S1108" s="39" t="str">
        <f>IF(ISERROR(FIND('112'!$M$9,G1108,1)),"",IF((AND(LEFT(G1108,2)=LEFT('112'!$M$9,2),B1108&lt;'112'!$N$8,$L1108='112'!$I$6)),"x",""))</f>
        <v/>
      </c>
      <c r="T1108" s="39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39" t="str">
        <f>IF(OR(TH!L1108=TH!$V$7,M1108=TH!$V$7),"x","")</f>
        <v/>
      </c>
      <c r="W1108" s="39" t="str">
        <f>IF(AND(B1108&gt;='IN-NX'!$P$3,B1108&lt;='IN-NX'!$Q$3,'IN-NX'!$D$7=D1108,OR(LEFT(L1108,2)="15",AND(LEFT(M1108,2)&lt;&gt;"15",LEFT(M1108,2)&lt;&gt;"33"))),"x","")</f>
        <v/>
      </c>
      <c r="X1108" s="39" t="str">
        <f>IF(AND(OR(LEFT(TH!L1108,2)="15",LEFT(TH!M1108,2)="15"),'152-CT'!$J$8=TH!F1108),"x","")</f>
        <v/>
      </c>
      <c r="Y1108" s="39" t="str">
        <f>IF(AND(OR(LEFT(TH!L1108,2)="15",LEFT(TH!M1108,2)="15"),TK!$E$7=TH!F1108),"x","")</f>
        <v/>
      </c>
      <c r="Z1108" s="39" t="str">
        <f>IF(AND(B1108&lt;=NKC!$N$8,B1108&gt;=NKC!$M$8),"x","")</f>
        <v/>
      </c>
      <c r="AA1108" s="883"/>
    </row>
    <row r="1109" spans="1:27" s="211" customFormat="1" ht="15.75" customHeight="1">
      <c r="A1109" s="204" t="str">
        <f>IF(B1109&lt;&gt;"",IF(AND(B1109&gt;=_TM1,B1109&lt;=_TM2,OR(TH!L1109="1111",TH!M1109="1111")),TH!D1109,""),"")</f>
        <v/>
      </c>
      <c r="B1109" s="36">
        <f t="shared" si="433"/>
        <v>1</v>
      </c>
      <c r="C1109" s="191">
        <f t="shared" si="434"/>
        <v>41282</v>
      </c>
      <c r="D1109" s="191" t="s">
        <v>1292</v>
      </c>
      <c r="E1109" s="37">
        <v>41282</v>
      </c>
      <c r="F1109" s="449" t="s">
        <v>1183</v>
      </c>
      <c r="G1109" s="40" t="s">
        <v>732</v>
      </c>
      <c r="H1109" s="7" t="s">
        <v>1284</v>
      </c>
      <c r="I1109" s="305">
        <v>5</v>
      </c>
      <c r="J1109" s="803">
        <v>10681.539156626506</v>
      </c>
      <c r="K1109" s="602">
        <f t="shared" si="435"/>
        <v>53408</v>
      </c>
      <c r="L1109" s="39" t="s">
        <v>165</v>
      </c>
      <c r="M1109" s="603" t="s">
        <v>159</v>
      </c>
      <c r="N1109" s="39" t="str">
        <f>IF(AND('331-CT'!$E$7=TH!H1109,OR(L1109="331",M1109="331")),"331",IF(AND(OR(L1109="131",M1109="131"),H1109='131-CT'!$E$7),"131",""))</f>
        <v/>
      </c>
      <c r="O1109" s="39" t="str">
        <f>IF(AND($B1109&gt;='111'!$N$11,$B1109&lt;='111'!$O$11,OR($L1109=$O$7,$M1109=$O$7)),"x","")</f>
        <v/>
      </c>
      <c r="P1109" s="39" t="str">
        <f>IF(AND($L1109=$O$7,$B1109&lt;'111'!$N$11),"x","")</f>
        <v/>
      </c>
      <c r="Q1109" s="39" t="str">
        <f>IF(AND($M1109=$O$7,$B1109&lt;'111'!$N$11),"x","")</f>
        <v/>
      </c>
      <c r="R1109" s="39" t="str">
        <f>IF(ISERROR(FIND('112'!$M$9,G1109,1)),"",IF((AND(FIND('112'!$M$9,G1109,1)&gt;=1,$B1109&gt;='112'!$N$8,$B1109&lt;='112'!$O$8,OR($L1109='112'!$I$6,$M1109='112'!$I$6))),"x",""))</f>
        <v/>
      </c>
      <c r="S1109" s="39" t="str">
        <f>IF(ISERROR(FIND('112'!$M$9,G1109,1)),"",IF((AND(LEFT(G1109,2)=LEFT('112'!$M$9,2),B1109&lt;'112'!$N$8,$L1109='112'!$I$6)),"x",""))</f>
        <v/>
      </c>
      <c r="T1109" s="39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39" t="str">
        <f>IF(OR(TH!L1109=TH!$V$7,M1109=TH!$V$7),"x","")</f>
        <v/>
      </c>
      <c r="W1109" s="39" t="str">
        <f>IF(AND(B1109&gt;='IN-NX'!$P$3,B1109&lt;='IN-NX'!$Q$3,'IN-NX'!$D$7=D1109,OR(LEFT(L1109,2)="15",AND(LEFT(M1109,2)&lt;&gt;"15",LEFT(M1109,2)&lt;&gt;"33"))),"x","")</f>
        <v/>
      </c>
      <c r="X1109" s="39" t="str">
        <f>IF(AND(OR(LEFT(TH!L1109,2)="15",LEFT(TH!M1109,2)="15"),'152-CT'!$J$8=TH!F1109),"x","")</f>
        <v/>
      </c>
      <c r="Y1109" s="39" t="str">
        <f>IF(AND(OR(LEFT(TH!L1109,2)="15",LEFT(TH!M1109,2)="15"),TK!$E$7=TH!F1109),"x","")</f>
        <v/>
      </c>
      <c r="Z1109" s="39" t="str">
        <f>IF(AND(B1109&lt;=NKC!$N$8,B1109&gt;=NKC!$M$8),"x","")</f>
        <v/>
      </c>
      <c r="AA1109" s="883"/>
    </row>
    <row r="1110" spans="1:27" s="211" customFormat="1" ht="15.75" customHeight="1">
      <c r="A1110" s="204" t="str">
        <f>IF(B1110&lt;&gt;"",IF(AND(B1110&gt;=_TM1,B1110&lt;=_TM2,OR(TH!L1110="1111",TH!M1110="1111")),TH!D1110,""),"")</f>
        <v/>
      </c>
      <c r="B1110" s="36">
        <f t="shared" si="433"/>
        <v>1</v>
      </c>
      <c r="C1110" s="191">
        <f t="shared" si="434"/>
        <v>41282</v>
      </c>
      <c r="D1110" s="191" t="s">
        <v>1292</v>
      </c>
      <c r="E1110" s="37">
        <v>41282</v>
      </c>
      <c r="F1110" s="297" t="s">
        <v>1183</v>
      </c>
      <c r="G1110" s="40" t="s">
        <v>732</v>
      </c>
      <c r="H1110" s="7" t="s">
        <v>1284</v>
      </c>
      <c r="I1110" s="305">
        <v>5</v>
      </c>
      <c r="J1110" s="803">
        <v>10681.539156626506</v>
      </c>
      <c r="K1110" s="602">
        <f t="shared" si="435"/>
        <v>53408</v>
      </c>
      <c r="L1110" s="39" t="s">
        <v>165</v>
      </c>
      <c r="M1110" s="603" t="s">
        <v>159</v>
      </c>
      <c r="N1110" s="39" t="str">
        <f>IF(AND('331-CT'!$E$7=TH!H1110,OR(L1110="331",M1110="331")),"331",IF(AND(OR(L1110="131",M1110="131"),H1110='131-CT'!$E$7),"131",""))</f>
        <v/>
      </c>
      <c r="O1110" s="39" t="str">
        <f>IF(AND($B1110&gt;='111'!$N$11,$B1110&lt;='111'!$O$11,OR($L1110=$O$7,$M1110=$O$7)),"x","")</f>
        <v/>
      </c>
      <c r="P1110" s="39" t="str">
        <f>IF(AND($L1110=$O$7,$B1110&lt;'111'!$N$11),"x","")</f>
        <v/>
      </c>
      <c r="Q1110" s="39" t="str">
        <f>IF(AND($M1110=$O$7,$B1110&lt;'111'!$N$11),"x","")</f>
        <v/>
      </c>
      <c r="R1110" s="39" t="str">
        <f>IF(ISERROR(FIND('112'!$M$9,G1110,1)),"",IF((AND(FIND('112'!$M$9,G1110,1)&gt;=1,$B1110&gt;='112'!$N$8,$B1110&lt;='112'!$O$8,OR($L1110='112'!$I$6,$M1110='112'!$I$6))),"x",""))</f>
        <v/>
      </c>
      <c r="S1110" s="39" t="str">
        <f>IF(ISERROR(FIND('112'!$M$9,G1110,1)),"",IF((AND(LEFT(G1110,2)=LEFT('112'!$M$9,2),B1110&lt;'112'!$N$8,$L1110='112'!$I$6)),"x",""))</f>
        <v/>
      </c>
      <c r="T1110" s="39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39" t="str">
        <f>IF(OR(TH!L1110=TH!$V$7,M1110=TH!$V$7),"x","")</f>
        <v/>
      </c>
      <c r="W1110" s="39" t="str">
        <f>IF(AND(B1110&gt;='IN-NX'!$P$3,B1110&lt;='IN-NX'!$Q$3,'IN-NX'!$D$7=D1110,OR(LEFT(L1110,2)="15",AND(LEFT(M1110,2)&lt;&gt;"15",LEFT(M1110,2)&lt;&gt;"33"))),"x","")</f>
        <v/>
      </c>
      <c r="X1110" s="39" t="str">
        <f>IF(AND(OR(LEFT(TH!L1110,2)="15",LEFT(TH!M1110,2)="15"),'152-CT'!$J$8=TH!F1110),"x","")</f>
        <v/>
      </c>
      <c r="Y1110" s="39" t="str">
        <f>IF(AND(OR(LEFT(TH!L1110,2)="15",LEFT(TH!M1110,2)="15"),TK!$E$7=TH!F1110),"x","")</f>
        <v/>
      </c>
      <c r="Z1110" s="39" t="str">
        <f>IF(AND(B1110&lt;=NKC!$N$8,B1110&gt;=NKC!$M$8),"x","")</f>
        <v/>
      </c>
      <c r="AA1110" s="883"/>
    </row>
    <row r="1111" spans="1:27" s="211" customFormat="1" ht="15.75" customHeight="1">
      <c r="A1111" s="204" t="str">
        <f>IF(B1111&lt;&gt;"",IF(AND(B1111&gt;=_TM1,B1111&lt;=_TM2,OR(TH!L1111="1111",TH!M1111="1111")),TH!D1111,""),"")</f>
        <v/>
      </c>
      <c r="B1111" s="36">
        <f t="shared" si="433"/>
        <v>1</v>
      </c>
      <c r="C1111" s="191">
        <f t="shared" si="434"/>
        <v>41282</v>
      </c>
      <c r="D1111" s="191" t="s">
        <v>1292</v>
      </c>
      <c r="E1111" s="37">
        <v>41282</v>
      </c>
      <c r="F1111" s="40" t="s">
        <v>1183</v>
      </c>
      <c r="G1111" s="40" t="s">
        <v>732</v>
      </c>
      <c r="H1111" s="7" t="s">
        <v>1284</v>
      </c>
      <c r="I1111" s="305">
        <v>5</v>
      </c>
      <c r="J1111" s="803">
        <v>10681.539156626506</v>
      </c>
      <c r="K1111" s="602">
        <f t="shared" si="435"/>
        <v>53408</v>
      </c>
      <c r="L1111" s="39" t="s">
        <v>165</v>
      </c>
      <c r="M1111" s="603" t="s">
        <v>159</v>
      </c>
      <c r="N1111" s="39" t="str">
        <f>IF(AND('331-CT'!$E$7=TH!H1111,OR(L1111="331",M1111="331")),"331",IF(AND(OR(L1111="131",M1111="131"),H1111='131-CT'!$E$7),"131",""))</f>
        <v/>
      </c>
      <c r="O1111" s="39" t="str">
        <f>IF(AND($B1111&gt;='111'!$N$11,$B1111&lt;='111'!$O$11,OR($L1111=$O$7,$M1111=$O$7)),"x","")</f>
        <v/>
      </c>
      <c r="P1111" s="39" t="str">
        <f>IF(AND($L1111=$O$7,$B1111&lt;'111'!$N$11),"x","")</f>
        <v/>
      </c>
      <c r="Q1111" s="39" t="str">
        <f>IF(AND($M1111=$O$7,$B1111&lt;'111'!$N$11),"x","")</f>
        <v/>
      </c>
      <c r="R1111" s="39" t="str">
        <f>IF(ISERROR(FIND('112'!$M$9,G1111,1)),"",IF((AND(FIND('112'!$M$9,G1111,1)&gt;=1,$B1111&gt;='112'!$N$8,$B1111&lt;='112'!$O$8,OR($L1111='112'!$I$6,$M1111='112'!$I$6))),"x",""))</f>
        <v/>
      </c>
      <c r="S1111" s="39" t="str">
        <f>IF(ISERROR(FIND('112'!$M$9,G1111,1)),"",IF((AND(LEFT(G1111,2)=LEFT('112'!$M$9,2),B1111&lt;'112'!$N$8,$L1111='112'!$I$6)),"x",""))</f>
        <v/>
      </c>
      <c r="T1111" s="39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39" t="str">
        <f>IF(OR(TH!L1111=TH!$V$7,M1111=TH!$V$7),"x","")</f>
        <v/>
      </c>
      <c r="W1111" s="39" t="str">
        <f>IF(AND(B1111&gt;='IN-NX'!$P$3,B1111&lt;='IN-NX'!$Q$3,'IN-NX'!$D$7=D1111,OR(LEFT(L1111,2)="15",AND(LEFT(M1111,2)&lt;&gt;"15",LEFT(M1111,2)&lt;&gt;"33"))),"x","")</f>
        <v/>
      </c>
      <c r="X1111" s="39" t="str">
        <f>IF(AND(OR(LEFT(TH!L1111,2)="15",LEFT(TH!M1111,2)="15"),'152-CT'!$J$8=TH!F1111),"x","")</f>
        <v/>
      </c>
      <c r="Y1111" s="39" t="str">
        <f>IF(AND(OR(LEFT(TH!L1111,2)="15",LEFT(TH!M1111,2)="15"),TK!$E$7=TH!F1111),"x","")</f>
        <v/>
      </c>
      <c r="Z1111" s="39" t="str">
        <f>IF(AND(B1111&lt;=NKC!$N$8,B1111&gt;=NKC!$M$8),"x","")</f>
        <v/>
      </c>
      <c r="AA1111" s="883"/>
    </row>
    <row r="1112" spans="1:27" s="211" customFormat="1" ht="15.75" customHeight="1">
      <c r="A1112" s="204" t="str">
        <f>IF(B1112&lt;&gt;"",IF(AND(B1112&gt;=_TM1,B1112&lt;=_TM2,OR(TH!L1112="1111",TH!M1112="1111")),TH!D1112,""),"")</f>
        <v/>
      </c>
      <c r="B1112" s="36">
        <f t="shared" si="433"/>
        <v>1</v>
      </c>
      <c r="C1112" s="191">
        <f t="shared" si="434"/>
        <v>41282</v>
      </c>
      <c r="D1112" s="191" t="s">
        <v>1292</v>
      </c>
      <c r="E1112" s="37">
        <v>41282</v>
      </c>
      <c r="F1112" s="844" t="s">
        <v>1188</v>
      </c>
      <c r="G1112" s="40" t="s">
        <v>732</v>
      </c>
      <c r="H1112" s="7" t="s">
        <v>1284</v>
      </c>
      <c r="I1112" s="305">
        <v>30</v>
      </c>
      <c r="J1112" s="801">
        <v>15120</v>
      </c>
      <c r="K1112" s="602">
        <f t="shared" si="435"/>
        <v>453600</v>
      </c>
      <c r="L1112" s="39" t="s">
        <v>165</v>
      </c>
      <c r="M1112" s="603" t="s">
        <v>159</v>
      </c>
      <c r="N1112" s="39" t="str">
        <f>IF(AND('331-CT'!$E$7=TH!H1112,OR(L1112="331",M1112="331")),"331",IF(AND(OR(L1112="131",M1112="131"),H1112='131-CT'!$E$7),"131",""))</f>
        <v/>
      </c>
      <c r="O1112" s="39" t="str">
        <f>IF(AND($B1112&gt;='111'!$N$11,$B1112&lt;='111'!$O$11,OR($L1112=$O$7,$M1112=$O$7)),"x","")</f>
        <v/>
      </c>
      <c r="P1112" s="39" t="str">
        <f>IF(AND($L1112=$O$7,$B1112&lt;'111'!$N$11),"x","")</f>
        <v/>
      </c>
      <c r="Q1112" s="39" t="str">
        <f>IF(AND($M1112=$O$7,$B1112&lt;'111'!$N$11),"x","")</f>
        <v/>
      </c>
      <c r="R1112" s="39" t="str">
        <f>IF(ISERROR(FIND('112'!$M$9,G1112,1)),"",IF((AND(FIND('112'!$M$9,G1112,1)&gt;=1,$B1112&gt;='112'!$N$8,$B1112&lt;='112'!$O$8,OR($L1112='112'!$I$6,$M1112='112'!$I$6))),"x",""))</f>
        <v/>
      </c>
      <c r="S1112" s="39" t="str">
        <f>IF(ISERROR(FIND('112'!$M$9,G1112,1)),"",IF((AND(LEFT(G1112,2)=LEFT('112'!$M$9,2),B1112&lt;'112'!$N$8,$L1112='112'!$I$6)),"x",""))</f>
        <v/>
      </c>
      <c r="T1112" s="39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39" t="str">
        <f>IF(OR(TH!L1112=TH!$V$7,M1112=TH!$V$7),"x","")</f>
        <v/>
      </c>
      <c r="W1112" s="39" t="str">
        <f>IF(AND(B1112&gt;='IN-NX'!$P$3,B1112&lt;='IN-NX'!$Q$3,'IN-NX'!$D$7=D1112,OR(LEFT(L1112,2)="15",AND(LEFT(M1112,2)&lt;&gt;"15",LEFT(M1112,2)&lt;&gt;"33"))),"x","")</f>
        <v/>
      </c>
      <c r="X1112" s="39" t="str">
        <f>IF(AND(OR(LEFT(TH!L1112,2)="15",LEFT(TH!M1112,2)="15"),'152-CT'!$J$8=TH!F1112),"x","")</f>
        <v/>
      </c>
      <c r="Y1112" s="39" t="str">
        <f>IF(AND(OR(LEFT(TH!L1112,2)="15",LEFT(TH!M1112,2)="15"),TK!$E$7=TH!F1112),"x","")</f>
        <v/>
      </c>
      <c r="Z1112" s="39" t="str">
        <f>IF(AND(B1112&lt;=NKC!$N$8,B1112&gt;=NKC!$M$8),"x","")</f>
        <v/>
      </c>
      <c r="AA1112" s="883"/>
    </row>
    <row r="1113" spans="1:27" s="211" customFormat="1" ht="15.75" customHeight="1">
      <c r="A1113" s="204" t="str">
        <f>IF(B1113&lt;&gt;"",IF(AND(B1113&gt;=_TM1,B1113&lt;=_TM2,OR(TH!L1113="1111",TH!M1113="1111")),TH!D1113,""),"")</f>
        <v/>
      </c>
      <c r="B1113" s="36">
        <f t="shared" si="433"/>
        <v>1</v>
      </c>
      <c r="C1113" s="191">
        <f t="shared" si="434"/>
        <v>41285</v>
      </c>
      <c r="D1113" s="191" t="s">
        <v>1292</v>
      </c>
      <c r="E1113" s="37">
        <v>41285</v>
      </c>
      <c r="F1113" s="40" t="s">
        <v>1223</v>
      </c>
      <c r="G1113" s="40" t="s">
        <v>740</v>
      </c>
      <c r="H1113" s="7" t="s">
        <v>1284</v>
      </c>
      <c r="I1113" s="305">
        <v>420</v>
      </c>
      <c r="J1113" s="803">
        <v>10775</v>
      </c>
      <c r="K1113" s="602">
        <f t="shared" si="435"/>
        <v>4525500</v>
      </c>
      <c r="L1113" s="39" t="s">
        <v>165</v>
      </c>
      <c r="M1113" s="603" t="s">
        <v>159</v>
      </c>
      <c r="N1113" s="39" t="str">
        <f>IF(AND('331-CT'!$E$7=TH!H1113,OR(L1113="331",M1113="331")),"331",IF(AND(OR(L1113="131",M1113="131"),H1113='131-CT'!$E$7),"131",""))</f>
        <v/>
      </c>
      <c r="O1113" s="39" t="str">
        <f>IF(AND($B1113&gt;='111'!$N$11,$B1113&lt;='111'!$O$11,OR($L1113=$O$7,$M1113=$O$7)),"x","")</f>
        <v/>
      </c>
      <c r="P1113" s="39" t="str">
        <f>IF(AND($L1113=$O$7,$B1113&lt;'111'!$N$11),"x","")</f>
        <v/>
      </c>
      <c r="Q1113" s="39" t="str">
        <f>IF(AND($M1113=$O$7,$B1113&lt;'111'!$N$11),"x","")</f>
        <v/>
      </c>
      <c r="R1113" s="39" t="str">
        <f>IF(ISERROR(FIND('112'!$M$9,G1113,1)),"",IF((AND(FIND('112'!$M$9,G1113,1)&gt;=1,$B1113&gt;='112'!$N$8,$B1113&lt;='112'!$O$8,OR($L1113='112'!$I$6,$M1113='112'!$I$6))),"x",""))</f>
        <v/>
      </c>
      <c r="S1113" s="39" t="str">
        <f>IF(ISERROR(FIND('112'!$M$9,G1113,1)),"",IF((AND(LEFT(G1113,2)=LEFT('112'!$M$9,2),B1113&lt;'112'!$N$8,$L1113='112'!$I$6)),"x",""))</f>
        <v/>
      </c>
      <c r="T1113" s="39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39" t="str">
        <f>IF(OR(TH!L1113=TH!$V$7,M1113=TH!$V$7),"x","")</f>
        <v/>
      </c>
      <c r="W1113" s="39" t="str">
        <f>IF(AND(B1113&gt;='IN-NX'!$P$3,B1113&lt;='IN-NX'!$Q$3,'IN-NX'!$D$7=D1113,OR(LEFT(L1113,2)="15",AND(LEFT(M1113,2)&lt;&gt;"15",LEFT(M1113,2)&lt;&gt;"33"))),"x","")</f>
        <v/>
      </c>
      <c r="X1113" s="39" t="str">
        <f>IF(AND(OR(LEFT(TH!L1113,2)="15",LEFT(TH!M1113,2)="15"),'152-CT'!$J$8=TH!F1113),"x","")</f>
        <v/>
      </c>
      <c r="Y1113" s="39" t="str">
        <f>IF(AND(OR(LEFT(TH!L1113,2)="15",LEFT(TH!M1113,2)="15"),TK!$E$7=TH!F1113),"x","")</f>
        <v/>
      </c>
      <c r="Z1113" s="39" t="str">
        <f>IF(AND(B1113&lt;=NKC!$N$8,B1113&gt;=NKC!$M$8),"x","")</f>
        <v/>
      </c>
      <c r="AA1113" s="883"/>
    </row>
    <row r="1114" spans="1:27" s="211" customFormat="1" ht="15.75" customHeight="1">
      <c r="A1114" s="204" t="str">
        <f>IF(B1114&lt;&gt;"",IF(AND(B1114&gt;=_TM1,B1114&lt;=_TM2,OR(TH!L1114="1111",TH!M1114="1111")),TH!D1114,""),"")</f>
        <v/>
      </c>
      <c r="B1114" s="36">
        <f t="shared" si="433"/>
        <v>1</v>
      </c>
      <c r="C1114" s="191">
        <f t="shared" si="434"/>
        <v>41287</v>
      </c>
      <c r="D1114" s="191" t="s">
        <v>1292</v>
      </c>
      <c r="E1114" s="37">
        <v>41287</v>
      </c>
      <c r="F1114" s="189" t="s">
        <v>1251</v>
      </c>
      <c r="G1114" s="40" t="s">
        <v>743</v>
      </c>
      <c r="H1114" s="7" t="s">
        <v>1284</v>
      </c>
      <c r="I1114" s="305">
        <v>275</v>
      </c>
      <c r="J1114" s="803">
        <v>23028</v>
      </c>
      <c r="K1114" s="602">
        <f t="shared" si="435"/>
        <v>6332700</v>
      </c>
      <c r="L1114" s="39" t="s">
        <v>165</v>
      </c>
      <c r="M1114" s="603" t="s">
        <v>159</v>
      </c>
      <c r="N1114" s="39" t="str">
        <f>IF(AND('331-CT'!$E$7=TH!H1114,OR(L1114="331",M1114="331")),"331",IF(AND(OR(L1114="131",M1114="131"),H1114='131-CT'!$E$7),"131",""))</f>
        <v/>
      </c>
      <c r="O1114" s="39" t="str">
        <f>IF(AND($B1114&gt;='111'!$N$11,$B1114&lt;='111'!$O$11,OR($L1114=$O$7,$M1114=$O$7)),"x","")</f>
        <v/>
      </c>
      <c r="P1114" s="39" t="str">
        <f>IF(AND($L1114=$O$7,$B1114&lt;'111'!$N$11),"x","")</f>
        <v/>
      </c>
      <c r="Q1114" s="39" t="str">
        <f>IF(AND($M1114=$O$7,$B1114&lt;'111'!$N$11),"x","")</f>
        <v/>
      </c>
      <c r="R1114" s="39" t="str">
        <f>IF(ISERROR(FIND('112'!$M$9,G1114,1)),"",IF((AND(FIND('112'!$M$9,G1114,1)&gt;=1,$B1114&gt;='112'!$N$8,$B1114&lt;='112'!$O$8,OR($L1114='112'!$I$6,$M1114='112'!$I$6))),"x",""))</f>
        <v/>
      </c>
      <c r="S1114" s="39" t="str">
        <f>IF(ISERROR(FIND('112'!$M$9,G1114,1)),"",IF((AND(LEFT(G1114,2)=LEFT('112'!$M$9,2),B1114&lt;'112'!$N$8,$L1114='112'!$I$6)),"x",""))</f>
        <v/>
      </c>
      <c r="T1114" s="39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39" t="str">
        <f>IF(OR(TH!L1114=TH!$V$7,M1114=TH!$V$7),"x","")</f>
        <v/>
      </c>
      <c r="W1114" s="39" t="str">
        <f>IF(AND(B1114&gt;='IN-NX'!$P$3,B1114&lt;='IN-NX'!$Q$3,'IN-NX'!$D$7=D1114,OR(LEFT(L1114,2)="15",AND(LEFT(M1114,2)&lt;&gt;"15",LEFT(M1114,2)&lt;&gt;"33"))),"x","")</f>
        <v/>
      </c>
      <c r="X1114" s="39" t="str">
        <f>IF(AND(OR(LEFT(TH!L1114,2)="15",LEFT(TH!M1114,2)="15"),'152-CT'!$J$8=TH!F1114),"x","")</f>
        <v/>
      </c>
      <c r="Y1114" s="39" t="str">
        <f>IF(AND(OR(LEFT(TH!L1114,2)="15",LEFT(TH!M1114,2)="15"),TK!$E$7=TH!F1114),"x","")</f>
        <v/>
      </c>
      <c r="Z1114" s="39" t="str">
        <f>IF(AND(B1114&lt;=NKC!$N$8,B1114&gt;=NKC!$M$8),"x","")</f>
        <v/>
      </c>
      <c r="AA1114" s="883"/>
    </row>
    <row r="1115" spans="1:27" s="211" customFormat="1" ht="15.75" customHeight="1">
      <c r="A1115" s="204" t="str">
        <f>IF(B1115&lt;&gt;"",IF(AND(B1115&gt;=_TM1,B1115&lt;=_TM2,OR(TH!L1115="1111",TH!M1115="1111")),TH!D1115,""),"")</f>
        <v/>
      </c>
      <c r="B1115" s="36">
        <f t="shared" si="433"/>
        <v>1</v>
      </c>
      <c r="C1115" s="191">
        <f t="shared" si="434"/>
        <v>41289</v>
      </c>
      <c r="D1115" s="191" t="s">
        <v>1292</v>
      </c>
      <c r="E1115" s="37">
        <v>41289</v>
      </c>
      <c r="F1115" s="40" t="s">
        <v>1210</v>
      </c>
      <c r="G1115" s="40" t="s">
        <v>746</v>
      </c>
      <c r="H1115" s="7" t="s">
        <v>1284</v>
      </c>
      <c r="I1115" s="305">
        <v>120</v>
      </c>
      <c r="J1115" s="803">
        <v>23262</v>
      </c>
      <c r="K1115" s="602">
        <f t="shared" si="435"/>
        <v>2791440</v>
      </c>
      <c r="L1115" s="39" t="s">
        <v>165</v>
      </c>
      <c r="M1115" s="603" t="s">
        <v>159</v>
      </c>
      <c r="N1115" s="39" t="str">
        <f>IF(AND('331-CT'!$E$7=TH!H1115,OR(L1115="331",M1115="331")),"331",IF(AND(OR(L1115="131",M1115="131"),H1115='131-CT'!$E$7),"131",""))</f>
        <v/>
      </c>
      <c r="O1115" s="39" t="str">
        <f>IF(AND($B1115&gt;='111'!$N$11,$B1115&lt;='111'!$O$11,OR($L1115=$O$7,$M1115=$O$7)),"x","")</f>
        <v/>
      </c>
      <c r="P1115" s="39" t="str">
        <f>IF(AND($L1115=$O$7,$B1115&lt;'111'!$N$11),"x","")</f>
        <v/>
      </c>
      <c r="Q1115" s="39" t="str">
        <f>IF(AND($M1115=$O$7,$B1115&lt;'111'!$N$11),"x","")</f>
        <v/>
      </c>
      <c r="R1115" s="39" t="str">
        <f>IF(ISERROR(FIND('112'!$M$9,G1115,1)),"",IF((AND(FIND('112'!$M$9,G1115,1)&gt;=1,$B1115&gt;='112'!$N$8,$B1115&lt;='112'!$O$8,OR($L1115='112'!$I$6,$M1115='112'!$I$6))),"x",""))</f>
        <v/>
      </c>
      <c r="S1115" s="39" t="str">
        <f>IF(ISERROR(FIND('112'!$M$9,G1115,1)),"",IF((AND(LEFT(G1115,2)=LEFT('112'!$M$9,2),B1115&lt;'112'!$N$8,$L1115='112'!$I$6)),"x",""))</f>
        <v/>
      </c>
      <c r="T1115" s="39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39" t="str">
        <f>IF(OR(TH!L1115=TH!$V$7,M1115=TH!$V$7),"x","")</f>
        <v/>
      </c>
      <c r="W1115" s="39" t="str">
        <f>IF(AND(B1115&gt;='IN-NX'!$P$3,B1115&lt;='IN-NX'!$Q$3,'IN-NX'!$D$7=D1115,OR(LEFT(L1115,2)="15",AND(LEFT(M1115,2)&lt;&gt;"15",LEFT(M1115,2)&lt;&gt;"33"))),"x","")</f>
        <v/>
      </c>
      <c r="X1115" s="39" t="str">
        <f>IF(AND(OR(LEFT(TH!L1115,2)="15",LEFT(TH!M1115,2)="15"),'152-CT'!$J$8=TH!F1115),"x","")</f>
        <v/>
      </c>
      <c r="Y1115" s="39" t="str">
        <f>IF(AND(OR(LEFT(TH!L1115,2)="15",LEFT(TH!M1115,2)="15"),TK!$E$7=TH!F1115),"x","")</f>
        <v/>
      </c>
      <c r="Z1115" s="39" t="str">
        <f>IF(AND(B1115&lt;=NKC!$N$8,B1115&gt;=NKC!$M$8),"x","")</f>
        <v/>
      </c>
      <c r="AA1115" s="883"/>
    </row>
    <row r="1116" spans="1:27" s="211" customFormat="1" ht="15.75" customHeight="1">
      <c r="A1116" s="204" t="str">
        <f>IF(B1116&lt;&gt;"",IF(AND(B1116&gt;=_TM1,B1116&lt;=_TM2,OR(TH!L1116="1111",TH!M1116="1111")),TH!D1116,""),"")</f>
        <v/>
      </c>
      <c r="B1116" s="36">
        <f t="shared" si="433"/>
        <v>1</v>
      </c>
      <c r="C1116" s="191">
        <f t="shared" si="434"/>
        <v>41289</v>
      </c>
      <c r="D1116" s="191" t="s">
        <v>1292</v>
      </c>
      <c r="E1116" s="37">
        <v>41289</v>
      </c>
      <c r="F1116" s="295" t="s">
        <v>681</v>
      </c>
      <c r="G1116" s="40" t="s">
        <v>748</v>
      </c>
      <c r="H1116" s="7" t="s">
        <v>1284</v>
      </c>
      <c r="I1116" s="305">
        <v>400</v>
      </c>
      <c r="J1116" s="801">
        <v>11197</v>
      </c>
      <c r="K1116" s="602">
        <f t="shared" si="435"/>
        <v>4478800</v>
      </c>
      <c r="L1116" s="39" t="s">
        <v>165</v>
      </c>
      <c r="M1116" s="603" t="s">
        <v>159</v>
      </c>
      <c r="N1116" s="39" t="str">
        <f>IF(AND('331-CT'!$E$7=TH!H1116,OR(L1116="331",M1116="331")),"331",IF(AND(OR(L1116="131",M1116="131"),H1116='131-CT'!$E$7),"131",""))</f>
        <v/>
      </c>
      <c r="O1116" s="39" t="str">
        <f>IF(AND($B1116&gt;='111'!$N$11,$B1116&lt;='111'!$O$11,OR($L1116=$O$7,$M1116=$O$7)),"x","")</f>
        <v/>
      </c>
      <c r="P1116" s="39" t="str">
        <f>IF(AND($L1116=$O$7,$B1116&lt;'111'!$N$11),"x","")</f>
        <v/>
      </c>
      <c r="Q1116" s="39" t="str">
        <f>IF(AND($M1116=$O$7,$B1116&lt;'111'!$N$11),"x","")</f>
        <v/>
      </c>
      <c r="R1116" s="39" t="str">
        <f>IF(ISERROR(FIND('112'!$M$9,G1116,1)),"",IF((AND(FIND('112'!$M$9,G1116,1)&gt;=1,$B1116&gt;='112'!$N$8,$B1116&lt;='112'!$O$8,OR($L1116='112'!$I$6,$M1116='112'!$I$6))),"x",""))</f>
        <v/>
      </c>
      <c r="S1116" s="39" t="str">
        <f>IF(ISERROR(FIND('112'!$M$9,G1116,1)),"",IF((AND(LEFT(G1116,2)=LEFT('112'!$M$9,2),B1116&lt;'112'!$N$8,$L1116='112'!$I$6)),"x",""))</f>
        <v/>
      </c>
      <c r="T1116" s="39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39" t="str">
        <f>IF(OR(TH!L1116=TH!$V$7,M1116=TH!$V$7),"x","")</f>
        <v/>
      </c>
      <c r="W1116" s="39" t="str">
        <f>IF(AND(B1116&gt;='IN-NX'!$P$3,B1116&lt;='IN-NX'!$Q$3,'IN-NX'!$D$7=D1116,OR(LEFT(L1116,2)="15",AND(LEFT(M1116,2)&lt;&gt;"15",LEFT(M1116,2)&lt;&gt;"33"))),"x","")</f>
        <v/>
      </c>
      <c r="X1116" s="39" t="str">
        <f>IF(AND(OR(LEFT(TH!L1116,2)="15",LEFT(TH!M1116,2)="15"),'152-CT'!$J$8=TH!F1116),"x","")</f>
        <v/>
      </c>
      <c r="Y1116" s="39" t="str">
        <f>IF(AND(OR(LEFT(TH!L1116,2)="15",LEFT(TH!M1116,2)="15"),TK!$E$7=TH!F1116),"x","")</f>
        <v/>
      </c>
      <c r="Z1116" s="39" t="str">
        <f>IF(AND(B1116&lt;=NKC!$N$8,B1116&gt;=NKC!$M$8),"x","")</f>
        <v/>
      </c>
      <c r="AA1116" s="883"/>
    </row>
    <row r="1117" spans="1:27" s="211" customFormat="1" ht="15.75" customHeight="1">
      <c r="A1117" s="204" t="str">
        <f>IF(B1117&lt;&gt;"",IF(AND(B1117&gt;=_TM1,B1117&lt;=_TM2,OR(TH!L1117="1111",TH!M1117="1111")),TH!D1117,""),"")</f>
        <v/>
      </c>
      <c r="B1117" s="36">
        <f t="shared" si="433"/>
        <v>1</v>
      </c>
      <c r="C1117" s="191">
        <f t="shared" si="434"/>
        <v>41289</v>
      </c>
      <c r="D1117" s="191" t="s">
        <v>1292</v>
      </c>
      <c r="E1117" s="37">
        <v>41289</v>
      </c>
      <c r="F1117" s="40" t="s">
        <v>1201</v>
      </c>
      <c r="G1117" s="40" t="s">
        <v>748</v>
      </c>
      <c r="H1117" s="7" t="s">
        <v>1284</v>
      </c>
      <c r="I1117" s="305">
        <v>100</v>
      </c>
      <c r="J1117" s="803">
        <v>11889</v>
      </c>
      <c r="K1117" s="602">
        <f t="shared" si="435"/>
        <v>1188900</v>
      </c>
      <c r="L1117" s="39" t="s">
        <v>165</v>
      </c>
      <c r="M1117" s="603" t="s">
        <v>159</v>
      </c>
      <c r="N1117" s="39" t="str">
        <f>IF(AND('331-CT'!$E$7=TH!H1117,OR(L1117="331",M1117="331")),"331",IF(AND(OR(L1117="131",M1117="131"),H1117='131-CT'!$E$7),"131",""))</f>
        <v/>
      </c>
      <c r="O1117" s="39" t="str">
        <f>IF(AND($B1117&gt;='111'!$N$11,$B1117&lt;='111'!$O$11,OR($L1117=$O$7,$M1117=$O$7)),"x","")</f>
        <v/>
      </c>
      <c r="P1117" s="39" t="str">
        <f>IF(AND($L1117=$O$7,$B1117&lt;'111'!$N$11),"x","")</f>
        <v/>
      </c>
      <c r="Q1117" s="39" t="str">
        <f>IF(AND($M1117=$O$7,$B1117&lt;'111'!$N$11),"x","")</f>
        <v/>
      </c>
      <c r="R1117" s="39" t="str">
        <f>IF(ISERROR(FIND('112'!$M$9,G1117,1)),"",IF((AND(FIND('112'!$M$9,G1117,1)&gt;=1,$B1117&gt;='112'!$N$8,$B1117&lt;='112'!$O$8,OR($L1117='112'!$I$6,$M1117='112'!$I$6))),"x",""))</f>
        <v/>
      </c>
      <c r="S1117" s="39" t="str">
        <f>IF(ISERROR(FIND('112'!$M$9,G1117,1)),"",IF((AND(LEFT(G1117,2)=LEFT('112'!$M$9,2),B1117&lt;'112'!$N$8,$L1117='112'!$I$6)),"x",""))</f>
        <v/>
      </c>
      <c r="T1117" s="39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39" t="str">
        <f>IF(OR(TH!L1117=TH!$V$7,M1117=TH!$V$7),"x","")</f>
        <v/>
      </c>
      <c r="W1117" s="39" t="str">
        <f>IF(AND(B1117&gt;='IN-NX'!$P$3,B1117&lt;='IN-NX'!$Q$3,'IN-NX'!$D$7=D1117,OR(LEFT(L1117,2)="15",AND(LEFT(M1117,2)&lt;&gt;"15",LEFT(M1117,2)&lt;&gt;"33"))),"x","")</f>
        <v/>
      </c>
      <c r="X1117" s="39" t="str">
        <f>IF(AND(OR(LEFT(TH!L1117,2)="15",LEFT(TH!M1117,2)="15"),'152-CT'!$J$8=TH!F1117),"x","")</f>
        <v/>
      </c>
      <c r="Y1117" s="39" t="str">
        <f>IF(AND(OR(LEFT(TH!L1117,2)="15",LEFT(TH!M1117,2)="15"),TK!$E$7=TH!F1117),"x","")</f>
        <v/>
      </c>
      <c r="Z1117" s="39" t="str">
        <f>IF(AND(B1117&lt;=NKC!$N$8,B1117&gt;=NKC!$M$8),"x","")</f>
        <v/>
      </c>
      <c r="AA1117" s="883"/>
    </row>
    <row r="1118" spans="1:27" s="211" customFormat="1" ht="15.75" customHeight="1">
      <c r="A1118" s="204" t="str">
        <f>IF(B1118&lt;&gt;"",IF(AND(B1118&gt;=_TM1,B1118&lt;=_TM2,OR(TH!L1118="1111",TH!M1118="1111")),TH!D1118,""),"")</f>
        <v/>
      </c>
      <c r="B1118" s="36">
        <f t="shared" si="433"/>
        <v>1</v>
      </c>
      <c r="C1118" s="191">
        <f t="shared" si="434"/>
        <v>41290</v>
      </c>
      <c r="D1118" s="191" t="s">
        <v>1292</v>
      </c>
      <c r="E1118" s="37">
        <v>41290</v>
      </c>
      <c r="F1118" s="189" t="s">
        <v>1202</v>
      </c>
      <c r="G1118" s="40" t="s">
        <v>751</v>
      </c>
      <c r="H1118" s="7" t="s">
        <v>1284</v>
      </c>
      <c r="I1118" s="305">
        <v>175</v>
      </c>
      <c r="J1118" s="803">
        <v>19888.768115942028</v>
      </c>
      <c r="K1118" s="602">
        <f t="shared" si="435"/>
        <v>3480534</v>
      </c>
      <c r="L1118" s="39" t="s">
        <v>165</v>
      </c>
      <c r="M1118" s="603" t="s">
        <v>159</v>
      </c>
      <c r="N1118" s="39" t="str">
        <f>IF(AND('331-CT'!$E$7=TH!H1118,OR(L1118="331",M1118="331")),"331",IF(AND(OR(L1118="131",M1118="131"),H1118='131-CT'!$E$7),"131",""))</f>
        <v/>
      </c>
      <c r="O1118" s="39" t="str">
        <f>IF(AND($B1118&gt;='111'!$N$11,$B1118&lt;='111'!$O$11,OR($L1118=$O$7,$M1118=$O$7)),"x","")</f>
        <v/>
      </c>
      <c r="P1118" s="39" t="str">
        <f>IF(AND($L1118=$O$7,$B1118&lt;'111'!$N$11),"x","")</f>
        <v/>
      </c>
      <c r="Q1118" s="39" t="str">
        <f>IF(AND($M1118=$O$7,$B1118&lt;'111'!$N$11),"x","")</f>
        <v/>
      </c>
      <c r="R1118" s="39" t="str">
        <f>IF(ISERROR(FIND('112'!$M$9,G1118,1)),"",IF((AND(FIND('112'!$M$9,G1118,1)&gt;=1,$B1118&gt;='112'!$N$8,$B1118&lt;='112'!$O$8,OR($L1118='112'!$I$6,$M1118='112'!$I$6))),"x",""))</f>
        <v/>
      </c>
      <c r="S1118" s="39" t="str">
        <f>IF(ISERROR(FIND('112'!$M$9,G1118,1)),"",IF((AND(LEFT(G1118,2)=LEFT('112'!$M$9,2),B1118&lt;'112'!$N$8,$L1118='112'!$I$6)),"x",""))</f>
        <v/>
      </c>
      <c r="T1118" s="39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39" t="str">
        <f>IF(OR(TH!L1118=TH!$V$7,M1118=TH!$V$7),"x","")</f>
        <v/>
      </c>
      <c r="W1118" s="39" t="str">
        <f>IF(AND(B1118&gt;='IN-NX'!$P$3,B1118&lt;='IN-NX'!$Q$3,'IN-NX'!$D$7=D1118,OR(LEFT(L1118,2)="15",AND(LEFT(M1118,2)&lt;&gt;"15",LEFT(M1118,2)&lt;&gt;"33"))),"x","")</f>
        <v/>
      </c>
      <c r="X1118" s="39" t="str">
        <f>IF(AND(OR(LEFT(TH!L1118,2)="15",LEFT(TH!M1118,2)="15"),'152-CT'!$J$8=TH!F1118),"x","")</f>
        <v/>
      </c>
      <c r="Y1118" s="39" t="str">
        <f>IF(AND(OR(LEFT(TH!L1118,2)="15",LEFT(TH!M1118,2)="15"),TK!$E$7=TH!F1118),"x","")</f>
        <v/>
      </c>
      <c r="Z1118" s="39" t="str">
        <f>IF(AND(B1118&lt;=NKC!$N$8,B1118&gt;=NKC!$M$8),"x","")</f>
        <v/>
      </c>
      <c r="AA1118" s="883"/>
    </row>
    <row r="1119" spans="1:27" s="211" customFormat="1" ht="15.75" customHeight="1">
      <c r="A1119" s="204" t="str">
        <f>IF(B1119&lt;&gt;"",IF(AND(B1119&gt;=_TM1,B1119&lt;=_TM2,OR(TH!L1119="1111",TH!M1119="1111")),TH!D1119,""),"")</f>
        <v/>
      </c>
      <c r="B1119" s="36">
        <f t="shared" si="433"/>
        <v>1</v>
      </c>
      <c r="C1119" s="191">
        <f t="shared" si="434"/>
        <v>41290</v>
      </c>
      <c r="D1119" s="191" t="s">
        <v>1292</v>
      </c>
      <c r="E1119" s="37">
        <v>41290</v>
      </c>
      <c r="F1119" s="189" t="s">
        <v>1189</v>
      </c>
      <c r="G1119" s="40" t="s">
        <v>751</v>
      </c>
      <c r="H1119" s="7" t="s">
        <v>1284</v>
      </c>
      <c r="I1119" s="305">
        <v>100</v>
      </c>
      <c r="J1119" s="803">
        <v>6783</v>
      </c>
      <c r="K1119" s="602">
        <f t="shared" si="435"/>
        <v>678300</v>
      </c>
      <c r="L1119" s="39" t="s">
        <v>165</v>
      </c>
      <c r="M1119" s="603" t="s">
        <v>159</v>
      </c>
      <c r="N1119" s="39" t="str">
        <f>IF(AND('331-CT'!$E$7=TH!H1119,OR(L1119="331",M1119="331")),"331",IF(AND(OR(L1119="131",M1119="131"),H1119='131-CT'!$E$7),"131",""))</f>
        <v/>
      </c>
      <c r="O1119" s="39" t="str">
        <f>IF(AND($B1119&gt;='111'!$N$11,$B1119&lt;='111'!$O$11,OR($L1119=$O$7,$M1119=$O$7)),"x","")</f>
        <v/>
      </c>
      <c r="P1119" s="39" t="str">
        <f>IF(AND($L1119=$O$7,$B1119&lt;'111'!$N$11),"x","")</f>
        <v/>
      </c>
      <c r="Q1119" s="39" t="str">
        <f>IF(AND($M1119=$O$7,$B1119&lt;'111'!$N$11),"x","")</f>
        <v/>
      </c>
      <c r="R1119" s="39" t="str">
        <f>IF(ISERROR(FIND('112'!$M$9,G1119,1)),"",IF((AND(FIND('112'!$M$9,G1119,1)&gt;=1,$B1119&gt;='112'!$N$8,$B1119&lt;='112'!$O$8,OR($L1119='112'!$I$6,$M1119='112'!$I$6))),"x",""))</f>
        <v/>
      </c>
      <c r="S1119" s="39" t="str">
        <f>IF(ISERROR(FIND('112'!$M$9,G1119,1)),"",IF((AND(LEFT(G1119,2)=LEFT('112'!$M$9,2),B1119&lt;'112'!$N$8,$L1119='112'!$I$6)),"x",""))</f>
        <v/>
      </c>
      <c r="T1119" s="39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39" t="str">
        <f>IF(OR(TH!L1119=TH!$V$7,M1119=TH!$V$7),"x","")</f>
        <v/>
      </c>
      <c r="W1119" s="39" t="str">
        <f>IF(AND(B1119&gt;='IN-NX'!$P$3,B1119&lt;='IN-NX'!$Q$3,'IN-NX'!$D$7=D1119,OR(LEFT(L1119,2)="15",AND(LEFT(M1119,2)&lt;&gt;"15",LEFT(M1119,2)&lt;&gt;"33"))),"x","")</f>
        <v/>
      </c>
      <c r="X1119" s="39" t="str">
        <f>IF(AND(OR(LEFT(TH!L1119,2)="15",LEFT(TH!M1119,2)="15"),'152-CT'!$J$8=TH!F1119),"x","")</f>
        <v/>
      </c>
      <c r="Y1119" s="39" t="str">
        <f>IF(AND(OR(LEFT(TH!L1119,2)="15",LEFT(TH!M1119,2)="15"),TK!$E$7=TH!F1119),"x","")</f>
        <v/>
      </c>
      <c r="Z1119" s="39" t="str">
        <f>IF(AND(B1119&lt;=NKC!$N$8,B1119&gt;=NKC!$M$8),"x","")</f>
        <v/>
      </c>
      <c r="AA1119" s="883"/>
    </row>
    <row r="1120" spans="1:27" s="211" customFormat="1" ht="15.75" customHeight="1">
      <c r="A1120" s="204" t="str">
        <f>IF(B1120&lt;&gt;"",IF(AND(B1120&gt;=_TM1,B1120&lt;=_TM2,OR(TH!L1120="1111",TH!M1120="1111")),TH!D1120,""),"")</f>
        <v/>
      </c>
      <c r="B1120" s="36">
        <f t="shared" si="433"/>
        <v>1</v>
      </c>
      <c r="C1120" s="191">
        <f t="shared" si="434"/>
        <v>41290</v>
      </c>
      <c r="D1120" s="191" t="s">
        <v>1292</v>
      </c>
      <c r="E1120" s="37">
        <v>41290</v>
      </c>
      <c r="F1120" s="189" t="s">
        <v>1202</v>
      </c>
      <c r="G1120" s="40" t="s">
        <v>751</v>
      </c>
      <c r="H1120" s="7" t="s">
        <v>1284</v>
      </c>
      <c r="I1120" s="305">
        <v>280</v>
      </c>
      <c r="J1120" s="803">
        <v>19888.768115942028</v>
      </c>
      <c r="K1120" s="602">
        <f t="shared" si="435"/>
        <v>5568855</v>
      </c>
      <c r="L1120" s="39" t="s">
        <v>165</v>
      </c>
      <c r="M1120" s="603" t="s">
        <v>159</v>
      </c>
      <c r="N1120" s="39" t="str">
        <f>IF(AND('331-CT'!$E$7=TH!H1120,OR(L1120="331",M1120="331")),"331",IF(AND(OR(L1120="131",M1120="131"),H1120='131-CT'!$E$7),"131",""))</f>
        <v/>
      </c>
      <c r="O1120" s="39" t="str">
        <f>IF(AND($B1120&gt;='111'!$N$11,$B1120&lt;='111'!$O$11,OR($L1120=$O$7,$M1120=$O$7)),"x","")</f>
        <v/>
      </c>
      <c r="P1120" s="39" t="str">
        <f>IF(AND($L1120=$O$7,$B1120&lt;'111'!$N$11),"x","")</f>
        <v/>
      </c>
      <c r="Q1120" s="39" t="str">
        <f>IF(AND($M1120=$O$7,$B1120&lt;'111'!$N$11),"x","")</f>
        <v/>
      </c>
      <c r="R1120" s="39" t="str">
        <f>IF(ISERROR(FIND('112'!$M$9,G1120,1)),"",IF((AND(FIND('112'!$M$9,G1120,1)&gt;=1,$B1120&gt;='112'!$N$8,$B1120&lt;='112'!$O$8,OR($L1120='112'!$I$6,$M1120='112'!$I$6))),"x",""))</f>
        <v/>
      </c>
      <c r="S1120" s="39" t="str">
        <f>IF(ISERROR(FIND('112'!$M$9,G1120,1)),"",IF((AND(LEFT(G1120,2)=LEFT('112'!$M$9,2),B1120&lt;'112'!$N$8,$L1120='112'!$I$6)),"x",""))</f>
        <v/>
      </c>
      <c r="T1120" s="39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39" t="str">
        <f>IF(OR(TH!L1120=TH!$V$7,M1120=TH!$V$7),"x","")</f>
        <v/>
      </c>
      <c r="W1120" s="39" t="str">
        <f>IF(AND(B1120&gt;='IN-NX'!$P$3,B1120&lt;='IN-NX'!$Q$3,'IN-NX'!$D$7=D1120,OR(LEFT(L1120,2)="15",AND(LEFT(M1120,2)&lt;&gt;"15",LEFT(M1120,2)&lt;&gt;"33"))),"x","")</f>
        <v/>
      </c>
      <c r="X1120" s="39" t="str">
        <f>IF(AND(OR(LEFT(TH!L1120,2)="15",LEFT(TH!M1120,2)="15"),'152-CT'!$J$8=TH!F1120),"x","")</f>
        <v/>
      </c>
      <c r="Y1120" s="39" t="str">
        <f>IF(AND(OR(LEFT(TH!L1120,2)="15",LEFT(TH!M1120,2)="15"),TK!$E$7=TH!F1120),"x","")</f>
        <v/>
      </c>
      <c r="Z1120" s="39" t="str">
        <f>IF(AND(B1120&lt;=NKC!$N$8,B1120&gt;=NKC!$M$8),"x","")</f>
        <v/>
      </c>
      <c r="AA1120" s="883"/>
    </row>
    <row r="1121" spans="1:30" s="211" customFormat="1" ht="15.75" customHeight="1">
      <c r="A1121" s="204" t="str">
        <f>IF(B1121&lt;&gt;"",IF(AND(B1121&gt;=_TM1,B1121&lt;=_TM2,OR(TH!L1121="1111",TH!M1121="1111")),TH!D1121,""),"")</f>
        <v/>
      </c>
      <c r="B1121" s="36">
        <f t="shared" si="433"/>
        <v>1</v>
      </c>
      <c r="C1121" s="191">
        <f t="shared" si="434"/>
        <v>41290</v>
      </c>
      <c r="D1121" s="191" t="s">
        <v>1292</v>
      </c>
      <c r="E1121" s="37">
        <v>41290</v>
      </c>
      <c r="F1121" s="189" t="s">
        <v>1219</v>
      </c>
      <c r="G1121" s="40" t="s">
        <v>751</v>
      </c>
      <c r="H1121" s="7" t="s">
        <v>1284</v>
      </c>
      <c r="I1121" s="305">
        <v>300</v>
      </c>
      <c r="J1121" s="803">
        <v>10302</v>
      </c>
      <c r="K1121" s="602">
        <f t="shared" si="435"/>
        <v>3090600</v>
      </c>
      <c r="L1121" s="39" t="s">
        <v>165</v>
      </c>
      <c r="M1121" s="603" t="s">
        <v>159</v>
      </c>
      <c r="N1121" s="39" t="str">
        <f>IF(AND('331-CT'!$E$7=TH!H1121,OR(L1121="331",M1121="331")),"331",IF(AND(OR(L1121="131",M1121="131"),H1121='131-CT'!$E$7),"131",""))</f>
        <v/>
      </c>
      <c r="O1121" s="39" t="str">
        <f>IF(AND($B1121&gt;='111'!$N$11,$B1121&lt;='111'!$O$11,OR($L1121=$O$7,$M1121=$O$7)),"x","")</f>
        <v/>
      </c>
      <c r="P1121" s="39" t="str">
        <f>IF(AND($L1121=$O$7,$B1121&lt;'111'!$N$11),"x","")</f>
        <v/>
      </c>
      <c r="Q1121" s="39" t="str">
        <f>IF(AND($M1121=$O$7,$B1121&lt;'111'!$N$11),"x","")</f>
        <v/>
      </c>
      <c r="R1121" s="39" t="str">
        <f>IF(ISERROR(FIND('112'!$M$9,G1121,1)),"",IF((AND(FIND('112'!$M$9,G1121,1)&gt;=1,$B1121&gt;='112'!$N$8,$B1121&lt;='112'!$O$8,OR($L1121='112'!$I$6,$M1121='112'!$I$6))),"x",""))</f>
        <v/>
      </c>
      <c r="S1121" s="39" t="str">
        <f>IF(ISERROR(FIND('112'!$M$9,G1121,1)),"",IF((AND(LEFT(G1121,2)=LEFT('112'!$M$9,2),B1121&lt;'112'!$N$8,$L1121='112'!$I$6)),"x",""))</f>
        <v/>
      </c>
      <c r="T1121" s="39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39" t="str">
        <f>IF(OR(TH!L1121=TH!$V$7,M1121=TH!$V$7),"x","")</f>
        <v/>
      </c>
      <c r="W1121" s="39" t="str">
        <f>IF(AND(B1121&gt;='IN-NX'!$P$3,B1121&lt;='IN-NX'!$Q$3,'IN-NX'!$D$7=D1121,OR(LEFT(L1121,2)="15",AND(LEFT(M1121,2)&lt;&gt;"15",LEFT(M1121,2)&lt;&gt;"33"))),"x","")</f>
        <v/>
      </c>
      <c r="X1121" s="39" t="str">
        <f>IF(AND(OR(LEFT(TH!L1121,2)="15",LEFT(TH!M1121,2)="15"),'152-CT'!$J$8=TH!F1121),"x","")</f>
        <v/>
      </c>
      <c r="Y1121" s="39" t="str">
        <f>IF(AND(OR(LEFT(TH!L1121,2)="15",LEFT(TH!M1121,2)="15"),TK!$E$7=TH!F1121),"x","")</f>
        <v/>
      </c>
      <c r="Z1121" s="39" t="str">
        <f>IF(AND(B1121&lt;=NKC!$N$8,B1121&gt;=NKC!$M$8),"x","")</f>
        <v/>
      </c>
      <c r="AA1121" s="883"/>
    </row>
    <row r="1122" spans="1:30" s="211" customFormat="1" ht="15.75" customHeight="1">
      <c r="A1122" s="204" t="str">
        <f>IF(B1122&lt;&gt;"",IF(AND(B1122&gt;=_TM1,B1122&lt;=_TM2,OR(TH!L1122="1111",TH!M1122="1111")),TH!D1122,""),"")</f>
        <v/>
      </c>
      <c r="B1122" s="36">
        <f t="shared" si="433"/>
        <v>1</v>
      </c>
      <c r="C1122" s="191">
        <f t="shared" si="434"/>
        <v>41294</v>
      </c>
      <c r="D1122" s="191" t="s">
        <v>1292</v>
      </c>
      <c r="E1122" s="37">
        <v>41294</v>
      </c>
      <c r="F1122" s="192" t="s">
        <v>1223</v>
      </c>
      <c r="G1122" s="40" t="s">
        <v>756</v>
      </c>
      <c r="H1122" s="7" t="s">
        <v>1284</v>
      </c>
      <c r="I1122" s="305">
        <v>355</v>
      </c>
      <c r="J1122" s="845">
        <v>10775</v>
      </c>
      <c r="K1122" s="602">
        <f t="shared" si="435"/>
        <v>3825125</v>
      </c>
      <c r="L1122" s="39" t="s">
        <v>165</v>
      </c>
      <c r="M1122" s="603" t="s">
        <v>159</v>
      </c>
      <c r="N1122" s="39" t="str">
        <f>IF(AND('331-CT'!$E$7=TH!H1122,OR(L1122="331",M1122="331")),"331",IF(AND(OR(L1122="131",M1122="131"),H1122='131-CT'!$E$7),"131",""))</f>
        <v/>
      </c>
      <c r="O1122" s="39" t="str">
        <f>IF(AND($B1122&gt;='111'!$N$11,$B1122&lt;='111'!$O$11,OR($L1122=$O$7,$M1122=$O$7)),"x","")</f>
        <v/>
      </c>
      <c r="P1122" s="39" t="str">
        <f>IF(AND($L1122=$O$7,$B1122&lt;'111'!$N$11),"x","")</f>
        <v/>
      </c>
      <c r="Q1122" s="39" t="str">
        <f>IF(AND($M1122=$O$7,$B1122&lt;'111'!$N$11),"x","")</f>
        <v/>
      </c>
      <c r="R1122" s="39" t="str">
        <f>IF(ISERROR(FIND('112'!$M$9,G1122,1)),"",IF((AND(FIND('112'!$M$9,G1122,1)&gt;=1,$B1122&gt;='112'!$N$8,$B1122&lt;='112'!$O$8,OR($L1122='112'!$I$6,$M1122='112'!$I$6))),"x",""))</f>
        <v/>
      </c>
      <c r="S1122" s="39" t="str">
        <f>IF(ISERROR(FIND('112'!$M$9,G1122,1)),"",IF((AND(LEFT(G1122,2)=LEFT('112'!$M$9,2),B1122&lt;'112'!$N$8,$L1122='112'!$I$6)),"x",""))</f>
        <v/>
      </c>
      <c r="T1122" s="39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39" t="str">
        <f>IF(OR(TH!L1122=TH!$V$7,M1122=TH!$V$7),"x","")</f>
        <v/>
      </c>
      <c r="W1122" s="39" t="str">
        <f>IF(AND(B1122&gt;='IN-NX'!$P$3,B1122&lt;='IN-NX'!$Q$3,'IN-NX'!$D$7=D1122,OR(LEFT(L1122,2)="15",AND(LEFT(M1122,2)&lt;&gt;"15",LEFT(M1122,2)&lt;&gt;"33"))),"x","")</f>
        <v/>
      </c>
      <c r="X1122" s="39" t="str">
        <f>IF(AND(OR(LEFT(TH!L1122,2)="15",LEFT(TH!M1122,2)="15"),'152-CT'!$J$8=TH!F1122),"x","")</f>
        <v/>
      </c>
      <c r="Y1122" s="39" t="str">
        <f>IF(AND(OR(LEFT(TH!L1122,2)="15",LEFT(TH!M1122,2)="15"),TK!$E$7=TH!F1122),"x","")</f>
        <v/>
      </c>
      <c r="Z1122" s="39" t="str">
        <f>IF(AND(B1122&lt;=NKC!$N$8,B1122&gt;=NKC!$M$8),"x","")</f>
        <v/>
      </c>
      <c r="AA1122" s="883"/>
    </row>
    <row r="1123" spans="1:30" s="211" customFormat="1" ht="15.75" customHeight="1">
      <c r="A1123" s="204" t="str">
        <f>IF(B1123&lt;&gt;"",IF(AND(B1123&gt;=_TM1,B1123&lt;=_TM2,OR(TH!L1123="1111",TH!M1123="1111")),TH!D1123,""),"")</f>
        <v/>
      </c>
      <c r="B1123" s="36">
        <f t="shared" si="433"/>
        <v>1</v>
      </c>
      <c r="C1123" s="191">
        <f t="shared" si="434"/>
        <v>41300</v>
      </c>
      <c r="D1123" s="191" t="s">
        <v>1292</v>
      </c>
      <c r="E1123" s="37">
        <v>41300</v>
      </c>
      <c r="F1123" s="189" t="s">
        <v>1223</v>
      </c>
      <c r="G1123" s="40" t="s">
        <v>757</v>
      </c>
      <c r="H1123" s="7" t="s">
        <v>1284</v>
      </c>
      <c r="I1123" s="305">
        <v>310</v>
      </c>
      <c r="J1123" s="801">
        <v>10775</v>
      </c>
      <c r="K1123" s="602">
        <f t="shared" si="435"/>
        <v>3340250</v>
      </c>
      <c r="L1123" s="39" t="s">
        <v>165</v>
      </c>
      <c r="M1123" s="603" t="s">
        <v>159</v>
      </c>
      <c r="N1123" s="39" t="str">
        <f>IF(AND('331-CT'!$E$7=TH!H1123,OR(L1123="331",M1123="331")),"331",IF(AND(OR(L1123="131",M1123="131"),H1123='131-CT'!$E$7),"131",""))</f>
        <v/>
      </c>
      <c r="O1123" s="39" t="str">
        <f>IF(AND($B1123&gt;='111'!$N$11,$B1123&lt;='111'!$O$11,OR($L1123=$O$7,$M1123=$O$7)),"x","")</f>
        <v/>
      </c>
      <c r="P1123" s="39" t="str">
        <f>IF(AND($L1123=$O$7,$B1123&lt;'111'!$N$11),"x","")</f>
        <v/>
      </c>
      <c r="Q1123" s="39" t="str">
        <f>IF(AND($M1123=$O$7,$B1123&lt;'111'!$N$11),"x","")</f>
        <v/>
      </c>
      <c r="R1123" s="39" t="str">
        <f>IF(ISERROR(FIND('112'!$M$9,G1123,1)),"",IF((AND(FIND('112'!$M$9,G1123,1)&gt;=1,$B1123&gt;='112'!$N$8,$B1123&lt;='112'!$O$8,OR($L1123='112'!$I$6,$M1123='112'!$I$6))),"x",""))</f>
        <v/>
      </c>
      <c r="S1123" s="39" t="str">
        <f>IF(ISERROR(FIND('112'!$M$9,G1123,1)),"",IF((AND(LEFT(G1123,2)=LEFT('112'!$M$9,2),B1123&lt;'112'!$N$8,$L1123='112'!$I$6)),"x",""))</f>
        <v/>
      </c>
      <c r="T1123" s="39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39" t="str">
        <f>IF(OR(TH!L1123=TH!$V$7,M1123=TH!$V$7),"x","")</f>
        <v/>
      </c>
      <c r="W1123" s="39" t="str">
        <f>IF(AND(B1123&gt;='IN-NX'!$P$3,B1123&lt;='IN-NX'!$Q$3,'IN-NX'!$D$7=D1123,OR(LEFT(L1123,2)="15",AND(LEFT(M1123,2)&lt;&gt;"15",LEFT(M1123,2)&lt;&gt;"33"))),"x","")</f>
        <v/>
      </c>
      <c r="X1123" s="39" t="str">
        <f>IF(AND(OR(LEFT(TH!L1123,2)="15",LEFT(TH!M1123,2)="15"),'152-CT'!$J$8=TH!F1123),"x","")</f>
        <v/>
      </c>
      <c r="Y1123" s="39" t="str">
        <f>IF(AND(OR(LEFT(TH!L1123,2)="15",LEFT(TH!M1123,2)="15"),TK!$E$7=TH!F1123),"x","")</f>
        <v/>
      </c>
      <c r="Z1123" s="39" t="str">
        <f>IF(AND(B1123&lt;=NKC!$N$8,B1123&gt;=NKC!$M$8),"x","")</f>
        <v/>
      </c>
      <c r="AA1123" s="883"/>
    </row>
    <row r="1124" spans="1:30" s="211" customFormat="1" ht="15.75" customHeight="1">
      <c r="A1124" s="204" t="str">
        <f>IF(B1124&lt;&gt;"",IF(AND(B1124&gt;=_TM1,B1124&lt;=_TM2,OR(TH!L1124="1111",TH!M1124="1111")),TH!D1124,""),"")</f>
        <v/>
      </c>
      <c r="B1124" s="36">
        <f t="shared" si="433"/>
        <v>1</v>
      </c>
      <c r="C1124" s="191">
        <f t="shared" si="434"/>
        <v>41300</v>
      </c>
      <c r="D1124" s="191" t="s">
        <v>1292</v>
      </c>
      <c r="E1124" s="37">
        <v>41300</v>
      </c>
      <c r="F1124" s="297" t="s">
        <v>1250</v>
      </c>
      <c r="G1124" s="40" t="s">
        <v>757</v>
      </c>
      <c r="H1124" s="7" t="s">
        <v>1284</v>
      </c>
      <c r="I1124" s="305">
        <v>100</v>
      </c>
      <c r="J1124" s="803">
        <v>22809</v>
      </c>
      <c r="K1124" s="602">
        <f t="shared" si="435"/>
        <v>2280900</v>
      </c>
      <c r="L1124" s="39" t="s">
        <v>165</v>
      </c>
      <c r="M1124" s="603" t="s">
        <v>159</v>
      </c>
      <c r="N1124" s="39" t="str">
        <f>IF(AND('331-CT'!$E$7=TH!H1124,OR(L1124="331",M1124="331")),"331",IF(AND(OR(L1124="131",M1124="131"),H1124='131-CT'!$E$7),"131",""))</f>
        <v/>
      </c>
      <c r="O1124" s="39" t="str">
        <f>IF(AND($B1124&gt;='111'!$N$11,$B1124&lt;='111'!$O$11,OR($L1124=$O$7,$M1124=$O$7)),"x","")</f>
        <v/>
      </c>
      <c r="P1124" s="39" t="str">
        <f>IF(AND($L1124=$O$7,$B1124&lt;'111'!$N$11),"x","")</f>
        <v/>
      </c>
      <c r="Q1124" s="39" t="str">
        <f>IF(AND($M1124=$O$7,$B1124&lt;'111'!$N$11),"x","")</f>
        <v/>
      </c>
      <c r="R1124" s="39" t="str">
        <f>IF(ISERROR(FIND('112'!$M$9,G1124,1)),"",IF((AND(FIND('112'!$M$9,G1124,1)&gt;=1,$B1124&gt;='112'!$N$8,$B1124&lt;='112'!$O$8,OR($L1124='112'!$I$6,$M1124='112'!$I$6))),"x",""))</f>
        <v/>
      </c>
      <c r="S1124" s="39" t="str">
        <f>IF(ISERROR(FIND('112'!$M$9,G1124,1)),"",IF((AND(LEFT(G1124,2)=LEFT('112'!$M$9,2),B1124&lt;'112'!$N$8,$L1124='112'!$I$6)),"x",""))</f>
        <v/>
      </c>
      <c r="T1124" s="39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39" t="str">
        <f>IF(OR(TH!L1124=TH!$V$7,M1124=TH!$V$7),"x","")</f>
        <v/>
      </c>
      <c r="W1124" s="39" t="str">
        <f>IF(AND(B1124&gt;='IN-NX'!$P$3,B1124&lt;='IN-NX'!$Q$3,'IN-NX'!$D$7=D1124,OR(LEFT(L1124,2)="15",AND(LEFT(M1124,2)&lt;&gt;"15",LEFT(M1124,2)&lt;&gt;"33"))),"x","")</f>
        <v/>
      </c>
      <c r="X1124" s="39" t="str">
        <f>IF(AND(OR(LEFT(TH!L1124,2)="15",LEFT(TH!M1124,2)="15"),'152-CT'!$J$8=TH!F1124),"x","")</f>
        <v/>
      </c>
      <c r="Y1124" s="39" t="str">
        <f>IF(AND(OR(LEFT(TH!L1124,2)="15",LEFT(TH!M1124,2)="15"),TK!$E$7=TH!F1124),"x","")</f>
        <v/>
      </c>
      <c r="Z1124" s="39" t="str">
        <f>IF(AND(B1124&lt;=NKC!$N$8,B1124&gt;=NKC!$M$8),"x","")</f>
        <v/>
      </c>
      <c r="AA1124" s="883"/>
    </row>
    <row r="1125" spans="1:30" s="211" customFormat="1" ht="15.75" customHeight="1">
      <c r="A1125" s="204" t="str">
        <f>IF(B1125&lt;&gt;"",IF(AND(B1125&gt;=_TM1,B1125&lt;=_TM2,OR(TH!L1125="1111",TH!M1125="1111")),TH!D1125,""),"")</f>
        <v/>
      </c>
      <c r="B1125" s="36">
        <f t="shared" si="433"/>
        <v>1</v>
      </c>
      <c r="C1125" s="191">
        <f t="shared" si="434"/>
        <v>41300</v>
      </c>
      <c r="D1125" s="191" t="s">
        <v>1292</v>
      </c>
      <c r="E1125" s="37">
        <v>41300</v>
      </c>
      <c r="F1125" s="189" t="s">
        <v>1202</v>
      </c>
      <c r="G1125" s="40" t="s">
        <v>759</v>
      </c>
      <c r="H1125" s="7" t="s">
        <v>1284</v>
      </c>
      <c r="I1125" s="305">
        <v>235</v>
      </c>
      <c r="J1125" s="823">
        <v>19888.768115942028</v>
      </c>
      <c r="K1125" s="602">
        <f t="shared" si="435"/>
        <v>4673861</v>
      </c>
      <c r="L1125" s="39" t="s">
        <v>165</v>
      </c>
      <c r="M1125" s="603" t="s">
        <v>159</v>
      </c>
      <c r="N1125" s="39" t="str">
        <f>IF(AND('331-CT'!$E$7=TH!H1125,OR(L1125="331",M1125="331")),"331",IF(AND(OR(L1125="131",M1125="131"),H1125='131-CT'!$E$7),"131",""))</f>
        <v/>
      </c>
      <c r="O1125" s="39" t="str">
        <f>IF(AND($B1125&gt;='111'!$N$11,$B1125&lt;='111'!$O$11,OR($L1125=$O$7,$M1125=$O$7)),"x","")</f>
        <v/>
      </c>
      <c r="P1125" s="39" t="str">
        <f>IF(AND($L1125=$O$7,$B1125&lt;'111'!$N$11),"x","")</f>
        <v/>
      </c>
      <c r="Q1125" s="39" t="str">
        <f>IF(AND($M1125=$O$7,$B1125&lt;'111'!$N$11),"x","")</f>
        <v/>
      </c>
      <c r="R1125" s="39" t="str">
        <f>IF(ISERROR(FIND('112'!$M$9,G1125,1)),"",IF((AND(FIND('112'!$M$9,G1125,1)&gt;=1,$B1125&gt;='112'!$N$8,$B1125&lt;='112'!$O$8,OR($L1125='112'!$I$6,$M1125='112'!$I$6))),"x",""))</f>
        <v/>
      </c>
      <c r="S1125" s="39" t="str">
        <f>IF(ISERROR(FIND('112'!$M$9,G1125,1)),"",IF((AND(LEFT(G1125,2)=LEFT('112'!$M$9,2),B1125&lt;'112'!$N$8,$L1125='112'!$I$6)),"x",""))</f>
        <v/>
      </c>
      <c r="T1125" s="39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39" t="str">
        <f>IF(OR(TH!L1125=TH!$V$7,M1125=TH!$V$7),"x","")</f>
        <v/>
      </c>
      <c r="W1125" s="39" t="str">
        <f>IF(AND(B1125&gt;='IN-NX'!$P$3,B1125&lt;='IN-NX'!$Q$3,'IN-NX'!$D$7=D1125,OR(LEFT(L1125,2)="15",AND(LEFT(M1125,2)&lt;&gt;"15",LEFT(M1125,2)&lt;&gt;"33"))),"x","")</f>
        <v/>
      </c>
      <c r="X1125" s="39" t="str">
        <f>IF(AND(OR(LEFT(TH!L1125,2)="15",LEFT(TH!M1125,2)="15"),'152-CT'!$J$8=TH!F1125),"x","")</f>
        <v/>
      </c>
      <c r="Y1125" s="39" t="str">
        <f>IF(AND(OR(LEFT(TH!L1125,2)="15",LEFT(TH!M1125,2)="15"),TK!$E$7=TH!F1125),"x","")</f>
        <v/>
      </c>
      <c r="Z1125" s="39" t="str">
        <f>IF(AND(B1125&lt;=NKC!$N$8,B1125&gt;=NKC!$M$8),"x","")</f>
        <v/>
      </c>
      <c r="AA1125" s="883"/>
    </row>
    <row r="1126" spans="1:30" s="211" customFormat="1" ht="15.75" customHeight="1">
      <c r="A1126" s="204" t="str">
        <f>IF(B1126&lt;&gt;"",IF(AND(B1126&gt;=_TM1,B1126&lt;=_TM2,OR(TH!L1126="1111",TH!M1126="1111")),TH!D1126,""),"")</f>
        <v/>
      </c>
      <c r="B1126" s="36">
        <f t="shared" si="433"/>
        <v>1</v>
      </c>
      <c r="C1126" s="191">
        <f t="shared" si="434"/>
        <v>41300</v>
      </c>
      <c r="D1126" s="191" t="s">
        <v>1292</v>
      </c>
      <c r="E1126" s="37">
        <v>41300</v>
      </c>
      <c r="F1126" s="297" t="s">
        <v>1223</v>
      </c>
      <c r="G1126" s="40" t="s">
        <v>760</v>
      </c>
      <c r="H1126" s="7" t="s">
        <v>1284</v>
      </c>
      <c r="I1126" s="305">
        <v>555</v>
      </c>
      <c r="J1126" s="801">
        <v>10775</v>
      </c>
      <c r="K1126" s="602">
        <f t="shared" si="435"/>
        <v>5980125</v>
      </c>
      <c r="L1126" s="39" t="s">
        <v>165</v>
      </c>
      <c r="M1126" s="603" t="s">
        <v>159</v>
      </c>
      <c r="N1126" s="39" t="str">
        <f>IF(AND('331-CT'!$E$7=TH!H1126,OR(L1126="331",M1126="331")),"331",IF(AND(OR(L1126="131",M1126="131"),H1126='131-CT'!$E$7),"131",""))</f>
        <v/>
      </c>
      <c r="O1126" s="39" t="str">
        <f>IF(AND($B1126&gt;='111'!$N$11,$B1126&lt;='111'!$O$11,OR($L1126=$O$7,$M1126=$O$7)),"x","")</f>
        <v/>
      </c>
      <c r="P1126" s="39" t="str">
        <f>IF(AND($L1126=$O$7,$B1126&lt;'111'!$N$11),"x","")</f>
        <v/>
      </c>
      <c r="Q1126" s="39" t="str">
        <f>IF(AND($M1126=$O$7,$B1126&lt;'111'!$N$11),"x","")</f>
        <v/>
      </c>
      <c r="R1126" s="39" t="str">
        <f>IF(ISERROR(FIND('112'!$M$9,G1126,1)),"",IF((AND(FIND('112'!$M$9,G1126,1)&gt;=1,$B1126&gt;='112'!$N$8,$B1126&lt;='112'!$O$8,OR($L1126='112'!$I$6,$M1126='112'!$I$6))),"x",""))</f>
        <v/>
      </c>
      <c r="S1126" s="39" t="str">
        <f>IF(ISERROR(FIND('112'!$M$9,G1126,1)),"",IF((AND(LEFT(G1126,2)=LEFT('112'!$M$9,2),B1126&lt;'112'!$N$8,$L1126='112'!$I$6)),"x",""))</f>
        <v/>
      </c>
      <c r="T1126" s="39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39" t="str">
        <f>IF(OR(TH!L1126=TH!$V$7,M1126=TH!$V$7),"x","")</f>
        <v/>
      </c>
      <c r="W1126" s="39" t="str">
        <f>IF(AND(B1126&gt;='IN-NX'!$P$3,B1126&lt;='IN-NX'!$Q$3,'IN-NX'!$D$7=D1126,OR(LEFT(L1126,2)="15",AND(LEFT(M1126,2)&lt;&gt;"15",LEFT(M1126,2)&lt;&gt;"33"))),"x","")</f>
        <v/>
      </c>
      <c r="X1126" s="39" t="str">
        <f>IF(AND(OR(LEFT(TH!L1126,2)="15",LEFT(TH!M1126,2)="15"),'152-CT'!$J$8=TH!F1126),"x","")</f>
        <v/>
      </c>
      <c r="Y1126" s="39" t="str">
        <f>IF(AND(OR(LEFT(TH!L1126,2)="15",LEFT(TH!M1126,2)="15"),TK!$E$7=TH!F1126),"x","")</f>
        <v/>
      </c>
      <c r="Z1126" s="39" t="str">
        <f>IF(AND(B1126&lt;=NKC!$N$8,B1126&gt;=NKC!$M$8),"x","")</f>
        <v/>
      </c>
      <c r="AA1126" s="883"/>
    </row>
    <row r="1127" spans="1:30" s="211" customFormat="1" ht="15.75" customHeight="1">
      <c r="A1127" s="204" t="str">
        <f>IF(B1127&lt;&gt;"",IF(AND(B1127&gt;=_TM1,B1127&lt;=_TM2,OR(TH!L1127="1111",TH!M1127="1111")),TH!D1127,""),"")</f>
        <v/>
      </c>
      <c r="B1127" s="36">
        <f t="shared" si="433"/>
        <v>1</v>
      </c>
      <c r="C1127" s="191">
        <f t="shared" si="434"/>
        <v>41302</v>
      </c>
      <c r="D1127" s="191" t="s">
        <v>1292</v>
      </c>
      <c r="E1127" s="37">
        <v>41302</v>
      </c>
      <c r="F1127" s="297" t="s">
        <v>1244</v>
      </c>
      <c r="G1127" s="40" t="s">
        <v>761</v>
      </c>
      <c r="H1127" s="7" t="s">
        <v>1284</v>
      </c>
      <c r="I1127" s="305">
        <v>470</v>
      </c>
      <c r="J1127" s="803">
        <v>22321</v>
      </c>
      <c r="K1127" s="602">
        <f t="shared" si="435"/>
        <v>10490870</v>
      </c>
      <c r="L1127" s="39" t="s">
        <v>165</v>
      </c>
      <c r="M1127" s="603" t="s">
        <v>159</v>
      </c>
      <c r="N1127" s="39" t="str">
        <f>IF(AND('331-CT'!$E$7=TH!H1127,OR(L1127="331",M1127="331")),"331",IF(AND(OR(L1127="131",M1127="131"),H1127='131-CT'!$E$7),"131",""))</f>
        <v/>
      </c>
      <c r="O1127" s="39" t="str">
        <f>IF(AND($B1127&gt;='111'!$N$11,$B1127&lt;='111'!$O$11,OR($L1127=$O$7,$M1127=$O$7)),"x","")</f>
        <v/>
      </c>
      <c r="P1127" s="39" t="str">
        <f>IF(AND($L1127=$O$7,$B1127&lt;'111'!$N$11),"x","")</f>
        <v/>
      </c>
      <c r="Q1127" s="39" t="str">
        <f>IF(AND($M1127=$O$7,$B1127&lt;'111'!$N$11),"x","")</f>
        <v/>
      </c>
      <c r="R1127" s="39" t="str">
        <f>IF(ISERROR(FIND('112'!$M$9,G1127,1)),"",IF((AND(FIND('112'!$M$9,G1127,1)&gt;=1,$B1127&gt;='112'!$N$8,$B1127&lt;='112'!$O$8,OR($L1127='112'!$I$6,$M1127='112'!$I$6))),"x",""))</f>
        <v/>
      </c>
      <c r="S1127" s="39" t="str">
        <f>IF(ISERROR(FIND('112'!$M$9,G1127,1)),"",IF((AND(LEFT(G1127,2)=LEFT('112'!$M$9,2),B1127&lt;'112'!$N$8,$L1127='112'!$I$6)),"x",""))</f>
        <v/>
      </c>
      <c r="T1127" s="39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39" t="str">
        <f>IF(OR(TH!L1127=TH!$V$7,M1127=TH!$V$7),"x","")</f>
        <v/>
      </c>
      <c r="W1127" s="39" t="str">
        <f>IF(AND(B1127&gt;='IN-NX'!$P$3,B1127&lt;='IN-NX'!$Q$3,'IN-NX'!$D$7=D1127,OR(LEFT(L1127,2)="15",AND(LEFT(M1127,2)&lt;&gt;"15",LEFT(M1127,2)&lt;&gt;"33"))),"x","")</f>
        <v/>
      </c>
      <c r="X1127" s="39" t="str">
        <f>IF(AND(OR(LEFT(TH!L1127,2)="15",LEFT(TH!M1127,2)="15"),'152-CT'!$J$8=TH!F1127),"x","")</f>
        <v/>
      </c>
      <c r="Y1127" s="39" t="str">
        <f>IF(AND(OR(LEFT(TH!L1127,2)="15",LEFT(TH!M1127,2)="15"),TK!$E$7=TH!F1127),"x","")</f>
        <v/>
      </c>
      <c r="Z1127" s="39" t="str">
        <f>IF(AND(B1127&lt;=NKC!$N$8,B1127&gt;=NKC!$M$8),"x","")</f>
        <v/>
      </c>
      <c r="AA1127" s="883"/>
    </row>
    <row r="1128" spans="1:30" s="211" customFormat="1" ht="15.75" customHeight="1">
      <c r="A1128" s="204" t="str">
        <f>IF(B1128&lt;&gt;"",IF(AND(B1128&gt;=_TM1,B1128&lt;=_TM2,OR(TH!L1128="1111",TH!M1128="1111")),TH!D1128,""),"")</f>
        <v/>
      </c>
      <c r="B1128" s="36">
        <f t="shared" ref="B1128:B1191" si="436">IF(C1128&lt;&gt;"",MONTH(C1128),"")</f>
        <v>1</v>
      </c>
      <c r="C1128" s="191">
        <f t="shared" si="434"/>
        <v>41302</v>
      </c>
      <c r="D1128" s="191" t="s">
        <v>1292</v>
      </c>
      <c r="E1128" s="37">
        <v>41302</v>
      </c>
      <c r="F1128" s="297" t="s">
        <v>608</v>
      </c>
      <c r="G1128" s="40" t="s">
        <v>763</v>
      </c>
      <c r="H1128" s="7" t="s">
        <v>1284</v>
      </c>
      <c r="I1128" s="305">
        <v>474</v>
      </c>
      <c r="J1128" s="803">
        <v>19270</v>
      </c>
      <c r="K1128" s="602">
        <f t="shared" si="435"/>
        <v>9133980</v>
      </c>
      <c r="L1128" s="39" t="s">
        <v>165</v>
      </c>
      <c r="M1128" s="603" t="s">
        <v>159</v>
      </c>
      <c r="N1128" s="39" t="str">
        <f>IF(AND('331-CT'!$E$7=TH!H1128,OR(L1128="331",M1128="331")),"331",IF(AND(OR(L1128="131",M1128="131"),H1128='131-CT'!$E$7),"131",""))</f>
        <v/>
      </c>
      <c r="O1128" s="39" t="str">
        <f>IF(AND($B1128&gt;='111'!$N$11,$B1128&lt;='111'!$O$11,OR($L1128=$O$7,$M1128=$O$7)),"x","")</f>
        <v/>
      </c>
      <c r="P1128" s="39" t="str">
        <f>IF(AND($L1128=$O$7,$B1128&lt;'111'!$N$11),"x","")</f>
        <v/>
      </c>
      <c r="Q1128" s="39" t="str">
        <f>IF(AND($M1128=$O$7,$B1128&lt;'111'!$N$11),"x","")</f>
        <v/>
      </c>
      <c r="R1128" s="39" t="str">
        <f>IF(ISERROR(FIND('112'!$M$9,G1128,1)),"",IF((AND(FIND('112'!$M$9,G1128,1)&gt;=1,$B1128&gt;='112'!$N$8,$B1128&lt;='112'!$O$8,OR($L1128='112'!$I$6,$M1128='112'!$I$6))),"x",""))</f>
        <v/>
      </c>
      <c r="S1128" s="39" t="str">
        <f>IF(ISERROR(FIND('112'!$M$9,G1128,1)),"",IF((AND(LEFT(G1128,2)=LEFT('112'!$M$9,2),B1128&lt;'112'!$N$8,$L1128='112'!$I$6)),"x",""))</f>
        <v/>
      </c>
      <c r="T1128" s="39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39" t="str">
        <f>IF(OR(TH!L1128=TH!$V$7,M1128=TH!$V$7),"x","")</f>
        <v/>
      </c>
      <c r="W1128" s="39" t="str">
        <f>IF(AND(B1128&gt;='IN-NX'!$P$3,B1128&lt;='IN-NX'!$Q$3,'IN-NX'!$D$7=D1128,OR(LEFT(L1128,2)="15",AND(LEFT(M1128,2)&lt;&gt;"15",LEFT(M1128,2)&lt;&gt;"33"))),"x","")</f>
        <v/>
      </c>
      <c r="X1128" s="39" t="str">
        <f>IF(AND(OR(LEFT(TH!L1128,2)="15",LEFT(TH!M1128,2)="15"),'152-CT'!$J$8=TH!F1128),"x","")</f>
        <v/>
      </c>
      <c r="Y1128" s="39" t="str">
        <f>IF(AND(OR(LEFT(TH!L1128,2)="15",LEFT(TH!M1128,2)="15"),TK!$E$7=TH!F1128),"x","")</f>
        <v/>
      </c>
      <c r="Z1128" s="39" t="str">
        <f>IF(AND(B1128&lt;=NKC!$N$8,B1128&gt;=NKC!$M$8),"x","")</f>
        <v/>
      </c>
      <c r="AA1128" s="883"/>
    </row>
    <row r="1129" spans="1:30" s="211" customFormat="1" ht="15.75" customHeight="1">
      <c r="A1129" s="204" t="str">
        <f>IF(B1129&lt;&gt;"",IF(AND(B1129&gt;=_TM1,B1129&lt;=_TM2,OR(TH!L1129="1111",TH!M1129="1111")),TH!D1129,""),"")</f>
        <v/>
      </c>
      <c r="B1129" s="36">
        <f t="shared" si="436"/>
        <v>2</v>
      </c>
      <c r="C1129" s="191">
        <f t="shared" si="434"/>
        <v>41325</v>
      </c>
      <c r="D1129" s="191" t="s">
        <v>1292</v>
      </c>
      <c r="E1129" s="37">
        <v>41325</v>
      </c>
      <c r="F1129" s="40" t="s">
        <v>1183</v>
      </c>
      <c r="G1129" s="40" t="s">
        <v>765</v>
      </c>
      <c r="H1129" s="7" t="s">
        <v>1284</v>
      </c>
      <c r="I1129" s="305">
        <v>312</v>
      </c>
      <c r="J1129" s="803">
        <v>10681.535256410256</v>
      </c>
      <c r="K1129" s="602">
        <f t="shared" si="435"/>
        <v>3332639</v>
      </c>
      <c r="L1129" s="39" t="s">
        <v>165</v>
      </c>
      <c r="M1129" s="603" t="s">
        <v>159</v>
      </c>
      <c r="N1129" s="39" t="str">
        <f>IF(AND('331-CT'!$E$7=TH!H1129,OR(L1129="331",M1129="331")),"331",IF(AND(OR(L1129="131",M1129="131"),H1129='131-CT'!$E$7),"131",""))</f>
        <v/>
      </c>
      <c r="O1129" s="39" t="str">
        <f>IF(AND($B1129&gt;='111'!$N$11,$B1129&lt;='111'!$O$11,OR($L1129=$O$7,$M1129=$O$7)),"x","")</f>
        <v/>
      </c>
      <c r="P1129" s="39" t="str">
        <f>IF(AND($L1129=$O$7,$B1129&lt;'111'!$N$11),"x","")</f>
        <v/>
      </c>
      <c r="Q1129" s="39" t="str">
        <f>IF(AND($M1129=$O$7,$B1129&lt;'111'!$N$11),"x","")</f>
        <v/>
      </c>
      <c r="R1129" s="39" t="str">
        <f>IF(ISERROR(FIND('112'!$M$9,G1129,1)),"",IF((AND(FIND('112'!$M$9,G1129,1)&gt;=1,$B1129&gt;='112'!$N$8,$B1129&lt;='112'!$O$8,OR($L1129='112'!$I$6,$M1129='112'!$I$6))),"x",""))</f>
        <v/>
      </c>
      <c r="S1129" s="39" t="str">
        <f>IF(ISERROR(FIND('112'!$M$9,G1129,1)),"",IF((AND(LEFT(G1129,2)=LEFT('112'!$M$9,2),B1129&lt;'112'!$N$8,$L1129='112'!$I$6)),"x",""))</f>
        <v/>
      </c>
      <c r="T1129" s="39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39" t="str">
        <f>IF(OR(TH!L1129=TH!$V$7,M1129=TH!$V$7),"x","")</f>
        <v/>
      </c>
      <c r="W1129" s="39" t="str">
        <f>IF(AND(B1129&gt;='IN-NX'!$P$3,B1129&lt;='IN-NX'!$Q$3,'IN-NX'!$D$7=D1129,OR(LEFT(L1129,2)="15",AND(LEFT(M1129,2)&lt;&gt;"15",LEFT(M1129,2)&lt;&gt;"33"))),"x","")</f>
        <v/>
      </c>
      <c r="X1129" s="39" t="str">
        <f>IF(AND(OR(LEFT(TH!L1129,2)="15",LEFT(TH!M1129,2)="15"),'152-CT'!$J$8=TH!F1129),"x","")</f>
        <v/>
      </c>
      <c r="Y1129" s="39" t="str">
        <f>IF(AND(OR(LEFT(TH!L1129,2)="15",LEFT(TH!M1129,2)="15"),TK!$E$7=TH!F1129),"x","")</f>
        <v/>
      </c>
      <c r="Z1129" s="39" t="str">
        <f>IF(AND(B1129&lt;=NKC!$N$8,B1129&gt;=NKC!$M$8),"x","")</f>
        <v/>
      </c>
      <c r="AA1129" s="883"/>
    </row>
    <row r="1130" spans="1:30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436"/>
        <v>3</v>
      </c>
      <c r="C1130" s="191">
        <f t="shared" si="434"/>
        <v>41334</v>
      </c>
      <c r="D1130" s="191" t="s">
        <v>1292</v>
      </c>
      <c r="E1130" s="37">
        <v>41334</v>
      </c>
      <c r="F1130" s="297" t="s">
        <v>1217</v>
      </c>
      <c r="G1130" s="40" t="s">
        <v>767</v>
      </c>
      <c r="H1130" s="7" t="s">
        <v>1284</v>
      </c>
      <c r="I1130" s="305">
        <v>680</v>
      </c>
      <c r="J1130" s="803">
        <v>7204</v>
      </c>
      <c r="K1130" s="602">
        <f t="shared" si="435"/>
        <v>4898720</v>
      </c>
      <c r="L1130" s="39" t="s">
        <v>165</v>
      </c>
      <c r="M1130" s="603" t="s">
        <v>159</v>
      </c>
      <c r="N1130" s="39" t="str">
        <f>IF(AND('331-CT'!$E$7=TH!H1130,OR(L1130="331",M1130="331")),"331",IF(AND(OR(L1130="131",M1130="131"),H1130='131-CT'!$E$7),"131",""))</f>
        <v/>
      </c>
      <c r="O1130" s="39" t="str">
        <f>IF(AND($B1130&gt;='111'!$N$11,$B1130&lt;='111'!$O$11,OR($L1130=$O$7,$M1130=$O$7)),"x","")</f>
        <v/>
      </c>
      <c r="P1130" s="39" t="str">
        <f>IF(AND($L1130=$O$7,$B1130&lt;'111'!$N$11),"x","")</f>
        <v/>
      </c>
      <c r="Q1130" s="39" t="str">
        <f>IF(AND($M1130=$O$7,$B1130&lt;'111'!$N$11),"x","")</f>
        <v/>
      </c>
      <c r="R1130" s="39" t="str">
        <f>IF(ISERROR(FIND('112'!$M$9,G1130,1)),"",IF((AND(FIND('112'!$M$9,G1130,1)&gt;=1,$B1130&gt;='112'!$N$8,$B1130&lt;='112'!$O$8,OR($L1130='112'!$I$6,$M1130='112'!$I$6))),"x",""))</f>
        <v/>
      </c>
      <c r="S1130" s="39" t="str">
        <f>IF(ISERROR(FIND('112'!$M$9,G1130,1)),"",IF((AND(LEFT(G1130,2)=LEFT('112'!$M$9,2),B1130&lt;'112'!$N$8,$L1130='112'!$I$6)),"x",""))</f>
        <v/>
      </c>
      <c r="T1130" s="39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39" t="str">
        <f>IF(OR(TH!L1130=TH!$V$7,M1130=TH!$V$7),"x","")</f>
        <v/>
      </c>
      <c r="W1130" s="39" t="str">
        <f>IF(AND(B1130&gt;='IN-NX'!$P$3,B1130&lt;='IN-NX'!$Q$3,'IN-NX'!$D$7=D1130,OR(LEFT(L1130,2)="15",AND(LEFT(M1130,2)&lt;&gt;"15",LEFT(M1130,2)&lt;&gt;"33"))),"x","")</f>
        <v/>
      </c>
      <c r="X1130" s="39" t="str">
        <f>IF(AND(OR(LEFT(TH!L1130,2)="15",LEFT(TH!M1130,2)="15"),'152-CT'!$J$8=TH!F1130),"x","")</f>
        <v/>
      </c>
      <c r="Y1130" s="39" t="str">
        <f>IF(AND(OR(LEFT(TH!L1130,2)="15",LEFT(TH!M1130,2)="15"),TK!$E$7=TH!F1130),"x","")</f>
        <v/>
      </c>
      <c r="Z1130" s="39" t="str">
        <f>IF(AND(B1130&lt;=NKC!$N$8,B1130&gt;=NKC!$M$8),"x","")</f>
        <v/>
      </c>
      <c r="AA1130" s="883"/>
    </row>
    <row r="1131" spans="1:30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436"/>
        <v>3</v>
      </c>
      <c r="C1131" s="191">
        <f t="shared" si="434"/>
        <v>41334</v>
      </c>
      <c r="D1131" s="191" t="s">
        <v>1292</v>
      </c>
      <c r="E1131" s="37">
        <v>41334</v>
      </c>
      <c r="F1131" s="297" t="s">
        <v>681</v>
      </c>
      <c r="G1131" s="40" t="s">
        <v>768</v>
      </c>
      <c r="H1131" s="7" t="s">
        <v>1284</v>
      </c>
      <c r="I1131" s="305">
        <v>600</v>
      </c>
      <c r="J1131" s="753">
        <v>11197</v>
      </c>
      <c r="K1131" s="602">
        <f t="shared" si="435"/>
        <v>6718200</v>
      </c>
      <c r="L1131" s="39" t="s">
        <v>165</v>
      </c>
      <c r="M1131" s="603" t="s">
        <v>159</v>
      </c>
      <c r="N1131" s="39" t="str">
        <f>IF(AND('331-CT'!$E$7=TH!H1131,OR(L1131="331",M1131="331")),"331",IF(AND(OR(L1131="131",M1131="131"),H1131='131-CT'!$E$7),"131",""))</f>
        <v/>
      </c>
      <c r="O1131" s="39" t="str">
        <f>IF(AND($B1131&gt;='111'!$N$11,$B1131&lt;='111'!$O$11,OR($L1131=$O$7,$M1131=$O$7)),"x","")</f>
        <v/>
      </c>
      <c r="P1131" s="39" t="str">
        <f>IF(AND($L1131=$O$7,$B1131&lt;'111'!$N$11),"x","")</f>
        <v/>
      </c>
      <c r="Q1131" s="39" t="str">
        <f>IF(AND($M1131=$O$7,$B1131&lt;'111'!$N$11),"x","")</f>
        <v/>
      </c>
      <c r="R1131" s="39" t="str">
        <f>IF(ISERROR(FIND('112'!$M$9,G1131,1)),"",IF((AND(FIND('112'!$M$9,G1131,1)&gt;=1,$B1131&gt;='112'!$N$8,$B1131&lt;='112'!$O$8,OR($L1131='112'!$I$6,$M1131='112'!$I$6))),"x",""))</f>
        <v/>
      </c>
      <c r="S1131" s="39" t="str">
        <f>IF(ISERROR(FIND('112'!$M$9,G1131,1)),"",IF((AND(LEFT(G1131,2)=LEFT('112'!$M$9,2),B1131&lt;'112'!$N$8,$L1131='112'!$I$6)),"x",""))</f>
        <v/>
      </c>
      <c r="T1131" s="39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39" t="str">
        <f>IF(OR(TH!L1131=TH!$V$7,M1131=TH!$V$7),"x","")</f>
        <v/>
      </c>
      <c r="W1131" s="39" t="str">
        <f>IF(AND(B1131&gt;='IN-NX'!$P$3,B1131&lt;='IN-NX'!$Q$3,'IN-NX'!$D$7=D1131,OR(LEFT(L1131,2)="15",AND(LEFT(M1131,2)&lt;&gt;"15",LEFT(M1131,2)&lt;&gt;"33"))),"x","")</f>
        <v/>
      </c>
      <c r="X1131" s="39" t="str">
        <f>IF(AND(OR(LEFT(TH!L1131,2)="15",LEFT(TH!M1131,2)="15"),'152-CT'!$J$8=TH!F1131),"x","")</f>
        <v/>
      </c>
      <c r="Y1131" s="39" t="str">
        <f>IF(AND(OR(LEFT(TH!L1131,2)="15",LEFT(TH!M1131,2)="15"),TK!$E$7=TH!F1131),"x","")</f>
        <v/>
      </c>
      <c r="Z1131" s="39" t="str">
        <f>IF(AND(B1131&lt;=NKC!$N$8,B1131&gt;=NKC!$M$8),"x","")</f>
        <v/>
      </c>
      <c r="AA1131" s="883"/>
    </row>
    <row r="1132" spans="1:30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436"/>
        <v>3</v>
      </c>
      <c r="C1132" s="191">
        <f t="shared" si="434"/>
        <v>41334</v>
      </c>
      <c r="D1132" s="191" t="s">
        <v>1292</v>
      </c>
      <c r="E1132" s="37">
        <v>41334</v>
      </c>
      <c r="F1132" s="189" t="s">
        <v>1197</v>
      </c>
      <c r="G1132" s="40" t="s">
        <v>768</v>
      </c>
      <c r="H1132" s="7" t="s">
        <v>1284</v>
      </c>
      <c r="I1132" s="305">
        <v>140</v>
      </c>
      <c r="J1132" s="801">
        <v>11227</v>
      </c>
      <c r="K1132" s="602">
        <f t="shared" si="435"/>
        <v>1571780</v>
      </c>
      <c r="L1132" s="39" t="s">
        <v>165</v>
      </c>
      <c r="M1132" s="603" t="s">
        <v>159</v>
      </c>
      <c r="N1132" s="39" t="str">
        <f>IF(AND('331-CT'!$E$7=TH!H1132,OR(L1132="331",M1132="331")),"331",IF(AND(OR(L1132="131",M1132="131"),H1132='131-CT'!$E$7),"131",""))</f>
        <v/>
      </c>
      <c r="O1132" s="39" t="str">
        <f>IF(AND($B1132&gt;='111'!$N$11,$B1132&lt;='111'!$O$11,OR($L1132=$O$7,$M1132=$O$7)),"x","")</f>
        <v/>
      </c>
      <c r="P1132" s="39" t="str">
        <f>IF(AND($L1132=$O$7,$B1132&lt;'111'!$N$11),"x","")</f>
        <v/>
      </c>
      <c r="Q1132" s="39" t="str">
        <f>IF(AND($M1132=$O$7,$B1132&lt;'111'!$N$11),"x","")</f>
        <v/>
      </c>
      <c r="R1132" s="39" t="str">
        <f>IF(ISERROR(FIND('112'!$M$9,G1132,1)),"",IF((AND(FIND('112'!$M$9,G1132,1)&gt;=1,$B1132&gt;='112'!$N$8,$B1132&lt;='112'!$O$8,OR($L1132='112'!$I$6,$M1132='112'!$I$6))),"x",""))</f>
        <v/>
      </c>
      <c r="S1132" s="39" t="str">
        <f>IF(ISERROR(FIND('112'!$M$9,G1132,1)),"",IF((AND(LEFT(G1132,2)=LEFT('112'!$M$9,2),B1132&lt;'112'!$N$8,$L1132='112'!$I$6)),"x",""))</f>
        <v/>
      </c>
      <c r="T1132" s="39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39" t="str">
        <f>IF(OR(TH!L1132=TH!$V$7,M1132=TH!$V$7),"x","")</f>
        <v/>
      </c>
      <c r="W1132" s="39" t="str">
        <f>IF(AND(B1132&gt;='IN-NX'!$P$3,B1132&lt;='IN-NX'!$Q$3,'IN-NX'!$D$7=D1132,OR(LEFT(L1132,2)="15",AND(LEFT(M1132,2)&lt;&gt;"15",LEFT(M1132,2)&lt;&gt;"33"))),"x","")</f>
        <v/>
      </c>
      <c r="X1132" s="39" t="str">
        <f>IF(AND(OR(LEFT(TH!L1132,2)="15",LEFT(TH!M1132,2)="15"),'152-CT'!$J$8=TH!F1132),"x","")</f>
        <v/>
      </c>
      <c r="Y1132" s="39" t="str">
        <f>IF(AND(OR(LEFT(TH!L1132,2)="15",LEFT(TH!M1132,2)="15"),TK!$E$7=TH!F1132),"x","")</f>
        <v/>
      </c>
      <c r="Z1132" s="39" t="str">
        <f>IF(AND(B1132&lt;=NKC!$N$8,B1132&gt;=NKC!$M$8),"x","")</f>
        <v/>
      </c>
      <c r="AA1132" s="883"/>
    </row>
    <row r="1133" spans="1:30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436"/>
        <v>3</v>
      </c>
      <c r="C1133" s="191">
        <f t="shared" si="434"/>
        <v>41334</v>
      </c>
      <c r="D1133" s="191" t="s">
        <v>1292</v>
      </c>
      <c r="E1133" s="37">
        <v>41334</v>
      </c>
      <c r="F1133" s="189" t="s">
        <v>1179</v>
      </c>
      <c r="G1133" s="604" t="s">
        <v>768</v>
      </c>
      <c r="H1133" s="7" t="s">
        <v>1284</v>
      </c>
      <c r="I1133" s="753">
        <v>670</v>
      </c>
      <c r="J1133" s="753">
        <v>7300</v>
      </c>
      <c r="K1133" s="602">
        <f t="shared" si="435"/>
        <v>4891000</v>
      </c>
      <c r="L1133" s="39" t="s">
        <v>165</v>
      </c>
      <c r="M1133" s="603" t="s">
        <v>159</v>
      </c>
      <c r="N1133" s="39" t="str">
        <f>IF(AND('331-CT'!$E$7=TH!H1133,OR(L1133="331",M1133="331")),"331",IF(AND(OR(L1133="131",M1133="131"),H1133='131-CT'!$E$7),"131",""))</f>
        <v/>
      </c>
      <c r="O1133" s="39" t="str">
        <f>IF(AND($B1133&gt;='111'!$N$11,$B1133&lt;='111'!$O$11,OR($L1133=$O$7,$M1133=$O$7)),"x","")</f>
        <v/>
      </c>
      <c r="P1133" s="39" t="str">
        <f>IF(AND($L1133=$O$7,$B1133&lt;'111'!$N$11),"x","")</f>
        <v/>
      </c>
      <c r="Q1133" s="39" t="str">
        <f>IF(AND($M1133=$O$7,$B1133&lt;'111'!$N$11),"x","")</f>
        <v/>
      </c>
      <c r="R1133" s="39" t="str">
        <f>IF(ISERROR(FIND('112'!$M$9,G1133,1)),"",IF((AND(FIND('112'!$M$9,G1133,1)&gt;=1,$B1133&gt;='112'!$N$8,$B1133&lt;='112'!$O$8,OR($L1133='112'!$I$6,$M1133='112'!$I$6))),"x",""))</f>
        <v/>
      </c>
      <c r="S1133" s="39" t="str">
        <f>IF(ISERROR(FIND('112'!$M$9,G1133,1)),"",IF((AND(LEFT(G1133,2)=LEFT('112'!$M$9,2),B1133&lt;'112'!$N$8,$L1133='112'!$I$6)),"x",""))</f>
        <v/>
      </c>
      <c r="T1133" s="39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39" t="str">
        <f>IF(OR(TH!L1133=TH!$V$7,M1133=TH!$V$7),"x","")</f>
        <v/>
      </c>
      <c r="W1133" s="39" t="str">
        <f>IF(AND(B1133&gt;='IN-NX'!$P$3,B1133&lt;='IN-NX'!$Q$3,'IN-NX'!$D$7=D1133,OR(LEFT(L1133,2)="15",AND(LEFT(M1133,2)&lt;&gt;"15",LEFT(M1133,2)&lt;&gt;"33"))),"x","")</f>
        <v/>
      </c>
      <c r="X1133" s="39" t="str">
        <f>IF(AND(OR(LEFT(TH!L1133,2)="15",LEFT(TH!M1133,2)="15"),'152-CT'!$J$8=TH!F1133),"x","")</f>
        <v/>
      </c>
      <c r="Y1133" s="39" t="str">
        <f>IF(AND(OR(LEFT(TH!L1133,2)="15",LEFT(TH!M1133,2)="15"),TK!$E$7=TH!F1133),"x","")</f>
        <v/>
      </c>
      <c r="Z1133" s="39" t="str">
        <f>IF(AND(B1133&lt;=NKC!$N$8,B1133&gt;=NKC!$M$8),"x","")</f>
        <v/>
      </c>
      <c r="AA1133" s="883"/>
      <c r="AC1133" s="594"/>
      <c r="AD1133" s="594"/>
    </row>
    <row r="1134" spans="1:30" s="211" customFormat="1" ht="15.75" customHeight="1">
      <c r="A1134" s="204" t="str">
        <f>IF(B1134&lt;&gt;"",IF(AND(B1134&gt;=_TM1,B1134&lt;=_TM2,OR(TH!L1134="1111",TH!M1134="1111")),TH!D1134,""),"")</f>
        <v/>
      </c>
      <c r="B1134" s="36">
        <f t="shared" si="436"/>
        <v>3</v>
      </c>
      <c r="C1134" s="191">
        <f t="shared" si="434"/>
        <v>41342</v>
      </c>
      <c r="D1134" s="191" t="s">
        <v>1292</v>
      </c>
      <c r="E1134" s="191">
        <v>41342</v>
      </c>
      <c r="F1134" s="192" t="s">
        <v>1268</v>
      </c>
      <c r="G1134" s="485" t="s">
        <v>770</v>
      </c>
      <c r="H1134" s="7" t="s">
        <v>1284</v>
      </c>
      <c r="I1134" s="758">
        <v>150</v>
      </c>
      <c r="J1134" s="753">
        <v>20776</v>
      </c>
      <c r="K1134" s="602">
        <f t="shared" si="435"/>
        <v>3116400</v>
      </c>
      <c r="L1134" s="39" t="s">
        <v>165</v>
      </c>
      <c r="M1134" s="603" t="s">
        <v>159</v>
      </c>
      <c r="N1134" s="39" t="str">
        <f>IF(AND('331-CT'!$E$7=TH!H1134,OR(L1134="331",M1134="331")),"331",IF(AND(OR(L1134="131",M1134="131"),H1134='131-CT'!$E$7),"131",""))</f>
        <v/>
      </c>
      <c r="O1134" s="39" t="str">
        <f>IF(AND($B1134&gt;='111'!$N$11,$B1134&lt;='111'!$O$11,OR($L1134=$O$7,$M1134=$O$7)),"x","")</f>
        <v/>
      </c>
      <c r="P1134" s="39" t="str">
        <f>IF(AND($L1134=$O$7,$B1134&lt;'111'!$N$11),"x","")</f>
        <v/>
      </c>
      <c r="Q1134" s="39" t="str">
        <f>IF(AND($M1134=$O$7,$B1134&lt;'111'!$N$11),"x","")</f>
        <v/>
      </c>
      <c r="R1134" s="39" t="str">
        <f>IF(ISERROR(FIND('112'!$M$9,G1134,1)),"",IF((AND(FIND('112'!$M$9,G1134,1)&gt;=1,$B1134&gt;='112'!$N$8,$B1134&lt;='112'!$O$8,OR($L1134='112'!$I$6,$M1134='112'!$I$6))),"x",""))</f>
        <v/>
      </c>
      <c r="S1134" s="39" t="str">
        <f>IF(ISERROR(FIND('112'!$M$9,G1134,1)),"",IF((AND(LEFT(G1134,2)=LEFT('112'!$M$9,2),B1134&lt;'112'!$N$8,$L1134='112'!$I$6)),"x",""))</f>
        <v/>
      </c>
      <c r="T1134" s="39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39" t="str">
        <f>IF(OR(TH!L1134=TH!$V$7,M1134=TH!$V$7),"x","")</f>
        <v/>
      </c>
      <c r="W1134" s="39" t="str">
        <f>IF(AND(B1134&gt;='IN-NX'!$P$3,B1134&lt;='IN-NX'!$Q$3,'IN-NX'!$D$7=D1134,OR(LEFT(L1134,2)="15",AND(LEFT(M1134,2)&lt;&gt;"15",LEFT(M1134,2)&lt;&gt;"33"))),"x","")</f>
        <v/>
      </c>
      <c r="X1134" s="39" t="str">
        <f>IF(AND(OR(LEFT(TH!L1134,2)="15",LEFT(TH!M1134,2)="15"),'152-CT'!$J$8=TH!F1134),"x","")</f>
        <v/>
      </c>
      <c r="Y1134" s="39" t="str">
        <f>IF(AND(OR(LEFT(TH!L1134,2)="15",LEFT(TH!M1134,2)="15"),TK!$E$7=TH!F1134),"x","")</f>
        <v/>
      </c>
      <c r="Z1134" s="39" t="str">
        <f>IF(AND(B1134&lt;=NKC!$N$8,B1134&gt;=NKC!$M$8),"x","")</f>
        <v/>
      </c>
      <c r="AA1134" s="883"/>
      <c r="AC1134" s="594"/>
      <c r="AD1134" s="594"/>
    </row>
    <row r="1135" spans="1:30" s="211" customFormat="1" ht="15.75" customHeight="1">
      <c r="A1135" s="204" t="str">
        <f>IF(B1135&lt;&gt;"",IF(AND(B1135&gt;=_TM1,B1135&lt;=_TM2,OR(TH!L1135="1111",TH!M1135="1111")),TH!D1135,""),"")</f>
        <v/>
      </c>
      <c r="B1135" s="36">
        <f t="shared" si="436"/>
        <v>3</v>
      </c>
      <c r="C1135" s="191">
        <f t="shared" si="434"/>
        <v>41342</v>
      </c>
      <c r="D1135" s="191" t="s">
        <v>1292</v>
      </c>
      <c r="E1135" s="191">
        <v>41342</v>
      </c>
      <c r="F1135" s="192" t="s">
        <v>1223</v>
      </c>
      <c r="G1135" s="485" t="s">
        <v>772</v>
      </c>
      <c r="H1135" s="7" t="s">
        <v>1284</v>
      </c>
      <c r="I1135" s="758">
        <v>260</v>
      </c>
      <c r="J1135" s="753">
        <v>10775</v>
      </c>
      <c r="K1135" s="602">
        <f t="shared" si="435"/>
        <v>2801500</v>
      </c>
      <c r="L1135" s="39" t="s">
        <v>165</v>
      </c>
      <c r="M1135" s="603" t="s">
        <v>159</v>
      </c>
      <c r="N1135" s="39" t="str">
        <f>IF(AND('331-CT'!$E$7=TH!H1135,OR(L1135="331",M1135="331")),"331",IF(AND(OR(L1135="131",M1135="131"),H1135='131-CT'!$E$7),"131",""))</f>
        <v/>
      </c>
      <c r="O1135" s="39" t="str">
        <f>IF(AND($B1135&gt;='111'!$N$11,$B1135&lt;='111'!$O$11,OR($L1135=$O$7,$M1135=$O$7)),"x","")</f>
        <v/>
      </c>
      <c r="P1135" s="39" t="str">
        <f>IF(AND($L1135=$O$7,$B1135&lt;'111'!$N$11),"x","")</f>
        <v/>
      </c>
      <c r="Q1135" s="39" t="str">
        <f>IF(AND($M1135=$O$7,$B1135&lt;'111'!$N$11),"x","")</f>
        <v/>
      </c>
      <c r="R1135" s="39" t="str">
        <f>IF(ISERROR(FIND('112'!$M$9,G1135,1)),"",IF((AND(FIND('112'!$M$9,G1135,1)&gt;=1,$B1135&gt;='112'!$N$8,$B1135&lt;='112'!$O$8,OR($L1135='112'!$I$6,$M1135='112'!$I$6))),"x",""))</f>
        <v/>
      </c>
      <c r="S1135" s="39" t="str">
        <f>IF(ISERROR(FIND('112'!$M$9,G1135,1)),"",IF((AND(LEFT(G1135,2)=LEFT('112'!$M$9,2),B1135&lt;'112'!$N$8,$L1135='112'!$I$6)),"x",""))</f>
        <v/>
      </c>
      <c r="T1135" s="39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39" t="str">
        <f>IF(OR(TH!L1135=TH!$V$7,M1135=TH!$V$7),"x","")</f>
        <v/>
      </c>
      <c r="W1135" s="39" t="str">
        <f>IF(AND(B1135&gt;='IN-NX'!$P$3,B1135&lt;='IN-NX'!$Q$3,'IN-NX'!$D$7=D1135,OR(LEFT(L1135,2)="15",AND(LEFT(M1135,2)&lt;&gt;"15",LEFT(M1135,2)&lt;&gt;"33"))),"x","")</f>
        <v/>
      </c>
      <c r="X1135" s="39" t="str">
        <f>IF(AND(OR(LEFT(TH!L1135,2)="15",LEFT(TH!M1135,2)="15"),'152-CT'!$J$8=TH!F1135),"x","")</f>
        <v/>
      </c>
      <c r="Y1135" s="39" t="str">
        <f>IF(AND(OR(LEFT(TH!L1135,2)="15",LEFT(TH!M1135,2)="15"),TK!$E$7=TH!F1135),"x","")</f>
        <v/>
      </c>
      <c r="Z1135" s="39" t="str">
        <f>IF(AND(B1135&lt;=NKC!$N$8,B1135&gt;=NKC!$M$8),"x","")</f>
        <v/>
      </c>
      <c r="AA1135" s="883"/>
      <c r="AD1135" s="594"/>
    </row>
    <row r="1136" spans="1:30" s="211" customFormat="1" ht="15.75" customHeight="1">
      <c r="A1136" s="204" t="str">
        <f>IF(B1136&lt;&gt;"",IF(AND(B1136&gt;=_TM1,B1136&lt;=_TM2,OR(TH!L1136="1111",TH!M1136="1111")),TH!D1136,""),"")</f>
        <v/>
      </c>
      <c r="B1136" s="36">
        <f t="shared" si="436"/>
        <v>3</v>
      </c>
      <c r="C1136" s="191">
        <f t="shared" si="434"/>
        <v>41342</v>
      </c>
      <c r="D1136" s="191" t="s">
        <v>1292</v>
      </c>
      <c r="E1136" s="191">
        <v>41342</v>
      </c>
      <c r="F1136" s="192" t="s">
        <v>1188</v>
      </c>
      <c r="G1136" s="485" t="s">
        <v>772</v>
      </c>
      <c r="H1136" s="7" t="s">
        <v>1284</v>
      </c>
      <c r="I1136" s="758">
        <v>150</v>
      </c>
      <c r="J1136" s="753">
        <v>15120</v>
      </c>
      <c r="K1136" s="602">
        <f t="shared" si="435"/>
        <v>2268000</v>
      </c>
      <c r="L1136" s="39" t="s">
        <v>165</v>
      </c>
      <c r="M1136" s="603" t="s">
        <v>159</v>
      </c>
      <c r="N1136" s="39" t="str">
        <f>IF(AND('331-CT'!$E$7=TH!H1136,OR(L1136="331",M1136="331")),"331",IF(AND(OR(L1136="131",M1136="131"),H1136='131-CT'!$E$7),"131",""))</f>
        <v/>
      </c>
      <c r="O1136" s="39" t="str">
        <f>IF(AND($B1136&gt;='111'!$N$11,$B1136&lt;='111'!$O$11,OR($L1136=$O$7,$M1136=$O$7)),"x","")</f>
        <v/>
      </c>
      <c r="P1136" s="39" t="str">
        <f>IF(AND($L1136=$O$7,$B1136&lt;'111'!$N$11),"x","")</f>
        <v/>
      </c>
      <c r="Q1136" s="39" t="str">
        <f>IF(AND($M1136=$O$7,$B1136&lt;'111'!$N$11),"x","")</f>
        <v/>
      </c>
      <c r="R1136" s="39" t="str">
        <f>IF(ISERROR(FIND('112'!$M$9,G1136,1)),"",IF((AND(FIND('112'!$M$9,G1136,1)&gt;=1,$B1136&gt;='112'!$N$8,$B1136&lt;='112'!$O$8,OR($L1136='112'!$I$6,$M1136='112'!$I$6))),"x",""))</f>
        <v/>
      </c>
      <c r="S1136" s="39" t="str">
        <f>IF(ISERROR(FIND('112'!$M$9,G1136,1)),"",IF((AND(LEFT(G1136,2)=LEFT('112'!$M$9,2),B1136&lt;'112'!$N$8,$L1136='112'!$I$6)),"x",""))</f>
        <v/>
      </c>
      <c r="T1136" s="39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39" t="str">
        <f>IF(OR(TH!L1136=TH!$V$7,M1136=TH!$V$7),"x","")</f>
        <v/>
      </c>
      <c r="W1136" s="39" t="str">
        <f>IF(AND(B1136&gt;='IN-NX'!$P$3,B1136&lt;='IN-NX'!$Q$3,'IN-NX'!$D$7=D1136,OR(LEFT(L1136,2)="15",AND(LEFT(M1136,2)&lt;&gt;"15",LEFT(M1136,2)&lt;&gt;"33"))),"x","")</f>
        <v/>
      </c>
      <c r="X1136" s="39" t="str">
        <f>IF(AND(OR(LEFT(TH!L1136,2)="15",LEFT(TH!M1136,2)="15"),'152-CT'!$J$8=TH!F1136),"x","")</f>
        <v/>
      </c>
      <c r="Y1136" s="39" t="str">
        <f>IF(AND(OR(LEFT(TH!L1136,2)="15",LEFT(TH!M1136,2)="15"),TK!$E$7=TH!F1136),"x","")</f>
        <v/>
      </c>
      <c r="Z1136" s="39" t="str">
        <f>IF(AND(B1136&lt;=NKC!$N$8,B1136&gt;=NKC!$M$8),"x","")</f>
        <v/>
      </c>
      <c r="AA1136" s="883"/>
      <c r="AC1136" s="594"/>
      <c r="AD1136" s="594"/>
    </row>
    <row r="1137" spans="1:30" s="211" customFormat="1" ht="15.75" customHeight="1">
      <c r="A1137" s="204" t="str">
        <f>IF(B1137&lt;&gt;"",IF(AND(B1137&gt;=_TM1,B1137&lt;=_TM2,OR(TH!L1137="1111",TH!M1137="1111")),TH!D1137,""),"")</f>
        <v/>
      </c>
      <c r="B1137" s="36">
        <f t="shared" si="436"/>
        <v>3</v>
      </c>
      <c r="C1137" s="191">
        <f t="shared" si="434"/>
        <v>41343</v>
      </c>
      <c r="D1137" s="191" t="s">
        <v>1292</v>
      </c>
      <c r="E1137" s="191">
        <v>41343</v>
      </c>
      <c r="F1137" s="192" t="s">
        <v>1175</v>
      </c>
      <c r="G1137" s="485" t="s">
        <v>494</v>
      </c>
      <c r="H1137" s="7" t="s">
        <v>1284</v>
      </c>
      <c r="I1137" s="758">
        <v>517</v>
      </c>
      <c r="J1137" s="753">
        <v>19982</v>
      </c>
      <c r="K1137" s="602">
        <f t="shared" si="435"/>
        <v>10330694</v>
      </c>
      <c r="L1137" s="39" t="s">
        <v>165</v>
      </c>
      <c r="M1137" s="603" t="s">
        <v>159</v>
      </c>
      <c r="N1137" s="39" t="str">
        <f>IF(AND('331-CT'!$E$7=TH!H1137,OR(L1137="331",M1137="331")),"331",IF(AND(OR(L1137="131",M1137="131"),H1137='131-CT'!$E$7),"131",""))</f>
        <v/>
      </c>
      <c r="O1137" s="39" t="str">
        <f>IF(AND($B1137&gt;='111'!$N$11,$B1137&lt;='111'!$O$11,OR($L1137=$O$7,$M1137=$O$7)),"x","")</f>
        <v/>
      </c>
      <c r="P1137" s="39" t="str">
        <f>IF(AND($L1137=$O$7,$B1137&lt;'111'!$N$11),"x","")</f>
        <v/>
      </c>
      <c r="Q1137" s="39" t="str">
        <f>IF(AND($M1137=$O$7,$B1137&lt;'111'!$N$11),"x","")</f>
        <v/>
      </c>
      <c r="R1137" s="39" t="str">
        <f>IF(ISERROR(FIND('112'!$M$9,G1137,1)),"",IF((AND(FIND('112'!$M$9,G1137,1)&gt;=1,$B1137&gt;='112'!$N$8,$B1137&lt;='112'!$O$8,OR($L1137='112'!$I$6,$M1137='112'!$I$6))),"x",""))</f>
        <v/>
      </c>
      <c r="S1137" s="39" t="str">
        <f>IF(ISERROR(FIND('112'!$M$9,G1137,1)),"",IF((AND(LEFT(G1137,2)=LEFT('112'!$M$9,2),B1137&lt;'112'!$N$8,$L1137='112'!$I$6)),"x",""))</f>
        <v/>
      </c>
      <c r="T1137" s="39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39" t="str">
        <f>IF(OR(TH!L1137=TH!$V$7,M1137=TH!$V$7),"x","")</f>
        <v/>
      </c>
      <c r="W1137" s="39" t="str">
        <f>IF(AND(B1137&gt;='IN-NX'!$P$3,B1137&lt;='IN-NX'!$Q$3,'IN-NX'!$D$7=D1137,OR(LEFT(L1137,2)="15",AND(LEFT(M1137,2)&lt;&gt;"15",LEFT(M1137,2)&lt;&gt;"33"))),"x","")</f>
        <v/>
      </c>
      <c r="X1137" s="39" t="str">
        <f>IF(AND(OR(LEFT(TH!L1137,2)="15",LEFT(TH!M1137,2)="15"),'152-CT'!$J$8=TH!F1137),"x","")</f>
        <v/>
      </c>
      <c r="Y1137" s="39" t="str">
        <f>IF(AND(OR(LEFT(TH!L1137,2)="15",LEFT(TH!M1137,2)="15"),TK!$E$7=TH!F1137),"x","")</f>
        <v/>
      </c>
      <c r="Z1137" s="39" t="str">
        <f>IF(AND(B1137&lt;=NKC!$N$8,B1137&gt;=NKC!$M$8),"x","")</f>
        <v/>
      </c>
      <c r="AA1137" s="883"/>
      <c r="AC1137" s="594"/>
      <c r="AD1137" s="594"/>
    </row>
    <row r="1138" spans="1:30" s="211" customFormat="1" ht="15.75" customHeight="1">
      <c r="A1138" s="204" t="str">
        <f>IF(B1138&lt;&gt;"",IF(AND(B1138&gt;=_TM1,B1138&lt;=_TM2,OR(TH!L1138="1111",TH!M1138="1111")),TH!D1138,""),"")</f>
        <v/>
      </c>
      <c r="B1138" s="36">
        <f t="shared" si="436"/>
        <v>3</v>
      </c>
      <c r="C1138" s="191">
        <f t="shared" si="434"/>
        <v>41343</v>
      </c>
      <c r="D1138" s="191" t="s">
        <v>1292</v>
      </c>
      <c r="E1138" s="37">
        <v>41343</v>
      </c>
      <c r="F1138" s="189" t="s">
        <v>1241</v>
      </c>
      <c r="G1138" s="604" t="s">
        <v>774</v>
      </c>
      <c r="H1138" s="7" t="s">
        <v>1284</v>
      </c>
      <c r="I1138" s="753">
        <v>250</v>
      </c>
      <c r="J1138" s="753">
        <v>19910.059505275905</v>
      </c>
      <c r="K1138" s="602">
        <f t="shared" si="435"/>
        <v>4977515</v>
      </c>
      <c r="L1138" s="39" t="s">
        <v>165</v>
      </c>
      <c r="M1138" s="603" t="s">
        <v>159</v>
      </c>
      <c r="N1138" s="39" t="str">
        <f>IF(AND('331-CT'!$E$7=TH!H1138,OR(L1138="331",M1138="331")),"331",IF(AND(OR(L1138="131",M1138="131"),H1138='131-CT'!$E$7),"131",""))</f>
        <v/>
      </c>
      <c r="O1138" s="39" t="str">
        <f>IF(AND($B1138&gt;='111'!$N$11,$B1138&lt;='111'!$O$11,OR($L1138=$O$7,$M1138=$O$7)),"x","")</f>
        <v/>
      </c>
      <c r="P1138" s="39" t="str">
        <f>IF(AND($L1138=$O$7,$B1138&lt;'111'!$N$11),"x","")</f>
        <v/>
      </c>
      <c r="Q1138" s="39" t="str">
        <f>IF(AND($M1138=$O$7,$B1138&lt;'111'!$N$11),"x","")</f>
        <v/>
      </c>
      <c r="R1138" s="39" t="str">
        <f>IF(ISERROR(FIND('112'!$M$9,G1138,1)),"",IF((AND(FIND('112'!$M$9,G1138,1)&gt;=1,$B1138&gt;='112'!$N$8,$B1138&lt;='112'!$O$8,OR($L1138='112'!$I$6,$M1138='112'!$I$6))),"x",""))</f>
        <v/>
      </c>
      <c r="S1138" s="39" t="str">
        <f>IF(ISERROR(FIND('112'!$M$9,G1138,1)),"",IF((AND(LEFT(G1138,2)=LEFT('112'!$M$9,2),B1138&lt;'112'!$N$8,$L1138='112'!$I$6)),"x",""))</f>
        <v/>
      </c>
      <c r="T1138" s="39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39" t="str">
        <f>IF(OR(TH!L1138=TH!$V$7,M1138=TH!$V$7),"x","")</f>
        <v/>
      </c>
      <c r="W1138" s="39" t="str">
        <f>IF(AND(B1138&gt;='IN-NX'!$P$3,B1138&lt;='IN-NX'!$Q$3,'IN-NX'!$D$7=D1138,OR(LEFT(L1138,2)="15",AND(LEFT(M1138,2)&lt;&gt;"15",LEFT(M1138,2)&lt;&gt;"33"))),"x","")</f>
        <v/>
      </c>
      <c r="X1138" s="39" t="str">
        <f>IF(AND(OR(LEFT(TH!L1138,2)="15",LEFT(TH!M1138,2)="15"),'152-CT'!$J$8=TH!F1138),"x","")</f>
        <v/>
      </c>
      <c r="Y1138" s="39" t="str">
        <f>IF(AND(OR(LEFT(TH!L1138,2)="15",LEFT(TH!M1138,2)="15"),TK!$E$7=TH!F1138),"x","")</f>
        <v/>
      </c>
      <c r="Z1138" s="39" t="str">
        <f>IF(AND(B1138&lt;=NKC!$N$8,B1138&gt;=NKC!$M$8),"x","")</f>
        <v/>
      </c>
      <c r="AA1138" s="883"/>
      <c r="AC1138" s="594"/>
      <c r="AD1138" s="594"/>
    </row>
    <row r="1139" spans="1:30" s="211" customFormat="1" ht="15.75" customHeight="1">
      <c r="A1139" s="204" t="str">
        <f>IF(B1139&lt;&gt;"",IF(AND(B1139&gt;=_TM1,B1139&lt;=_TM2,OR(TH!L1139="1111",TH!M1139="1111")),TH!D1139,""),"")</f>
        <v/>
      </c>
      <c r="B1139" s="36">
        <f t="shared" si="436"/>
        <v>3</v>
      </c>
      <c r="C1139" s="191">
        <f t="shared" si="434"/>
        <v>41348</v>
      </c>
      <c r="D1139" s="191" t="s">
        <v>1292</v>
      </c>
      <c r="E1139" s="37">
        <v>41348</v>
      </c>
      <c r="F1139" s="189" t="s">
        <v>1251</v>
      </c>
      <c r="G1139" s="604" t="s">
        <v>777</v>
      </c>
      <c r="H1139" s="7" t="s">
        <v>1284</v>
      </c>
      <c r="I1139" s="753">
        <v>105</v>
      </c>
      <c r="J1139" s="753">
        <v>23028</v>
      </c>
      <c r="K1139" s="602">
        <f t="shared" si="435"/>
        <v>2417940</v>
      </c>
      <c r="L1139" s="39" t="s">
        <v>165</v>
      </c>
      <c r="M1139" s="603" t="s">
        <v>159</v>
      </c>
      <c r="N1139" s="39" t="str">
        <f>IF(AND('331-CT'!$E$7=TH!H1139,OR(L1139="331",M1139="331")),"331",IF(AND(OR(L1139="131",M1139="131"),H1139='131-CT'!$E$7),"131",""))</f>
        <v/>
      </c>
      <c r="O1139" s="39" t="str">
        <f>IF(AND($B1139&gt;='111'!$N$11,$B1139&lt;='111'!$O$11,OR($L1139=$O$7,$M1139=$O$7)),"x","")</f>
        <v/>
      </c>
      <c r="P1139" s="39" t="str">
        <f>IF(AND($L1139=$O$7,$B1139&lt;'111'!$N$11),"x","")</f>
        <v/>
      </c>
      <c r="Q1139" s="39" t="str">
        <f>IF(AND($M1139=$O$7,$B1139&lt;'111'!$N$11),"x","")</f>
        <v/>
      </c>
      <c r="R1139" s="39" t="str">
        <f>IF(ISERROR(FIND('112'!$M$9,G1139,1)),"",IF((AND(FIND('112'!$M$9,G1139,1)&gt;=1,$B1139&gt;='112'!$N$8,$B1139&lt;='112'!$O$8,OR($L1139='112'!$I$6,$M1139='112'!$I$6))),"x",""))</f>
        <v/>
      </c>
      <c r="S1139" s="39" t="str">
        <f>IF(ISERROR(FIND('112'!$M$9,G1139,1)),"",IF((AND(LEFT(G1139,2)=LEFT('112'!$M$9,2),B1139&lt;'112'!$N$8,$L1139='112'!$I$6)),"x",""))</f>
        <v/>
      </c>
      <c r="T1139" s="39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39" t="str">
        <f>IF(OR(TH!L1139=TH!$V$7,M1139=TH!$V$7),"x","")</f>
        <v/>
      </c>
      <c r="W1139" s="39" t="str">
        <f>IF(AND(B1139&gt;='IN-NX'!$P$3,B1139&lt;='IN-NX'!$Q$3,'IN-NX'!$D$7=D1139,OR(LEFT(L1139,2)="15",AND(LEFT(M1139,2)&lt;&gt;"15",LEFT(M1139,2)&lt;&gt;"33"))),"x","")</f>
        <v/>
      </c>
      <c r="X1139" s="39" t="str">
        <f>IF(AND(OR(LEFT(TH!L1139,2)="15",LEFT(TH!M1139,2)="15"),'152-CT'!$J$8=TH!F1139),"x","")</f>
        <v/>
      </c>
      <c r="Y1139" s="39" t="str">
        <f>IF(AND(OR(LEFT(TH!L1139,2)="15",LEFT(TH!M1139,2)="15"),TK!$E$7=TH!F1139),"x","")</f>
        <v/>
      </c>
      <c r="Z1139" s="39" t="str">
        <f>IF(AND(B1139&lt;=NKC!$N$8,B1139&gt;=NKC!$M$8),"x","")</f>
        <v/>
      </c>
      <c r="AA1139" s="883"/>
      <c r="AC1139" s="594"/>
      <c r="AD1139" s="594"/>
    </row>
    <row r="1140" spans="1:30" s="211" customFormat="1" ht="15.75" customHeight="1">
      <c r="A1140" s="204" t="str">
        <f>IF(B1140&lt;&gt;"",IF(AND(B1140&gt;=_TM1,B1140&lt;=_TM2,OR(TH!L1140="1111",TH!M1140="1111")),TH!D1140,""),"")</f>
        <v/>
      </c>
      <c r="B1140" s="36">
        <f t="shared" si="436"/>
        <v>3</v>
      </c>
      <c r="C1140" s="191">
        <f t="shared" si="434"/>
        <v>41356</v>
      </c>
      <c r="D1140" s="191" t="s">
        <v>1292</v>
      </c>
      <c r="E1140" s="184">
        <v>41356</v>
      </c>
      <c r="F1140" s="192" t="s">
        <v>1172</v>
      </c>
      <c r="G1140" s="487" t="s">
        <v>779</v>
      </c>
      <c r="H1140" s="7" t="s">
        <v>1284</v>
      </c>
      <c r="I1140" s="753">
        <v>270</v>
      </c>
      <c r="J1140" s="753">
        <v>28350</v>
      </c>
      <c r="K1140" s="602">
        <f t="shared" si="435"/>
        <v>7654500</v>
      </c>
      <c r="L1140" s="39" t="s">
        <v>165</v>
      </c>
      <c r="M1140" s="603" t="s">
        <v>159</v>
      </c>
      <c r="N1140" s="39" t="str">
        <f>IF(AND('331-CT'!$E$7=TH!H1140,OR(L1140="331",M1140="331")),"331",IF(AND(OR(L1140="131",M1140="131"),H1140='131-CT'!$E$7),"131",""))</f>
        <v/>
      </c>
      <c r="O1140" s="39" t="str">
        <f>IF(AND($B1140&gt;='111'!$N$11,$B1140&lt;='111'!$O$11,OR($L1140=$O$7,$M1140=$O$7)),"x","")</f>
        <v/>
      </c>
      <c r="P1140" s="39" t="str">
        <f>IF(AND($L1140=$O$7,$B1140&lt;'111'!$N$11),"x","")</f>
        <v/>
      </c>
      <c r="Q1140" s="39" t="str">
        <f>IF(AND($M1140=$O$7,$B1140&lt;'111'!$N$11),"x","")</f>
        <v/>
      </c>
      <c r="R1140" s="39" t="str">
        <f>IF(ISERROR(FIND('112'!$M$9,G1140,1)),"",IF((AND(FIND('112'!$M$9,G1140,1)&gt;=1,$B1140&gt;='112'!$N$8,$B1140&lt;='112'!$O$8,OR($L1140='112'!$I$6,$M1140='112'!$I$6))),"x",""))</f>
        <v/>
      </c>
      <c r="S1140" s="39" t="str">
        <f>IF(ISERROR(FIND('112'!$M$9,G1140,1)),"",IF((AND(LEFT(G1140,2)=LEFT('112'!$M$9,2),B1140&lt;'112'!$N$8,$L1140='112'!$I$6)),"x",""))</f>
        <v/>
      </c>
      <c r="T1140" s="39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39" t="str">
        <f>IF(OR(TH!L1140=TH!$V$7,M1140=TH!$V$7),"x","")</f>
        <v/>
      </c>
      <c r="W1140" s="39" t="str">
        <f>IF(AND(B1140&gt;='IN-NX'!$P$3,B1140&lt;='IN-NX'!$Q$3,'IN-NX'!$D$7=D1140,OR(LEFT(L1140,2)="15",AND(LEFT(M1140,2)&lt;&gt;"15",LEFT(M1140,2)&lt;&gt;"33"))),"x","")</f>
        <v/>
      </c>
      <c r="X1140" s="39" t="str">
        <f>IF(AND(OR(LEFT(TH!L1140,2)="15",LEFT(TH!M1140,2)="15"),'152-CT'!$J$8=TH!F1140),"x","")</f>
        <v/>
      </c>
      <c r="Y1140" s="39" t="str">
        <f>IF(AND(OR(LEFT(TH!L1140,2)="15",LEFT(TH!M1140,2)="15"),TK!$E$7=TH!F1140),"x","")</f>
        <v/>
      </c>
      <c r="Z1140" s="39" t="str">
        <f>IF(AND(B1140&lt;=NKC!$N$8,B1140&gt;=NKC!$M$8),"x","")</f>
        <v/>
      </c>
      <c r="AA1140" s="883"/>
    </row>
    <row r="1141" spans="1:30" s="211" customFormat="1" ht="15.75" customHeight="1">
      <c r="A1141" s="204" t="str">
        <f>IF(B1141&lt;&gt;"",IF(AND(B1141&gt;=_TM1,B1141&lt;=_TM2,OR(TH!L1141="1111",TH!M1141="1111")),TH!D1141,""),"")</f>
        <v/>
      </c>
      <c r="B1141" s="36">
        <f t="shared" si="436"/>
        <v>3</v>
      </c>
      <c r="C1141" s="191">
        <f t="shared" si="434"/>
        <v>41356</v>
      </c>
      <c r="D1141" s="191" t="s">
        <v>1292</v>
      </c>
      <c r="E1141" s="184">
        <v>41356</v>
      </c>
      <c r="F1141" s="192" t="s">
        <v>1197</v>
      </c>
      <c r="G1141" s="487" t="s">
        <v>779</v>
      </c>
      <c r="H1141" s="7" t="s">
        <v>1284</v>
      </c>
      <c r="I1141" s="753">
        <v>10</v>
      </c>
      <c r="J1141" s="753">
        <v>11227</v>
      </c>
      <c r="K1141" s="602">
        <f t="shared" si="435"/>
        <v>112270</v>
      </c>
      <c r="L1141" s="39" t="s">
        <v>165</v>
      </c>
      <c r="M1141" s="603" t="s">
        <v>159</v>
      </c>
      <c r="N1141" s="39" t="str">
        <f>IF(AND('331-CT'!$E$7=TH!H1141,OR(L1141="331",M1141="331")),"331",IF(AND(OR(L1141="131",M1141="131"),H1141='131-CT'!$E$7),"131",""))</f>
        <v/>
      </c>
      <c r="O1141" s="39" t="str">
        <f>IF(AND($B1141&gt;='111'!$N$11,$B1141&lt;='111'!$O$11,OR($L1141=$O$7,$M1141=$O$7)),"x","")</f>
        <v/>
      </c>
      <c r="P1141" s="39" t="str">
        <f>IF(AND($L1141=$O$7,$B1141&lt;'111'!$N$11),"x","")</f>
        <v/>
      </c>
      <c r="Q1141" s="39" t="str">
        <f>IF(AND($M1141=$O$7,$B1141&lt;'111'!$N$11),"x","")</f>
        <v/>
      </c>
      <c r="R1141" s="39" t="str">
        <f>IF(ISERROR(FIND('112'!$M$9,G1141,1)),"",IF((AND(FIND('112'!$M$9,G1141,1)&gt;=1,$B1141&gt;='112'!$N$8,$B1141&lt;='112'!$O$8,OR($L1141='112'!$I$6,$M1141='112'!$I$6))),"x",""))</f>
        <v/>
      </c>
      <c r="S1141" s="39" t="str">
        <f>IF(ISERROR(FIND('112'!$M$9,G1141,1)),"",IF((AND(LEFT(G1141,2)=LEFT('112'!$M$9,2),B1141&lt;'112'!$N$8,$L1141='112'!$I$6)),"x",""))</f>
        <v/>
      </c>
      <c r="T1141" s="39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39" t="str">
        <f>IF(OR(TH!L1141=TH!$V$7,M1141=TH!$V$7),"x","")</f>
        <v/>
      </c>
      <c r="W1141" s="39" t="str">
        <f>IF(AND(B1141&gt;='IN-NX'!$P$3,B1141&lt;='IN-NX'!$Q$3,'IN-NX'!$D$7=D1141,OR(LEFT(L1141,2)="15",AND(LEFT(M1141,2)&lt;&gt;"15",LEFT(M1141,2)&lt;&gt;"33"))),"x","")</f>
        <v/>
      </c>
      <c r="X1141" s="39" t="str">
        <f>IF(AND(OR(LEFT(TH!L1141,2)="15",LEFT(TH!M1141,2)="15"),'152-CT'!$J$8=TH!F1141),"x","")</f>
        <v/>
      </c>
      <c r="Y1141" s="39" t="str">
        <f>IF(AND(OR(LEFT(TH!L1141,2)="15",LEFT(TH!M1141,2)="15"),TK!$E$7=TH!F1141),"x","")</f>
        <v/>
      </c>
      <c r="Z1141" s="39" t="str">
        <f>IF(AND(B1141&lt;=NKC!$N$8,B1141&gt;=NKC!$M$8),"x","")</f>
        <v/>
      </c>
      <c r="AA1141" s="883"/>
    </row>
    <row r="1142" spans="1:30" s="211" customFormat="1" ht="15.75" customHeight="1">
      <c r="A1142" s="204" t="str">
        <f>IF(B1142&lt;&gt;"",IF(AND(B1142&gt;=_TM1,B1142&lt;=_TM2,OR(TH!L1142="1111",TH!M1142="1111")),TH!D1142,""),"")</f>
        <v/>
      </c>
      <c r="B1142" s="36">
        <f t="shared" si="436"/>
        <v>3</v>
      </c>
      <c r="C1142" s="191">
        <f t="shared" si="434"/>
        <v>41358</v>
      </c>
      <c r="D1142" s="191" t="s">
        <v>1292</v>
      </c>
      <c r="E1142" s="184">
        <v>41358</v>
      </c>
      <c r="F1142" s="832" t="s">
        <v>1251</v>
      </c>
      <c r="G1142" s="487" t="s">
        <v>780</v>
      </c>
      <c r="H1142" s="7" t="s">
        <v>1284</v>
      </c>
      <c r="I1142" s="753">
        <v>60</v>
      </c>
      <c r="J1142" s="256">
        <v>23028</v>
      </c>
      <c r="K1142" s="602">
        <f t="shared" si="435"/>
        <v>1381680</v>
      </c>
      <c r="L1142" s="39" t="s">
        <v>165</v>
      </c>
      <c r="M1142" s="603" t="s">
        <v>159</v>
      </c>
      <c r="N1142" s="39" t="str">
        <f>IF(AND('331-CT'!$E$7=TH!H1142,OR(L1142="331",M1142="331")),"331",IF(AND(OR(L1142="131",M1142="131"),H1142='131-CT'!$E$7),"131",""))</f>
        <v/>
      </c>
      <c r="O1142" s="39" t="str">
        <f>IF(AND($B1142&gt;='111'!$N$11,$B1142&lt;='111'!$O$11,OR($L1142=$O$7,$M1142=$O$7)),"x","")</f>
        <v/>
      </c>
      <c r="P1142" s="39" t="str">
        <f>IF(AND($L1142=$O$7,$B1142&lt;'111'!$N$11),"x","")</f>
        <v/>
      </c>
      <c r="Q1142" s="39" t="str">
        <f>IF(AND($M1142=$O$7,$B1142&lt;'111'!$N$11),"x","")</f>
        <v/>
      </c>
      <c r="R1142" s="39" t="str">
        <f>IF(ISERROR(FIND('112'!$M$9,G1142,1)),"",IF((AND(FIND('112'!$M$9,G1142,1)&gt;=1,$B1142&gt;='112'!$N$8,$B1142&lt;='112'!$O$8,OR($L1142='112'!$I$6,$M1142='112'!$I$6))),"x",""))</f>
        <v/>
      </c>
      <c r="S1142" s="39" t="str">
        <f>IF(ISERROR(FIND('112'!$M$9,G1142,1)),"",IF((AND(LEFT(G1142,2)=LEFT('112'!$M$9,2),B1142&lt;'112'!$N$8,$L1142='112'!$I$6)),"x",""))</f>
        <v/>
      </c>
      <c r="T1142" s="39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39" t="str">
        <f>IF(OR(TH!L1142=TH!$V$7,M1142=TH!$V$7),"x","")</f>
        <v/>
      </c>
      <c r="W1142" s="39" t="str">
        <f>IF(AND(B1142&gt;='IN-NX'!$P$3,B1142&lt;='IN-NX'!$Q$3,'IN-NX'!$D$7=D1142,OR(LEFT(L1142,2)="15",AND(LEFT(M1142,2)&lt;&gt;"15",LEFT(M1142,2)&lt;&gt;"33"))),"x","")</f>
        <v/>
      </c>
      <c r="X1142" s="39" t="str">
        <f>IF(AND(OR(LEFT(TH!L1142,2)="15",LEFT(TH!M1142,2)="15"),'152-CT'!$J$8=TH!F1142),"x","")</f>
        <v/>
      </c>
      <c r="Y1142" s="39" t="str">
        <f>IF(AND(OR(LEFT(TH!L1142,2)="15",LEFT(TH!M1142,2)="15"),TK!$E$7=TH!F1142),"x","")</f>
        <v/>
      </c>
      <c r="Z1142" s="39" t="str">
        <f>IF(AND(B1142&lt;=NKC!$N$8,B1142&gt;=NKC!$M$8),"x","")</f>
        <v/>
      </c>
      <c r="AA1142" s="883"/>
    </row>
    <row r="1143" spans="1:30" s="211" customFormat="1" ht="15.75" customHeight="1">
      <c r="A1143" s="204" t="str">
        <f>IF(B1143&lt;&gt;"",IF(AND(B1143&gt;=_TM1,B1143&lt;=_TM2,OR(TH!L1143="1111",TH!M1143="1111")),TH!D1143,""),"")</f>
        <v/>
      </c>
      <c r="B1143" s="36">
        <f t="shared" si="436"/>
        <v>3</v>
      </c>
      <c r="C1143" s="191">
        <f t="shared" si="434"/>
        <v>41358</v>
      </c>
      <c r="D1143" s="191" t="s">
        <v>1292</v>
      </c>
      <c r="E1143" s="184">
        <v>41358</v>
      </c>
      <c r="F1143" s="192" t="s">
        <v>1241</v>
      </c>
      <c r="G1143" s="487" t="s">
        <v>781</v>
      </c>
      <c r="H1143" s="7" t="s">
        <v>1284</v>
      </c>
      <c r="I1143" s="753">
        <v>253</v>
      </c>
      <c r="J1143" s="845">
        <v>19910.059505275905</v>
      </c>
      <c r="K1143" s="602">
        <f t="shared" si="435"/>
        <v>5037245</v>
      </c>
      <c r="L1143" s="39" t="s">
        <v>165</v>
      </c>
      <c r="M1143" s="603" t="s">
        <v>159</v>
      </c>
      <c r="N1143" s="39" t="str">
        <f>IF(AND('331-CT'!$E$7=TH!H1143,OR(L1143="331",M1143="331")),"331",IF(AND(OR(L1143="131",M1143="131"),H1143='131-CT'!$E$7),"131",""))</f>
        <v/>
      </c>
      <c r="O1143" s="39" t="str">
        <f>IF(AND($B1143&gt;='111'!$N$11,$B1143&lt;='111'!$O$11,OR($L1143=$O$7,$M1143=$O$7)),"x","")</f>
        <v/>
      </c>
      <c r="P1143" s="39" t="str">
        <f>IF(AND($L1143=$O$7,$B1143&lt;'111'!$N$11),"x","")</f>
        <v/>
      </c>
      <c r="Q1143" s="39" t="str">
        <f>IF(AND($M1143=$O$7,$B1143&lt;'111'!$N$11),"x","")</f>
        <v/>
      </c>
      <c r="R1143" s="39" t="str">
        <f>IF(ISERROR(FIND('112'!$M$9,G1143,1)),"",IF((AND(FIND('112'!$M$9,G1143,1)&gt;=1,$B1143&gt;='112'!$N$8,$B1143&lt;='112'!$O$8,OR($L1143='112'!$I$6,$M1143='112'!$I$6))),"x",""))</f>
        <v/>
      </c>
      <c r="S1143" s="39" t="str">
        <f>IF(ISERROR(FIND('112'!$M$9,G1143,1)),"",IF((AND(LEFT(G1143,2)=LEFT('112'!$M$9,2),B1143&lt;'112'!$N$8,$L1143='112'!$I$6)),"x",""))</f>
        <v/>
      </c>
      <c r="T1143" s="39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39" t="str">
        <f>IF(OR(TH!L1143=TH!$V$7,M1143=TH!$V$7),"x","")</f>
        <v/>
      </c>
      <c r="W1143" s="39" t="str">
        <f>IF(AND(B1143&gt;='IN-NX'!$P$3,B1143&lt;='IN-NX'!$Q$3,'IN-NX'!$D$7=D1143,OR(LEFT(L1143,2)="15",AND(LEFT(M1143,2)&lt;&gt;"15",LEFT(M1143,2)&lt;&gt;"33"))),"x","")</f>
        <v/>
      </c>
      <c r="X1143" s="39" t="str">
        <f>IF(AND(OR(LEFT(TH!L1143,2)="15",LEFT(TH!M1143,2)="15"),'152-CT'!$J$8=TH!F1143),"x","")</f>
        <v/>
      </c>
      <c r="Y1143" s="39" t="str">
        <f>IF(AND(OR(LEFT(TH!L1143,2)="15",LEFT(TH!M1143,2)="15"),TK!$E$7=TH!F1143),"x","")</f>
        <v/>
      </c>
      <c r="Z1143" s="39" t="str">
        <f>IF(AND(B1143&lt;=NKC!$N$8,B1143&gt;=NKC!$M$8),"x","")</f>
        <v/>
      </c>
      <c r="AA1143" s="883"/>
    </row>
    <row r="1144" spans="1:30" s="211" customFormat="1" ht="15.75" customHeight="1">
      <c r="A1144" s="204" t="str">
        <f>IF(B1144&lt;&gt;"",IF(AND(B1144&gt;=_TM1,B1144&lt;=_TM2,OR(TH!L1144="1111",TH!M1144="1111")),TH!D1144,""),"")</f>
        <v/>
      </c>
      <c r="B1144" s="36">
        <f t="shared" si="436"/>
        <v>3</v>
      </c>
      <c r="C1144" s="191">
        <f t="shared" si="434"/>
        <v>41358</v>
      </c>
      <c r="D1144" s="191" t="s">
        <v>1292</v>
      </c>
      <c r="E1144" s="37">
        <v>41358</v>
      </c>
      <c r="F1144" s="297" t="s">
        <v>1223</v>
      </c>
      <c r="G1144" s="40" t="s">
        <v>781</v>
      </c>
      <c r="H1144" s="7" t="s">
        <v>1284</v>
      </c>
      <c r="I1144" s="305">
        <v>995</v>
      </c>
      <c r="J1144" s="801">
        <v>10775</v>
      </c>
      <c r="K1144" s="602">
        <f t="shared" si="435"/>
        <v>10721125</v>
      </c>
      <c r="L1144" s="39" t="s">
        <v>165</v>
      </c>
      <c r="M1144" s="603" t="s">
        <v>159</v>
      </c>
      <c r="N1144" s="39" t="str">
        <f>IF(AND('331-CT'!$E$7=TH!H1144,OR(L1144="331",M1144="331")),"331",IF(AND(OR(L1144="131",M1144="131"),H1144='131-CT'!$E$7),"131",""))</f>
        <v/>
      </c>
      <c r="O1144" s="39" t="str">
        <f>IF(AND($B1144&gt;='111'!$N$11,$B1144&lt;='111'!$O$11,OR($L1144=$O$7,$M1144=$O$7)),"x","")</f>
        <v/>
      </c>
      <c r="P1144" s="39" t="str">
        <f>IF(AND($L1144=$O$7,$B1144&lt;'111'!$N$11),"x","")</f>
        <v/>
      </c>
      <c r="Q1144" s="39" t="str">
        <f>IF(AND($M1144=$O$7,$B1144&lt;'111'!$N$11),"x","")</f>
        <v/>
      </c>
      <c r="R1144" s="39" t="str">
        <f>IF(ISERROR(FIND('112'!$M$9,G1144,1)),"",IF((AND(FIND('112'!$M$9,G1144,1)&gt;=1,$B1144&gt;='112'!$N$8,$B1144&lt;='112'!$O$8,OR($L1144='112'!$I$6,$M1144='112'!$I$6))),"x",""))</f>
        <v/>
      </c>
      <c r="S1144" s="39" t="str">
        <f>IF(ISERROR(FIND('112'!$M$9,G1144,1)),"",IF((AND(LEFT(G1144,2)=LEFT('112'!$M$9,2),B1144&lt;'112'!$N$8,$L1144='112'!$I$6)),"x",""))</f>
        <v/>
      </c>
      <c r="T1144" s="39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39" t="str">
        <f>IF(OR(TH!L1144=TH!$V$7,M1144=TH!$V$7),"x","")</f>
        <v/>
      </c>
      <c r="W1144" s="39" t="str">
        <f>IF(AND(B1144&gt;='IN-NX'!$P$3,B1144&lt;='IN-NX'!$Q$3,'IN-NX'!$D$7=D1144,OR(LEFT(L1144,2)="15",AND(LEFT(M1144,2)&lt;&gt;"15",LEFT(M1144,2)&lt;&gt;"33"))),"x","")</f>
        <v/>
      </c>
      <c r="X1144" s="39" t="str">
        <f>IF(AND(OR(LEFT(TH!L1144,2)="15",LEFT(TH!M1144,2)="15"),'152-CT'!$J$8=TH!F1144),"x","")</f>
        <v/>
      </c>
      <c r="Y1144" s="39" t="str">
        <f>IF(AND(OR(LEFT(TH!L1144,2)="15",LEFT(TH!M1144,2)="15"),TK!$E$7=TH!F1144),"x","")</f>
        <v/>
      </c>
      <c r="Z1144" s="39" t="str">
        <f>IF(AND(B1144&lt;=NKC!$N$8,B1144&gt;=NKC!$M$8),"x","")</f>
        <v/>
      </c>
      <c r="AA1144" s="883"/>
    </row>
    <row r="1145" spans="1:30" s="211" customFormat="1" ht="15.75" customHeight="1">
      <c r="A1145" s="204" t="str">
        <f>IF(B1145&lt;&gt;"",IF(AND(B1145&gt;=_TM1,B1145&lt;=_TM2,OR(TH!L1145="1111",TH!M1145="1111")),TH!D1145,""),"")</f>
        <v/>
      </c>
      <c r="B1145" s="36">
        <f t="shared" si="436"/>
        <v>3</v>
      </c>
      <c r="C1145" s="191">
        <f t="shared" si="434"/>
        <v>41358</v>
      </c>
      <c r="D1145" s="191" t="s">
        <v>1292</v>
      </c>
      <c r="E1145" s="191">
        <v>41358</v>
      </c>
      <c r="F1145" s="189" t="s">
        <v>1220</v>
      </c>
      <c r="G1145" s="604" t="s">
        <v>781</v>
      </c>
      <c r="H1145" s="7" t="s">
        <v>1284</v>
      </c>
      <c r="I1145" s="256">
        <v>100</v>
      </c>
      <c r="J1145" s="256">
        <v>11730</v>
      </c>
      <c r="K1145" s="602">
        <f t="shared" si="435"/>
        <v>1173000</v>
      </c>
      <c r="L1145" s="39" t="s">
        <v>165</v>
      </c>
      <c r="M1145" s="603" t="s">
        <v>159</v>
      </c>
      <c r="N1145" s="39" t="str">
        <f>IF(AND('331-CT'!$E$7=TH!H1145,OR(L1145="331",M1145="331")),"331",IF(AND(OR(L1145="131",M1145="131"),H1145='131-CT'!$E$7),"131",""))</f>
        <v/>
      </c>
      <c r="O1145" s="39" t="str">
        <f>IF(AND($B1145&gt;='111'!$N$11,$B1145&lt;='111'!$O$11,OR($L1145=$O$7,$M1145=$O$7)),"x","")</f>
        <v/>
      </c>
      <c r="P1145" s="39" t="str">
        <f>IF(AND($L1145=$O$7,$B1145&lt;'111'!$N$11),"x","")</f>
        <v/>
      </c>
      <c r="Q1145" s="39" t="str">
        <f>IF(AND($M1145=$O$7,$B1145&lt;'111'!$N$11),"x","")</f>
        <v/>
      </c>
      <c r="R1145" s="39" t="str">
        <f>IF(ISERROR(FIND('112'!$M$9,G1145,1)),"",IF((AND(FIND('112'!$M$9,G1145,1)&gt;=1,$B1145&gt;='112'!$N$8,$B1145&lt;='112'!$O$8,OR($L1145='112'!$I$6,$M1145='112'!$I$6))),"x",""))</f>
        <v/>
      </c>
      <c r="S1145" s="39" t="str">
        <f>IF(ISERROR(FIND('112'!$M$9,G1145,1)),"",IF((AND(LEFT(G1145,2)=LEFT('112'!$M$9,2),B1145&lt;'112'!$N$8,$L1145='112'!$I$6)),"x",""))</f>
        <v/>
      </c>
      <c r="T1145" s="39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39" t="str">
        <f>IF(OR(TH!L1145=TH!$V$7,M1145=TH!$V$7),"x","")</f>
        <v/>
      </c>
      <c r="W1145" s="39" t="str">
        <f>IF(AND(B1145&gt;='IN-NX'!$P$3,B1145&lt;='IN-NX'!$Q$3,'IN-NX'!$D$7=D1145,OR(LEFT(L1145,2)="15",AND(LEFT(M1145,2)&lt;&gt;"15",LEFT(M1145,2)&lt;&gt;"33"))),"x","")</f>
        <v/>
      </c>
      <c r="X1145" s="39" t="str">
        <f>IF(AND(OR(LEFT(TH!L1145,2)="15",LEFT(TH!M1145,2)="15"),'152-CT'!$J$8=TH!F1145),"x","")</f>
        <v/>
      </c>
      <c r="Y1145" s="39" t="str">
        <f>IF(AND(OR(LEFT(TH!L1145,2)="15",LEFT(TH!M1145,2)="15"),TK!$E$7=TH!F1145),"x","")</f>
        <v/>
      </c>
      <c r="Z1145" s="39" t="str">
        <f>IF(AND(B1145&lt;=NKC!$N$8,B1145&gt;=NKC!$M$8),"x","")</f>
        <v/>
      </c>
      <c r="AA1145" s="883"/>
    </row>
    <row r="1146" spans="1:30" s="211" customFormat="1" ht="15.75" customHeight="1">
      <c r="A1146" s="204" t="str">
        <f>IF(B1146&lt;&gt;"",IF(AND(B1146&gt;=_TM1,B1146&lt;=_TM2,OR(TH!L1146="1111",TH!M1146="1111")),TH!D1146,""),"")</f>
        <v/>
      </c>
      <c r="B1146" s="36">
        <f t="shared" si="436"/>
        <v>3</v>
      </c>
      <c r="C1146" s="191">
        <f t="shared" si="434"/>
        <v>41358</v>
      </c>
      <c r="D1146" s="191" t="s">
        <v>1292</v>
      </c>
      <c r="E1146" s="191">
        <v>41358</v>
      </c>
      <c r="F1146" s="189" t="s">
        <v>1181</v>
      </c>
      <c r="G1146" s="604" t="s">
        <v>781</v>
      </c>
      <c r="H1146" s="7" t="s">
        <v>1284</v>
      </c>
      <c r="I1146" s="256">
        <v>100</v>
      </c>
      <c r="J1146" s="256">
        <v>6413</v>
      </c>
      <c r="K1146" s="602">
        <f t="shared" si="435"/>
        <v>641300</v>
      </c>
      <c r="L1146" s="39" t="s">
        <v>165</v>
      </c>
      <c r="M1146" s="603" t="s">
        <v>159</v>
      </c>
      <c r="N1146" s="39" t="str">
        <f>IF(AND('331-CT'!$E$7=TH!H1146,OR(L1146="331",M1146="331")),"331",IF(AND(OR(L1146="131",M1146="131"),H1146='131-CT'!$E$7),"131",""))</f>
        <v/>
      </c>
      <c r="O1146" s="39" t="str">
        <f>IF(AND($B1146&gt;='111'!$N$11,$B1146&lt;='111'!$O$11,OR($L1146=$O$7,$M1146=$O$7)),"x","")</f>
        <v/>
      </c>
      <c r="P1146" s="39" t="str">
        <f>IF(AND($L1146=$O$7,$B1146&lt;'111'!$N$11),"x","")</f>
        <v/>
      </c>
      <c r="Q1146" s="39" t="str">
        <f>IF(AND($M1146=$O$7,$B1146&lt;'111'!$N$11),"x","")</f>
        <v/>
      </c>
      <c r="R1146" s="39" t="str">
        <f>IF(ISERROR(FIND('112'!$M$9,G1146,1)),"",IF((AND(FIND('112'!$M$9,G1146,1)&gt;=1,$B1146&gt;='112'!$N$8,$B1146&lt;='112'!$O$8,OR($L1146='112'!$I$6,$M1146='112'!$I$6))),"x",""))</f>
        <v/>
      </c>
      <c r="S1146" s="39" t="str">
        <f>IF(ISERROR(FIND('112'!$M$9,G1146,1)),"",IF((AND(LEFT(G1146,2)=LEFT('112'!$M$9,2),B1146&lt;'112'!$N$8,$L1146='112'!$I$6)),"x",""))</f>
        <v/>
      </c>
      <c r="T1146" s="39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39" t="str">
        <f>IF(OR(TH!L1146=TH!$V$7,M1146=TH!$V$7),"x","")</f>
        <v/>
      </c>
      <c r="W1146" s="39" t="str">
        <f>IF(AND(B1146&gt;='IN-NX'!$P$3,B1146&lt;='IN-NX'!$Q$3,'IN-NX'!$D$7=D1146,OR(LEFT(L1146,2)="15",AND(LEFT(M1146,2)&lt;&gt;"15",LEFT(M1146,2)&lt;&gt;"33"))),"x","")</f>
        <v/>
      </c>
      <c r="X1146" s="39" t="str">
        <f>IF(AND(OR(LEFT(TH!L1146,2)="15",LEFT(TH!M1146,2)="15"),'152-CT'!$J$8=TH!F1146),"x","")</f>
        <v/>
      </c>
      <c r="Y1146" s="39" t="str">
        <f>IF(AND(OR(LEFT(TH!L1146,2)="15",LEFT(TH!M1146,2)="15"),TK!$E$7=TH!F1146),"x","")</f>
        <v/>
      </c>
      <c r="Z1146" s="39" t="str">
        <f>IF(AND(B1146&lt;=NKC!$N$8,B1146&gt;=NKC!$M$8),"x","")</f>
        <v/>
      </c>
      <c r="AA1146" s="883"/>
    </row>
    <row r="1147" spans="1:30" s="211" customFormat="1" ht="15.75" customHeight="1">
      <c r="A1147" s="204" t="str">
        <f>IF(B1147&lt;&gt;"",IF(AND(B1147&gt;=_TM1,B1147&lt;=_TM2,OR(TH!L1147="1111",TH!M1147="1111")),TH!D1147,""),"")</f>
        <v/>
      </c>
      <c r="B1147" s="36">
        <f t="shared" si="436"/>
        <v>3</v>
      </c>
      <c r="C1147" s="191">
        <f t="shared" si="434"/>
        <v>41358</v>
      </c>
      <c r="D1147" s="191" t="s">
        <v>1292</v>
      </c>
      <c r="E1147" s="37">
        <v>41358</v>
      </c>
      <c r="F1147" s="40" t="s">
        <v>1192</v>
      </c>
      <c r="G1147" s="40" t="s">
        <v>781</v>
      </c>
      <c r="H1147" s="7" t="s">
        <v>1284</v>
      </c>
      <c r="I1147" s="256">
        <v>500</v>
      </c>
      <c r="J1147" s="256">
        <v>9377</v>
      </c>
      <c r="K1147" s="602">
        <f t="shared" si="435"/>
        <v>4688500</v>
      </c>
      <c r="L1147" s="39" t="s">
        <v>165</v>
      </c>
      <c r="M1147" s="603" t="s">
        <v>159</v>
      </c>
      <c r="N1147" s="39" t="str">
        <f>IF(AND('331-CT'!$E$7=TH!H1147,OR(L1147="331",M1147="331")),"331",IF(AND(OR(L1147="131",M1147="131"),H1147='131-CT'!$E$7),"131",""))</f>
        <v/>
      </c>
      <c r="O1147" s="39" t="str">
        <f>IF(AND($B1147&gt;='111'!$N$11,$B1147&lt;='111'!$O$11,OR($L1147=$O$7,$M1147=$O$7)),"x","")</f>
        <v/>
      </c>
      <c r="P1147" s="39" t="str">
        <f>IF(AND($L1147=$O$7,$B1147&lt;'111'!$N$11),"x","")</f>
        <v/>
      </c>
      <c r="Q1147" s="39" t="str">
        <f>IF(AND($M1147=$O$7,$B1147&lt;'111'!$N$11),"x","")</f>
        <v/>
      </c>
      <c r="R1147" s="39" t="str">
        <f>IF(ISERROR(FIND('112'!$M$9,G1147,1)),"",IF((AND(FIND('112'!$M$9,G1147,1)&gt;=1,$B1147&gt;='112'!$N$8,$B1147&lt;='112'!$O$8,OR($L1147='112'!$I$6,$M1147='112'!$I$6))),"x",""))</f>
        <v/>
      </c>
      <c r="S1147" s="39" t="str">
        <f>IF(ISERROR(FIND('112'!$M$9,G1147,1)),"",IF((AND(LEFT(G1147,2)=LEFT('112'!$M$9,2),B1147&lt;'112'!$N$8,$L1147='112'!$I$6)),"x",""))</f>
        <v/>
      </c>
      <c r="T1147" s="39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39" t="str">
        <f>IF(OR(TH!L1147=TH!$V$7,M1147=TH!$V$7),"x","")</f>
        <v/>
      </c>
      <c r="W1147" s="39" t="str">
        <f>IF(AND(B1147&gt;='IN-NX'!$P$3,B1147&lt;='IN-NX'!$Q$3,'IN-NX'!$D$7=D1147,OR(LEFT(L1147,2)="15",AND(LEFT(M1147,2)&lt;&gt;"15",LEFT(M1147,2)&lt;&gt;"33"))),"x","")</f>
        <v/>
      </c>
      <c r="X1147" s="39" t="str">
        <f>IF(AND(OR(LEFT(TH!L1147,2)="15",LEFT(TH!M1147,2)="15"),'152-CT'!$J$8=TH!F1147),"x","")</f>
        <v/>
      </c>
      <c r="Y1147" s="39" t="str">
        <f>IF(AND(OR(LEFT(TH!L1147,2)="15",LEFT(TH!M1147,2)="15"),TK!$E$7=TH!F1147),"x","")</f>
        <v/>
      </c>
      <c r="Z1147" s="39" t="str">
        <f>IF(AND(B1147&lt;=NKC!$N$8,B1147&gt;=NKC!$M$8),"x","")</f>
        <v/>
      </c>
      <c r="AA1147" s="883"/>
    </row>
    <row r="1148" spans="1:30" s="211" customFormat="1" ht="15.75" customHeight="1">
      <c r="A1148" s="204" t="str">
        <f>IF(B1148&lt;&gt;"",IF(AND(B1148&gt;=_TM1,B1148&lt;=_TM2,OR(TH!L1148="1111",TH!M1148="1111")),TH!D1148,""),"")</f>
        <v/>
      </c>
      <c r="B1148" s="36">
        <f t="shared" si="436"/>
        <v>3</v>
      </c>
      <c r="C1148" s="191">
        <f t="shared" si="434"/>
        <v>41360</v>
      </c>
      <c r="D1148" s="191" t="s">
        <v>1292</v>
      </c>
      <c r="E1148" s="37">
        <v>41360</v>
      </c>
      <c r="F1148" s="40" t="s">
        <v>1185</v>
      </c>
      <c r="G1148" s="40" t="s">
        <v>785</v>
      </c>
      <c r="H1148" s="7" t="s">
        <v>1284</v>
      </c>
      <c r="I1148" s="256">
        <v>360</v>
      </c>
      <c r="J1148" s="256">
        <v>13507</v>
      </c>
      <c r="K1148" s="602">
        <f t="shared" si="435"/>
        <v>4862520</v>
      </c>
      <c r="L1148" s="39" t="s">
        <v>165</v>
      </c>
      <c r="M1148" s="603" t="s">
        <v>159</v>
      </c>
      <c r="N1148" s="39" t="str">
        <f>IF(AND('331-CT'!$E$7=TH!H1148,OR(L1148="331",M1148="331")),"331",IF(AND(OR(L1148="131",M1148="131"),H1148='131-CT'!$E$7),"131",""))</f>
        <v/>
      </c>
      <c r="O1148" s="39" t="str">
        <f>IF(AND($B1148&gt;='111'!$N$11,$B1148&lt;='111'!$O$11,OR($L1148=$O$7,$M1148=$O$7)),"x","")</f>
        <v/>
      </c>
      <c r="P1148" s="39" t="str">
        <f>IF(AND($L1148=$O$7,$B1148&lt;'111'!$N$11),"x","")</f>
        <v/>
      </c>
      <c r="Q1148" s="39" t="str">
        <f>IF(AND($M1148=$O$7,$B1148&lt;'111'!$N$11),"x","")</f>
        <v/>
      </c>
      <c r="R1148" s="39" t="str">
        <f>IF(ISERROR(FIND('112'!$M$9,G1148,1)),"",IF((AND(FIND('112'!$M$9,G1148,1)&gt;=1,$B1148&gt;='112'!$N$8,$B1148&lt;='112'!$O$8,OR($L1148='112'!$I$6,$M1148='112'!$I$6))),"x",""))</f>
        <v/>
      </c>
      <c r="S1148" s="39" t="str">
        <f>IF(ISERROR(FIND('112'!$M$9,G1148,1)),"",IF((AND(LEFT(G1148,2)=LEFT('112'!$M$9,2),B1148&lt;'112'!$N$8,$L1148='112'!$I$6)),"x",""))</f>
        <v/>
      </c>
      <c r="T1148" s="39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39" t="str">
        <f>IF(OR(TH!L1148=TH!$V$7,M1148=TH!$V$7),"x","")</f>
        <v/>
      </c>
      <c r="W1148" s="39" t="str">
        <f>IF(AND(B1148&gt;='IN-NX'!$P$3,B1148&lt;='IN-NX'!$Q$3,'IN-NX'!$D$7=D1148,OR(LEFT(L1148,2)="15",AND(LEFT(M1148,2)&lt;&gt;"15",LEFT(M1148,2)&lt;&gt;"33"))),"x","")</f>
        <v/>
      </c>
      <c r="X1148" s="39" t="str">
        <f>IF(AND(OR(LEFT(TH!L1148,2)="15",LEFT(TH!M1148,2)="15"),'152-CT'!$J$8=TH!F1148),"x","")</f>
        <v/>
      </c>
      <c r="Y1148" s="39" t="str">
        <f>IF(AND(OR(LEFT(TH!L1148,2)="15",LEFT(TH!M1148,2)="15"),TK!$E$7=TH!F1148),"x","")</f>
        <v/>
      </c>
      <c r="Z1148" s="39" t="str">
        <f>IF(AND(B1148&lt;=NKC!$N$8,B1148&gt;=NKC!$M$8),"x","")</f>
        <v/>
      </c>
      <c r="AA1148" s="883"/>
    </row>
    <row r="1149" spans="1:30" s="211" customFormat="1" ht="15.75" customHeight="1">
      <c r="A1149" s="204" t="str">
        <f>IF(B1149&lt;&gt;"",IF(AND(B1149&gt;=_TM1,B1149&lt;=_TM2,OR(TH!L1149="1111",TH!M1149="1111")),TH!D1149,""),"")</f>
        <v/>
      </c>
      <c r="B1149" s="36">
        <f t="shared" si="436"/>
        <v>3</v>
      </c>
      <c r="C1149" s="191">
        <f t="shared" si="434"/>
        <v>41360</v>
      </c>
      <c r="D1149" s="191" t="s">
        <v>1292</v>
      </c>
      <c r="E1149" s="37">
        <v>41360</v>
      </c>
      <c r="F1149" s="40" t="s">
        <v>1180</v>
      </c>
      <c r="G1149" s="40" t="s">
        <v>786</v>
      </c>
      <c r="H1149" s="7" t="s">
        <v>1284</v>
      </c>
      <c r="I1149" s="256">
        <v>600</v>
      </c>
      <c r="J1149" s="256">
        <v>9098</v>
      </c>
      <c r="K1149" s="602">
        <f t="shared" si="435"/>
        <v>5458800</v>
      </c>
      <c r="L1149" s="39" t="s">
        <v>165</v>
      </c>
      <c r="M1149" s="603" t="s">
        <v>159</v>
      </c>
      <c r="N1149" s="39" t="str">
        <f>IF(AND('331-CT'!$E$7=TH!H1149,OR(L1149="331",M1149="331")),"331",IF(AND(OR(L1149="131",M1149="131"),H1149='131-CT'!$E$7),"131",""))</f>
        <v/>
      </c>
      <c r="O1149" s="39" t="str">
        <f>IF(AND($B1149&gt;='111'!$N$11,$B1149&lt;='111'!$O$11,OR($L1149=$O$7,$M1149=$O$7)),"x","")</f>
        <v/>
      </c>
      <c r="P1149" s="39" t="str">
        <f>IF(AND($L1149=$O$7,$B1149&lt;'111'!$N$11),"x","")</f>
        <v/>
      </c>
      <c r="Q1149" s="39" t="str">
        <f>IF(AND($M1149=$O$7,$B1149&lt;'111'!$N$11),"x","")</f>
        <v/>
      </c>
      <c r="R1149" s="39" t="str">
        <f>IF(ISERROR(FIND('112'!$M$9,G1149,1)),"",IF((AND(FIND('112'!$M$9,G1149,1)&gt;=1,$B1149&gt;='112'!$N$8,$B1149&lt;='112'!$O$8,OR($L1149='112'!$I$6,$M1149='112'!$I$6))),"x",""))</f>
        <v/>
      </c>
      <c r="S1149" s="39" t="str">
        <f>IF(ISERROR(FIND('112'!$M$9,G1149,1)),"",IF((AND(LEFT(G1149,2)=LEFT('112'!$M$9,2),B1149&lt;'112'!$N$8,$L1149='112'!$I$6)),"x",""))</f>
        <v/>
      </c>
      <c r="T1149" s="39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39" t="str">
        <f>IF(OR(TH!L1149=TH!$V$7,M1149=TH!$V$7),"x","")</f>
        <v/>
      </c>
      <c r="W1149" s="39" t="str">
        <f>IF(AND(B1149&gt;='IN-NX'!$P$3,B1149&lt;='IN-NX'!$Q$3,'IN-NX'!$D$7=D1149,OR(LEFT(L1149,2)="15",AND(LEFT(M1149,2)&lt;&gt;"15",LEFT(M1149,2)&lt;&gt;"33"))),"x","")</f>
        <v/>
      </c>
      <c r="X1149" s="39" t="str">
        <f>IF(AND(OR(LEFT(TH!L1149,2)="15",LEFT(TH!M1149,2)="15"),'152-CT'!$J$8=TH!F1149),"x","")</f>
        <v/>
      </c>
      <c r="Y1149" s="39" t="str">
        <f>IF(AND(OR(LEFT(TH!L1149,2)="15",LEFT(TH!M1149,2)="15"),TK!$E$7=TH!F1149),"x","")</f>
        <v/>
      </c>
      <c r="Z1149" s="39" t="str">
        <f>IF(AND(B1149&lt;=NKC!$N$8,B1149&gt;=NKC!$M$8),"x","")</f>
        <v/>
      </c>
      <c r="AA1149" s="883"/>
    </row>
    <row r="1150" spans="1:30" s="840" customFormat="1" ht="15.75" customHeight="1">
      <c r="A1150" s="902" t="str">
        <f>IF(B1150&lt;&gt;"",IF(AND(B1150&gt;=_TM1,B1150&lt;=_TM2,OR(TH!L1150="1111",TH!M1150="1111")),TH!D1150,""),"")</f>
        <v/>
      </c>
      <c r="B1150" s="838">
        <f t="shared" si="436"/>
        <v>3</v>
      </c>
      <c r="C1150" s="903">
        <f t="shared" si="434"/>
        <v>41364</v>
      </c>
      <c r="D1150" s="191" t="s">
        <v>1292</v>
      </c>
      <c r="E1150" s="903">
        <v>41364</v>
      </c>
      <c r="F1150" s="912" t="s">
        <v>709</v>
      </c>
      <c r="G1150" s="913" t="s">
        <v>787</v>
      </c>
      <c r="H1150" s="906" t="s">
        <v>1284</v>
      </c>
      <c r="I1150" s="914">
        <v>515</v>
      </c>
      <c r="J1150" s="914">
        <v>15000</v>
      </c>
      <c r="K1150" s="835">
        <f t="shared" si="435"/>
        <v>7725000</v>
      </c>
      <c r="L1150" s="828" t="s">
        <v>165</v>
      </c>
      <c r="M1150" s="909" t="s">
        <v>159</v>
      </c>
      <c r="N1150" s="828" t="str">
        <f>IF(AND('331-CT'!$E$7=TH!H1150,OR(L1150="331",M1150="331")),"331",IF(AND(OR(L1150="131",M1150="131"),H1150='131-CT'!$E$7),"131",""))</f>
        <v/>
      </c>
      <c r="O1150" s="828" t="str">
        <f>IF(AND($B1150&gt;='111'!$N$11,$B1150&lt;='111'!$O$11,OR($L1150=$O$7,$M1150=$O$7)),"x","")</f>
        <v/>
      </c>
      <c r="P1150" s="828" t="str">
        <f>IF(AND($L1150=$O$7,$B1150&lt;'111'!$N$11),"x","")</f>
        <v/>
      </c>
      <c r="Q1150" s="828" t="str">
        <f>IF(AND($M1150=$O$7,$B1150&lt;'111'!$N$11),"x","")</f>
        <v/>
      </c>
      <c r="R1150" s="828" t="str">
        <f>IF(ISERROR(FIND('112'!$M$9,G1150,1)),"",IF((AND(FIND('112'!$M$9,G1150,1)&gt;=1,$B1150&gt;='112'!$N$8,$B1150&lt;='112'!$O$8,OR($L1150='112'!$I$6,$M1150='112'!$I$6))),"x",""))</f>
        <v/>
      </c>
      <c r="S1150" s="828" t="str">
        <f>IF(ISERROR(FIND('112'!$M$9,G1150,1)),"",IF((AND(LEFT(G1150,2)=LEFT('112'!$M$9,2),B1150&lt;'112'!$N$8,$L1150='112'!$I$6)),"x",""))</f>
        <v/>
      </c>
      <c r="T1150" s="828" t="str">
        <f>IF(ISERROR(FIND('112'!$M$9,G1150,1)),"",IF((AND(RIGHT(G1150,2)=RIGHT('112'!$M$9,2),B1150&lt;'112'!$N$8,$M1150='112'!$I$6)),"x",""))</f>
        <v/>
      </c>
      <c r="U1150" s="828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828" t="str">
        <f>IF(OR(TH!L1150=TH!$V$7,M1150=TH!$V$7),"x","")</f>
        <v/>
      </c>
      <c r="W1150" s="828" t="str">
        <f>IF(AND(B1150&gt;='IN-NX'!$P$3,B1150&lt;='IN-NX'!$Q$3,'IN-NX'!$D$7=D1150,OR(LEFT(L1150,2)="15",AND(LEFT(M1150,2)&lt;&gt;"15",LEFT(M1150,2)&lt;&gt;"33"))),"x","")</f>
        <v/>
      </c>
      <c r="X1150" s="828" t="str">
        <f>IF(AND(OR(LEFT(TH!L1150,2)="15",LEFT(TH!M1150,2)="15"),'152-CT'!$J$8=TH!F1150),"x","")</f>
        <v/>
      </c>
      <c r="Y1150" s="828" t="str">
        <f>IF(AND(OR(LEFT(TH!L1150,2)="15",LEFT(TH!M1150,2)="15"),TK!$E$7=TH!F1150),"x","")</f>
        <v/>
      </c>
      <c r="Z1150" s="828" t="str">
        <f>IF(AND(B1150&lt;=NKC!$N$8,B1150&gt;=NKC!$M$8),"x","")</f>
        <v/>
      </c>
      <c r="AA1150" s="910"/>
    </row>
    <row r="1151" spans="1:30" s="211" customFormat="1" ht="15.75" customHeight="1">
      <c r="A1151" s="204" t="str">
        <f>IF(B1151&lt;&gt;"",IF(AND(B1151&gt;=_TM1,B1151&lt;=_TM2,OR(TH!L1151="1111",TH!M1151="1111")),TH!D1151,""),"")</f>
        <v/>
      </c>
      <c r="B1151" s="36">
        <f t="shared" si="436"/>
        <v>4</v>
      </c>
      <c r="C1151" s="191">
        <f t="shared" si="434"/>
        <v>41365</v>
      </c>
      <c r="D1151" s="191" t="s">
        <v>1292</v>
      </c>
      <c r="E1151" s="191">
        <v>41365</v>
      </c>
      <c r="F1151" s="297" t="s">
        <v>1227</v>
      </c>
      <c r="G1151" s="487" t="s">
        <v>789</v>
      </c>
      <c r="H1151" s="7" t="s">
        <v>1284</v>
      </c>
      <c r="I1151" s="256">
        <v>250</v>
      </c>
      <c r="J1151" s="256">
        <v>13999</v>
      </c>
      <c r="K1151" s="602">
        <f t="shared" si="435"/>
        <v>3499750</v>
      </c>
      <c r="L1151" s="39" t="s">
        <v>165</v>
      </c>
      <c r="M1151" s="603" t="s">
        <v>159</v>
      </c>
      <c r="N1151" s="39" t="str">
        <f>IF(AND('331-CT'!$E$7=TH!H1151,OR(L1151="331",M1151="331")),"331",IF(AND(OR(L1151="131",M1151="131"),H1151='131-CT'!$E$7),"131",""))</f>
        <v/>
      </c>
      <c r="O1151" s="39" t="str">
        <f>IF(AND($B1151&gt;='111'!$N$11,$B1151&lt;='111'!$O$11,OR($L1151=$O$7,$M1151=$O$7)),"x","")</f>
        <v/>
      </c>
      <c r="P1151" s="39" t="str">
        <f>IF(AND($L1151=$O$7,$B1151&lt;'111'!$N$11),"x","")</f>
        <v/>
      </c>
      <c r="Q1151" s="39" t="str">
        <f>IF(AND($M1151=$O$7,$B1151&lt;'111'!$N$11),"x","")</f>
        <v/>
      </c>
      <c r="R1151" s="39" t="str">
        <f>IF(ISERROR(FIND('112'!$M$9,G1151,1)),"",IF((AND(FIND('112'!$M$9,G1151,1)&gt;=1,$B1151&gt;='112'!$N$8,$B1151&lt;='112'!$O$8,OR($L1151='112'!$I$6,$M1151='112'!$I$6))),"x",""))</f>
        <v/>
      </c>
      <c r="S1151" s="39" t="str">
        <f>IF(ISERROR(FIND('112'!$M$9,G1151,1)),"",IF((AND(LEFT(G1151,2)=LEFT('112'!$M$9,2),B1151&lt;'112'!$N$8,$L1151='112'!$I$6)),"x",""))</f>
        <v/>
      </c>
      <c r="T1151" s="39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>154</v>
      </c>
      <c r="V1151" s="39" t="str">
        <f>IF(OR(TH!L1151=TH!$V$7,M1151=TH!$V$7),"x","")</f>
        <v/>
      </c>
      <c r="W1151" s="39" t="str">
        <f>IF(AND(B1151&gt;='IN-NX'!$P$3,B1151&lt;='IN-NX'!$Q$3,'IN-NX'!$D$7=D1151,OR(LEFT(L1151,2)="15",AND(LEFT(M1151,2)&lt;&gt;"15",LEFT(M1151,2)&lt;&gt;"33"))),"x","")</f>
        <v/>
      </c>
      <c r="X1151" s="39" t="str">
        <f>IF(AND(OR(LEFT(TH!L1151,2)="15",LEFT(TH!M1151,2)="15"),'152-CT'!$J$8=TH!F1151),"x","")</f>
        <v/>
      </c>
      <c r="Y1151" s="39" t="str">
        <f>IF(AND(OR(LEFT(TH!L1151,2)="15",LEFT(TH!M1151,2)="15"),TK!$E$7=TH!F1151),"x","")</f>
        <v/>
      </c>
      <c r="Z1151" s="39" t="str">
        <f>IF(AND(B1151&lt;=NKC!$N$8,B1151&gt;=NKC!$M$8),"x","")</f>
        <v/>
      </c>
      <c r="AA1151" s="883"/>
    </row>
    <row r="1152" spans="1:30" s="211" customFormat="1" ht="15.75" customHeight="1">
      <c r="A1152" s="204" t="str">
        <f>IF(B1152&lt;&gt;"",IF(AND(B1152&gt;=_TM1,B1152&lt;=_TM2,OR(TH!L1152="1111",TH!M1152="1111")),TH!D1152,""),"")</f>
        <v/>
      </c>
      <c r="B1152" s="36">
        <f t="shared" si="436"/>
        <v>4</v>
      </c>
      <c r="C1152" s="191">
        <f t="shared" si="434"/>
        <v>41365</v>
      </c>
      <c r="D1152" s="191" t="s">
        <v>1292</v>
      </c>
      <c r="E1152" s="773">
        <v>41365</v>
      </c>
      <c r="F1152" s="297" t="s">
        <v>1170</v>
      </c>
      <c r="G1152" s="40" t="s">
        <v>790</v>
      </c>
      <c r="H1152" s="7" t="s">
        <v>1284</v>
      </c>
      <c r="I1152" s="256">
        <v>202</v>
      </c>
      <c r="J1152" s="256">
        <v>20992</v>
      </c>
      <c r="K1152" s="602">
        <f t="shared" si="435"/>
        <v>4240384</v>
      </c>
      <c r="L1152" s="39" t="s">
        <v>165</v>
      </c>
      <c r="M1152" s="603" t="s">
        <v>159</v>
      </c>
      <c r="N1152" s="39" t="str">
        <f>IF(AND('331-CT'!$E$7=TH!H1152,OR(L1152="331",M1152="331")),"331",IF(AND(OR(L1152="131",M1152="131"),H1152='131-CT'!$E$7),"131",""))</f>
        <v/>
      </c>
      <c r="O1152" s="39" t="str">
        <f>IF(AND($B1152&gt;='111'!$N$11,$B1152&lt;='111'!$O$11,OR($L1152=$O$7,$M1152=$O$7)),"x","")</f>
        <v/>
      </c>
      <c r="P1152" s="39" t="str">
        <f>IF(AND($L1152=$O$7,$B1152&lt;'111'!$N$11),"x","")</f>
        <v/>
      </c>
      <c r="Q1152" s="39" t="str">
        <f>IF(AND($M1152=$O$7,$B1152&lt;'111'!$N$11),"x","")</f>
        <v/>
      </c>
      <c r="R1152" s="39" t="str">
        <f>IF(ISERROR(FIND('112'!$M$9,G1152,1)),"",IF((AND(FIND('112'!$M$9,G1152,1)&gt;=1,$B1152&gt;='112'!$N$8,$B1152&lt;='112'!$O$8,OR($L1152='112'!$I$6,$M1152='112'!$I$6))),"x",""))</f>
        <v/>
      </c>
      <c r="S1152" s="39" t="str">
        <f>IF(ISERROR(FIND('112'!$M$9,G1152,1)),"",IF((AND(LEFT(G1152,2)=LEFT('112'!$M$9,2),B1152&lt;'112'!$N$8,$L1152='112'!$I$6)),"x",""))</f>
        <v/>
      </c>
      <c r="T1152" s="39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>154</v>
      </c>
      <c r="V1152" s="39" t="str">
        <f>IF(OR(TH!L1152=TH!$V$7,M1152=TH!$V$7),"x","")</f>
        <v/>
      </c>
      <c r="W1152" s="39" t="str">
        <f>IF(AND(B1152&gt;='IN-NX'!$P$3,B1152&lt;='IN-NX'!$Q$3,'IN-NX'!$D$7=D1152,OR(LEFT(L1152,2)="15",AND(LEFT(M1152,2)&lt;&gt;"15",LEFT(M1152,2)&lt;&gt;"33"))),"x","")</f>
        <v/>
      </c>
      <c r="X1152" s="39" t="str">
        <f>IF(AND(OR(LEFT(TH!L1152,2)="15",LEFT(TH!M1152,2)="15"),'152-CT'!$J$8=TH!F1152),"x","")</f>
        <v/>
      </c>
      <c r="Y1152" s="39" t="str">
        <f>IF(AND(OR(LEFT(TH!L1152,2)="15",LEFT(TH!M1152,2)="15"),TK!$E$7=TH!F1152),"x","")</f>
        <v/>
      </c>
      <c r="Z1152" s="39" t="str">
        <f>IF(AND(B1152&lt;=NKC!$N$8,B1152&gt;=NKC!$M$8),"x","")</f>
        <v/>
      </c>
      <c r="AA1152" s="883"/>
    </row>
    <row r="1153" spans="1:27" s="211" customFormat="1" ht="15.75" customHeight="1">
      <c r="A1153" s="204" t="str">
        <f>IF(B1153&lt;&gt;"",IF(AND(B1153&gt;=_TM1,B1153&lt;=_TM2,OR(TH!L1153="1111",TH!M1153="1111")),TH!D1153,""),"")</f>
        <v/>
      </c>
      <c r="B1153" s="36">
        <f t="shared" si="436"/>
        <v>4</v>
      </c>
      <c r="C1153" s="191">
        <f t="shared" si="434"/>
        <v>41366</v>
      </c>
      <c r="D1153" s="191" t="s">
        <v>1292</v>
      </c>
      <c r="E1153" s="773">
        <v>41366</v>
      </c>
      <c r="F1153" s="40" t="s">
        <v>1246</v>
      </c>
      <c r="G1153" s="40" t="s">
        <v>577</v>
      </c>
      <c r="H1153" s="7" t="s">
        <v>1284</v>
      </c>
      <c r="I1153" s="256">
        <v>250</v>
      </c>
      <c r="J1153" s="256">
        <v>21023</v>
      </c>
      <c r="K1153" s="602">
        <f t="shared" si="435"/>
        <v>5255750</v>
      </c>
      <c r="L1153" s="39" t="s">
        <v>165</v>
      </c>
      <c r="M1153" s="603" t="s">
        <v>159</v>
      </c>
      <c r="N1153" s="39" t="str">
        <f>IF(AND('331-CT'!$E$7=TH!H1153,OR(L1153="331",M1153="331")),"331",IF(AND(OR(L1153="131",M1153="131"),H1153='131-CT'!$E$7),"131",""))</f>
        <v/>
      </c>
      <c r="O1153" s="39" t="str">
        <f>IF(AND($B1153&gt;='111'!$N$11,$B1153&lt;='111'!$O$11,OR($L1153=$O$7,$M1153=$O$7)),"x","")</f>
        <v/>
      </c>
      <c r="P1153" s="39" t="str">
        <f>IF(AND($L1153=$O$7,$B1153&lt;'111'!$N$11),"x","")</f>
        <v/>
      </c>
      <c r="Q1153" s="39" t="str">
        <f>IF(AND($M1153=$O$7,$B1153&lt;'111'!$N$11),"x","")</f>
        <v/>
      </c>
      <c r="R1153" s="39" t="str">
        <f>IF(ISERROR(FIND('112'!$M$9,G1153,1)),"",IF((AND(FIND('112'!$M$9,G1153,1)&gt;=1,$B1153&gt;='112'!$N$8,$B1153&lt;='112'!$O$8,OR($L1153='112'!$I$6,$M1153='112'!$I$6))),"x",""))</f>
        <v/>
      </c>
      <c r="S1153" s="39" t="str">
        <f>IF(ISERROR(FIND('112'!$M$9,G1153,1)),"",IF((AND(LEFT(G1153,2)=LEFT('112'!$M$9,2),B1153&lt;'112'!$N$8,$L1153='112'!$I$6)),"x",""))</f>
        <v/>
      </c>
      <c r="T1153" s="39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>154</v>
      </c>
      <c r="V1153" s="39" t="str">
        <f>IF(OR(TH!L1153=TH!$V$7,M1153=TH!$V$7),"x","")</f>
        <v/>
      </c>
      <c r="W1153" s="39" t="str">
        <f>IF(AND(B1153&gt;='IN-NX'!$P$3,B1153&lt;='IN-NX'!$Q$3,'IN-NX'!$D$7=D1153,OR(LEFT(L1153,2)="15",AND(LEFT(M1153,2)&lt;&gt;"15",LEFT(M1153,2)&lt;&gt;"33"))),"x","")</f>
        <v/>
      </c>
      <c r="X1153" s="39" t="str">
        <f>IF(AND(OR(LEFT(TH!L1153,2)="15",LEFT(TH!M1153,2)="15"),'152-CT'!$J$8=TH!F1153),"x","")</f>
        <v/>
      </c>
      <c r="Y1153" s="39" t="str">
        <f>IF(AND(OR(LEFT(TH!L1153,2)="15",LEFT(TH!M1153,2)="15"),TK!$E$7=TH!F1153),"x","")</f>
        <v/>
      </c>
      <c r="Z1153" s="39" t="str">
        <f>IF(AND(B1153&lt;=NKC!$N$8,B1153&gt;=NKC!$M$8),"x","")</f>
        <v/>
      </c>
      <c r="AA1153" s="883"/>
    </row>
    <row r="1154" spans="1:27" s="211" customFormat="1" ht="15.75" customHeight="1">
      <c r="A1154" s="204" t="str">
        <f>IF(B1154&lt;&gt;"",IF(AND(B1154&gt;=_TM1,B1154&lt;=_TM2,OR(TH!L1154="1111",TH!M1154="1111")),TH!D1154,""),"")</f>
        <v/>
      </c>
      <c r="B1154" s="36">
        <f t="shared" si="436"/>
        <v>4</v>
      </c>
      <c r="C1154" s="191">
        <f t="shared" si="434"/>
        <v>41366</v>
      </c>
      <c r="D1154" s="191" t="s">
        <v>1292</v>
      </c>
      <c r="E1154" s="773">
        <v>41366</v>
      </c>
      <c r="F1154" s="40" t="s">
        <v>1174</v>
      </c>
      <c r="G1154" s="40" t="s">
        <v>794</v>
      </c>
      <c r="H1154" s="7" t="s">
        <v>1284</v>
      </c>
      <c r="I1154" s="814">
        <v>508</v>
      </c>
      <c r="J1154" s="256">
        <v>22663</v>
      </c>
      <c r="K1154" s="602">
        <f t="shared" si="435"/>
        <v>11512804</v>
      </c>
      <c r="L1154" s="39" t="s">
        <v>165</v>
      </c>
      <c r="M1154" s="603" t="s">
        <v>159</v>
      </c>
      <c r="N1154" s="39" t="str">
        <f>IF(AND('331-CT'!$E$7=TH!H1154,OR(L1154="331",M1154="331")),"331",IF(AND(OR(L1154="131",M1154="131"),H1154='131-CT'!$E$7),"131",""))</f>
        <v/>
      </c>
      <c r="O1154" s="39" t="str">
        <f>IF(AND($B1154&gt;='111'!$N$11,$B1154&lt;='111'!$O$11,OR($L1154=$O$7,$M1154=$O$7)),"x","")</f>
        <v/>
      </c>
      <c r="P1154" s="39" t="str">
        <f>IF(AND($L1154=$O$7,$B1154&lt;'111'!$N$11),"x","")</f>
        <v/>
      </c>
      <c r="Q1154" s="39" t="str">
        <f>IF(AND($M1154=$O$7,$B1154&lt;'111'!$N$11),"x","")</f>
        <v/>
      </c>
      <c r="R1154" s="39" t="str">
        <f>IF(ISERROR(FIND('112'!$M$9,G1154,1)),"",IF((AND(FIND('112'!$M$9,G1154,1)&gt;=1,$B1154&gt;='112'!$N$8,$B1154&lt;='112'!$O$8,OR($L1154='112'!$I$6,$M1154='112'!$I$6))),"x",""))</f>
        <v/>
      </c>
      <c r="S1154" s="39" t="str">
        <f>IF(ISERROR(FIND('112'!$M$9,G1154,1)),"",IF((AND(LEFT(G1154,2)=LEFT('112'!$M$9,2),B1154&lt;'112'!$N$8,$L1154='112'!$I$6)),"x",""))</f>
        <v/>
      </c>
      <c r="T1154" s="39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>154</v>
      </c>
      <c r="V1154" s="39" t="str">
        <f>IF(OR(TH!L1154=TH!$V$7,M1154=TH!$V$7),"x","")</f>
        <v/>
      </c>
      <c r="W1154" s="39" t="str">
        <f>IF(AND(B1154&gt;='IN-NX'!$P$3,B1154&lt;='IN-NX'!$Q$3,'IN-NX'!$D$7=D1154,OR(LEFT(L1154,2)="15",AND(LEFT(M1154,2)&lt;&gt;"15",LEFT(M1154,2)&lt;&gt;"33"))),"x","")</f>
        <v/>
      </c>
      <c r="X1154" s="39" t="str">
        <f>IF(AND(OR(LEFT(TH!L1154,2)="15",LEFT(TH!M1154,2)="15"),'152-CT'!$J$8=TH!F1154),"x","")</f>
        <v/>
      </c>
      <c r="Y1154" s="39" t="str">
        <f>IF(AND(OR(LEFT(TH!L1154,2)="15",LEFT(TH!M1154,2)="15"),TK!$E$7=TH!F1154),"x","")</f>
        <v/>
      </c>
      <c r="Z1154" s="39" t="str">
        <f>IF(AND(B1154&lt;=NKC!$N$8,B1154&gt;=NKC!$M$8),"x","")</f>
        <v/>
      </c>
      <c r="AA1154" s="883"/>
    </row>
    <row r="1155" spans="1:27" s="211" customFormat="1" ht="15.75" customHeight="1">
      <c r="A1155" s="204" t="str">
        <f>IF(B1155&lt;&gt;"",IF(AND(B1155&gt;=_TM1,B1155&lt;=_TM2,OR(TH!L1155="1111",TH!M1155="1111")),TH!D1155,""),"")</f>
        <v/>
      </c>
      <c r="B1155" s="36">
        <f t="shared" si="436"/>
        <v>4</v>
      </c>
      <c r="C1155" s="191">
        <f t="shared" si="434"/>
        <v>41367</v>
      </c>
      <c r="D1155" s="191" t="s">
        <v>1292</v>
      </c>
      <c r="E1155" s="773">
        <v>41367</v>
      </c>
      <c r="F1155" s="189" t="s">
        <v>1174</v>
      </c>
      <c r="G1155" s="40" t="s">
        <v>796</v>
      </c>
      <c r="H1155" s="7" t="s">
        <v>1284</v>
      </c>
      <c r="I1155" s="814">
        <v>250</v>
      </c>
      <c r="J1155" s="256">
        <v>22663</v>
      </c>
      <c r="K1155" s="602">
        <f t="shared" si="435"/>
        <v>5665750</v>
      </c>
      <c r="L1155" s="39" t="s">
        <v>165</v>
      </c>
      <c r="M1155" s="603" t="s">
        <v>159</v>
      </c>
      <c r="N1155" s="39" t="str">
        <f>IF(AND('331-CT'!$E$7=TH!H1155,OR(L1155="331",M1155="331")),"331",IF(AND(OR(L1155="131",M1155="131"),H1155='131-CT'!$E$7),"131",""))</f>
        <v/>
      </c>
      <c r="O1155" s="39" t="str">
        <f>IF(AND($B1155&gt;='111'!$N$11,$B1155&lt;='111'!$O$11,OR($L1155=$O$7,$M1155=$O$7)),"x","")</f>
        <v/>
      </c>
      <c r="P1155" s="39" t="str">
        <f>IF(AND($L1155=$O$7,$B1155&lt;'111'!$N$11),"x","")</f>
        <v/>
      </c>
      <c r="Q1155" s="39" t="str">
        <f>IF(AND($M1155=$O$7,$B1155&lt;'111'!$N$11),"x","")</f>
        <v/>
      </c>
      <c r="R1155" s="39" t="str">
        <f>IF(ISERROR(FIND('112'!$M$9,G1155,1)),"",IF((AND(FIND('112'!$M$9,G1155,1)&gt;=1,$B1155&gt;='112'!$N$8,$B1155&lt;='112'!$O$8,OR($L1155='112'!$I$6,$M1155='112'!$I$6))),"x",""))</f>
        <v/>
      </c>
      <c r="S1155" s="39" t="str">
        <f>IF(ISERROR(FIND('112'!$M$9,G1155,1)),"",IF((AND(LEFT(G1155,2)=LEFT('112'!$M$9,2),B1155&lt;'112'!$N$8,$L1155='112'!$I$6)),"x",""))</f>
        <v/>
      </c>
      <c r="T1155" s="39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>154</v>
      </c>
      <c r="V1155" s="39" t="str">
        <f>IF(OR(TH!L1155=TH!$V$7,M1155=TH!$V$7),"x","")</f>
        <v/>
      </c>
      <c r="W1155" s="39" t="str">
        <f>IF(AND(B1155&gt;='IN-NX'!$P$3,B1155&lt;='IN-NX'!$Q$3,'IN-NX'!$D$7=D1155,OR(LEFT(L1155,2)="15",AND(LEFT(M1155,2)&lt;&gt;"15",LEFT(M1155,2)&lt;&gt;"33"))),"x","")</f>
        <v/>
      </c>
      <c r="X1155" s="39" t="str">
        <f>IF(AND(OR(LEFT(TH!L1155,2)="15",LEFT(TH!M1155,2)="15"),'152-CT'!$J$8=TH!F1155),"x","")</f>
        <v/>
      </c>
      <c r="Y1155" s="39" t="str">
        <f>IF(AND(OR(LEFT(TH!L1155,2)="15",LEFT(TH!M1155,2)="15"),TK!$E$7=TH!F1155),"x","")</f>
        <v/>
      </c>
      <c r="Z1155" s="39" t="str">
        <f>IF(AND(B1155&lt;=NKC!$N$8,B1155&gt;=NKC!$M$8),"x","")</f>
        <v/>
      </c>
      <c r="AA1155" s="883"/>
    </row>
    <row r="1156" spans="1:27" s="211" customFormat="1" ht="15.75" customHeight="1">
      <c r="A1156" s="204" t="str">
        <f>IF(B1156&lt;&gt;"",IF(AND(B1156&gt;=_TM1,B1156&lt;=_TM2,OR(TH!L1156="1111",TH!M1156="1111")),TH!D1156,""),"")</f>
        <v/>
      </c>
      <c r="B1156" s="36">
        <f t="shared" si="436"/>
        <v>4</v>
      </c>
      <c r="C1156" s="191">
        <f t="shared" si="434"/>
        <v>41367</v>
      </c>
      <c r="D1156" s="191" t="s">
        <v>1292</v>
      </c>
      <c r="E1156" s="773">
        <v>41367</v>
      </c>
      <c r="F1156" s="189" t="s">
        <v>1174</v>
      </c>
      <c r="G1156" s="40" t="s">
        <v>796</v>
      </c>
      <c r="H1156" s="7" t="s">
        <v>1284</v>
      </c>
      <c r="I1156" s="814">
        <v>50</v>
      </c>
      <c r="J1156" s="256">
        <v>22663</v>
      </c>
      <c r="K1156" s="602">
        <f t="shared" si="435"/>
        <v>1133150</v>
      </c>
      <c r="L1156" s="39" t="s">
        <v>165</v>
      </c>
      <c r="M1156" s="603" t="s">
        <v>159</v>
      </c>
      <c r="N1156" s="39" t="str">
        <f>IF(AND('331-CT'!$E$7=TH!H1156,OR(L1156="331",M1156="331")),"331",IF(AND(OR(L1156="131",M1156="131"),H1156='131-CT'!$E$7),"131",""))</f>
        <v/>
      </c>
      <c r="O1156" s="39" t="str">
        <f>IF(AND($B1156&gt;='111'!$N$11,$B1156&lt;='111'!$O$11,OR($L1156=$O$7,$M1156=$O$7)),"x","")</f>
        <v/>
      </c>
      <c r="P1156" s="39" t="str">
        <f>IF(AND($L1156=$O$7,$B1156&lt;'111'!$N$11),"x","")</f>
        <v/>
      </c>
      <c r="Q1156" s="39" t="str">
        <f>IF(AND($M1156=$O$7,$B1156&lt;'111'!$N$11),"x","")</f>
        <v/>
      </c>
      <c r="R1156" s="39" t="str">
        <f>IF(ISERROR(FIND('112'!$M$9,G1156,1)),"",IF((AND(FIND('112'!$M$9,G1156,1)&gt;=1,$B1156&gt;='112'!$N$8,$B1156&lt;='112'!$O$8,OR($L1156='112'!$I$6,$M1156='112'!$I$6))),"x",""))</f>
        <v/>
      </c>
      <c r="S1156" s="39" t="str">
        <f>IF(ISERROR(FIND('112'!$M$9,G1156,1)),"",IF((AND(LEFT(G1156,2)=LEFT('112'!$M$9,2),B1156&lt;'112'!$N$8,$L1156='112'!$I$6)),"x",""))</f>
        <v/>
      </c>
      <c r="T1156" s="39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>154</v>
      </c>
      <c r="V1156" s="39" t="str">
        <f>IF(OR(TH!L1156=TH!$V$7,M1156=TH!$V$7),"x","")</f>
        <v/>
      </c>
      <c r="W1156" s="39" t="str">
        <f>IF(AND(B1156&gt;='IN-NX'!$P$3,B1156&lt;='IN-NX'!$Q$3,'IN-NX'!$D$7=D1156,OR(LEFT(L1156,2)="15",AND(LEFT(M1156,2)&lt;&gt;"15",LEFT(M1156,2)&lt;&gt;"33"))),"x","")</f>
        <v/>
      </c>
      <c r="X1156" s="39" t="str">
        <f>IF(AND(OR(LEFT(TH!L1156,2)="15",LEFT(TH!M1156,2)="15"),'152-CT'!$J$8=TH!F1156),"x","")</f>
        <v/>
      </c>
      <c r="Y1156" s="39" t="str">
        <f>IF(AND(OR(LEFT(TH!L1156,2)="15",LEFT(TH!M1156,2)="15"),TK!$E$7=TH!F1156),"x","")</f>
        <v/>
      </c>
      <c r="Z1156" s="39" t="str">
        <f>IF(AND(B1156&lt;=NKC!$N$8,B1156&gt;=NKC!$M$8),"x","")</f>
        <v/>
      </c>
      <c r="AA1156" s="883"/>
    </row>
    <row r="1157" spans="1:27" s="211" customFormat="1" ht="15.75" customHeight="1">
      <c r="A1157" s="204" t="str">
        <f>IF(B1157&lt;&gt;"",IF(AND(B1157&gt;=_TM1,B1157&lt;=_TM2,OR(TH!L1157="1111",TH!M1157="1111")),TH!D1157,""),"")</f>
        <v/>
      </c>
      <c r="B1157" s="36">
        <f t="shared" si="436"/>
        <v>4</v>
      </c>
      <c r="C1157" s="191">
        <f t="shared" si="434"/>
        <v>41372</v>
      </c>
      <c r="D1157" s="191" t="s">
        <v>1292</v>
      </c>
      <c r="E1157" s="773">
        <v>41372</v>
      </c>
      <c r="F1157" s="297" t="s">
        <v>1240</v>
      </c>
      <c r="G1157" s="40" t="s">
        <v>797</v>
      </c>
      <c r="H1157" s="7" t="s">
        <v>1284</v>
      </c>
      <c r="I1157" s="256">
        <v>1000</v>
      </c>
      <c r="J1157" s="256">
        <v>17625</v>
      </c>
      <c r="K1157" s="602">
        <f t="shared" si="435"/>
        <v>17625000</v>
      </c>
      <c r="L1157" s="39" t="s">
        <v>165</v>
      </c>
      <c r="M1157" s="603" t="s">
        <v>159</v>
      </c>
      <c r="N1157" s="39" t="str">
        <f>IF(AND('331-CT'!$E$7=TH!H1157,OR(L1157="331",M1157="331")),"331",IF(AND(OR(L1157="131",M1157="131"),H1157='131-CT'!$E$7),"131",""))</f>
        <v/>
      </c>
      <c r="O1157" s="39" t="str">
        <f>IF(AND($B1157&gt;='111'!$N$11,$B1157&lt;='111'!$O$11,OR($L1157=$O$7,$M1157=$O$7)),"x","")</f>
        <v/>
      </c>
      <c r="P1157" s="39" t="str">
        <f>IF(AND($L1157=$O$7,$B1157&lt;'111'!$N$11),"x","")</f>
        <v/>
      </c>
      <c r="Q1157" s="39" t="str">
        <f>IF(AND($M1157=$O$7,$B1157&lt;'111'!$N$11),"x","")</f>
        <v/>
      </c>
      <c r="R1157" s="39" t="str">
        <f>IF(ISERROR(FIND('112'!$M$9,G1157,1)),"",IF((AND(FIND('112'!$M$9,G1157,1)&gt;=1,$B1157&gt;='112'!$N$8,$B1157&lt;='112'!$O$8,OR($L1157='112'!$I$6,$M1157='112'!$I$6))),"x",""))</f>
        <v/>
      </c>
      <c r="S1157" s="39" t="str">
        <f>IF(ISERROR(FIND('112'!$M$9,G1157,1)),"",IF((AND(LEFT(G1157,2)=LEFT('112'!$M$9,2),B1157&lt;'112'!$N$8,$L1157='112'!$I$6)),"x",""))</f>
        <v/>
      </c>
      <c r="T1157" s="39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>154</v>
      </c>
      <c r="V1157" s="39" t="str">
        <f>IF(OR(TH!L1157=TH!$V$7,M1157=TH!$V$7),"x","")</f>
        <v/>
      </c>
      <c r="W1157" s="39" t="str">
        <f>IF(AND(B1157&gt;='IN-NX'!$P$3,B1157&lt;='IN-NX'!$Q$3,'IN-NX'!$D$7=D1157,OR(LEFT(L1157,2)="15",AND(LEFT(M1157,2)&lt;&gt;"15",LEFT(M1157,2)&lt;&gt;"33"))),"x","")</f>
        <v/>
      </c>
      <c r="X1157" s="39" t="str">
        <f>IF(AND(OR(LEFT(TH!L1157,2)="15",LEFT(TH!M1157,2)="15"),'152-CT'!$J$8=TH!F1157),"x","")</f>
        <v/>
      </c>
      <c r="Y1157" s="39" t="str">
        <f>IF(AND(OR(LEFT(TH!L1157,2)="15",LEFT(TH!M1157,2)="15"),TK!$E$7=TH!F1157),"x","")</f>
        <v/>
      </c>
      <c r="Z1157" s="39" t="str">
        <f>IF(AND(B1157&lt;=NKC!$N$8,B1157&gt;=NKC!$M$8),"x","")</f>
        <v/>
      </c>
      <c r="AA1157" s="883"/>
    </row>
    <row r="1158" spans="1:27" s="211" customFormat="1" ht="15.75" customHeight="1">
      <c r="A1158" s="204" t="str">
        <f>IF(B1158&lt;&gt;"",IF(AND(B1158&gt;=_TM1,B1158&lt;=_TM2,OR(TH!L1158="1111",TH!M1158="1111")),TH!D1158,""),"")</f>
        <v/>
      </c>
      <c r="B1158" s="36">
        <f t="shared" si="436"/>
        <v>4</v>
      </c>
      <c r="C1158" s="191">
        <f t="shared" si="434"/>
        <v>41372</v>
      </c>
      <c r="D1158" s="191" t="s">
        <v>1292</v>
      </c>
      <c r="E1158" s="773">
        <v>41372</v>
      </c>
      <c r="F1158" s="189" t="s">
        <v>1241</v>
      </c>
      <c r="G1158" s="40" t="s">
        <v>797</v>
      </c>
      <c r="H1158" s="7" t="s">
        <v>1284</v>
      </c>
      <c r="I1158" s="814">
        <v>691</v>
      </c>
      <c r="J1158" s="256">
        <v>19910.059520224833</v>
      </c>
      <c r="K1158" s="602">
        <f t="shared" si="435"/>
        <v>13757851</v>
      </c>
      <c r="L1158" s="39" t="s">
        <v>165</v>
      </c>
      <c r="M1158" s="603" t="s">
        <v>159</v>
      </c>
      <c r="N1158" s="39" t="str">
        <f>IF(AND('331-CT'!$E$7=TH!H1158,OR(L1158="331",M1158="331")),"331",IF(AND(OR(L1158="131",M1158="131"),H1158='131-CT'!$E$7),"131",""))</f>
        <v/>
      </c>
      <c r="O1158" s="39" t="str">
        <f>IF(AND($B1158&gt;='111'!$N$11,$B1158&lt;='111'!$O$11,OR($L1158=$O$7,$M1158=$O$7)),"x","")</f>
        <v/>
      </c>
      <c r="P1158" s="39" t="str">
        <f>IF(AND($L1158=$O$7,$B1158&lt;'111'!$N$11),"x","")</f>
        <v/>
      </c>
      <c r="Q1158" s="39" t="str">
        <f>IF(AND($M1158=$O$7,$B1158&lt;'111'!$N$11),"x","")</f>
        <v/>
      </c>
      <c r="R1158" s="39" t="str">
        <f>IF(ISERROR(FIND('112'!$M$9,G1158,1)),"",IF((AND(FIND('112'!$M$9,G1158,1)&gt;=1,$B1158&gt;='112'!$N$8,$B1158&lt;='112'!$O$8,OR($L1158='112'!$I$6,$M1158='112'!$I$6))),"x",""))</f>
        <v/>
      </c>
      <c r="S1158" s="39" t="str">
        <f>IF(ISERROR(FIND('112'!$M$9,G1158,1)),"",IF((AND(LEFT(G1158,2)=LEFT('112'!$M$9,2),B1158&lt;'112'!$N$8,$L1158='112'!$I$6)),"x",""))</f>
        <v/>
      </c>
      <c r="T1158" s="39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>154</v>
      </c>
      <c r="V1158" s="39" t="str">
        <f>IF(OR(TH!L1158=TH!$V$7,M1158=TH!$V$7),"x","")</f>
        <v/>
      </c>
      <c r="W1158" s="39" t="str">
        <f>IF(AND(B1158&gt;='IN-NX'!$P$3,B1158&lt;='IN-NX'!$Q$3,'IN-NX'!$D$7=D1158,OR(LEFT(L1158,2)="15",AND(LEFT(M1158,2)&lt;&gt;"15",LEFT(M1158,2)&lt;&gt;"33"))),"x","")</f>
        <v/>
      </c>
      <c r="X1158" s="39" t="str">
        <f>IF(AND(OR(LEFT(TH!L1158,2)="15",LEFT(TH!M1158,2)="15"),'152-CT'!$J$8=TH!F1158),"x","")</f>
        <v/>
      </c>
      <c r="Y1158" s="39" t="str">
        <f>IF(AND(OR(LEFT(TH!L1158,2)="15",LEFT(TH!M1158,2)="15"),TK!$E$7=TH!F1158),"x","")</f>
        <v/>
      </c>
      <c r="Z1158" s="39" t="str">
        <f>IF(AND(B1158&lt;=NKC!$N$8,B1158&gt;=NKC!$M$8),"x","")</f>
        <v/>
      </c>
      <c r="AA1158" s="883"/>
    </row>
    <row r="1159" spans="1:27" s="211" customFormat="1" ht="15.75" customHeight="1">
      <c r="A1159" s="204" t="str">
        <f>IF(B1159&lt;&gt;"",IF(AND(B1159&gt;=_TM1,B1159&lt;=_TM2,OR(TH!L1159="1111",TH!M1159="1111")),TH!D1159,""),"")</f>
        <v/>
      </c>
      <c r="B1159" s="36">
        <f t="shared" si="436"/>
        <v>4</v>
      </c>
      <c r="C1159" s="191">
        <f t="shared" si="434"/>
        <v>41372</v>
      </c>
      <c r="D1159" s="191" t="s">
        <v>1292</v>
      </c>
      <c r="E1159" s="773">
        <v>41372</v>
      </c>
      <c r="F1159" s="189" t="s">
        <v>1206</v>
      </c>
      <c r="G1159" s="40" t="s">
        <v>798</v>
      </c>
      <c r="H1159" s="7" t="s">
        <v>1284</v>
      </c>
      <c r="I1159" s="814">
        <v>103</v>
      </c>
      <c r="J1159" s="256">
        <v>16278</v>
      </c>
      <c r="K1159" s="602">
        <f t="shared" si="435"/>
        <v>1676634</v>
      </c>
      <c r="L1159" s="39" t="s">
        <v>165</v>
      </c>
      <c r="M1159" s="603" t="s">
        <v>159</v>
      </c>
      <c r="N1159" s="39" t="str">
        <f>IF(AND('331-CT'!$E$7=TH!H1159,OR(L1159="331",M1159="331")),"331",IF(AND(OR(L1159="131",M1159="131"),H1159='131-CT'!$E$7),"131",""))</f>
        <v/>
      </c>
      <c r="O1159" s="39" t="str">
        <f>IF(AND($B1159&gt;='111'!$N$11,$B1159&lt;='111'!$O$11,OR($L1159=$O$7,$M1159=$O$7)),"x","")</f>
        <v/>
      </c>
      <c r="P1159" s="39" t="str">
        <f>IF(AND($L1159=$O$7,$B1159&lt;'111'!$N$11),"x","")</f>
        <v/>
      </c>
      <c r="Q1159" s="39" t="str">
        <f>IF(AND($M1159=$O$7,$B1159&lt;'111'!$N$11),"x","")</f>
        <v/>
      </c>
      <c r="R1159" s="39" t="str">
        <f>IF(ISERROR(FIND('112'!$M$9,G1159,1)),"",IF((AND(FIND('112'!$M$9,G1159,1)&gt;=1,$B1159&gt;='112'!$N$8,$B1159&lt;='112'!$O$8,OR($L1159='112'!$I$6,$M1159='112'!$I$6))),"x",""))</f>
        <v/>
      </c>
      <c r="S1159" s="39" t="str">
        <f>IF(ISERROR(FIND('112'!$M$9,G1159,1)),"",IF((AND(LEFT(G1159,2)=LEFT('112'!$M$9,2),B1159&lt;'112'!$N$8,$L1159='112'!$I$6)),"x",""))</f>
        <v/>
      </c>
      <c r="T1159" s="39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>154</v>
      </c>
      <c r="V1159" s="39" t="str">
        <f>IF(OR(TH!L1159=TH!$V$7,M1159=TH!$V$7),"x","")</f>
        <v/>
      </c>
      <c r="W1159" s="39" t="str">
        <f>IF(AND(B1159&gt;='IN-NX'!$P$3,B1159&lt;='IN-NX'!$Q$3,'IN-NX'!$D$7=D1159,OR(LEFT(L1159,2)="15",AND(LEFT(M1159,2)&lt;&gt;"15",LEFT(M1159,2)&lt;&gt;"33"))),"x","")</f>
        <v/>
      </c>
      <c r="X1159" s="39" t="str">
        <f>IF(AND(OR(LEFT(TH!L1159,2)="15",LEFT(TH!M1159,2)="15"),'152-CT'!$J$8=TH!F1159),"x","")</f>
        <v/>
      </c>
      <c r="Y1159" s="39" t="str">
        <f>IF(AND(OR(LEFT(TH!L1159,2)="15",LEFT(TH!M1159,2)="15"),TK!$E$7=TH!F1159),"x","")</f>
        <v/>
      </c>
      <c r="Z1159" s="39" t="str">
        <f>IF(AND(B1159&lt;=NKC!$N$8,B1159&gt;=NKC!$M$8),"x","")</f>
        <v/>
      </c>
      <c r="AA1159" s="883"/>
    </row>
    <row r="1160" spans="1:27" s="211" customFormat="1" ht="15.75" customHeight="1">
      <c r="A1160" s="204" t="str">
        <f>IF(B1160&lt;&gt;"",IF(AND(B1160&gt;=_TM1,B1160&lt;=_TM2,OR(TH!L1160="1111",TH!M1160="1111")),TH!D1160,""),"")</f>
        <v/>
      </c>
      <c r="B1160" s="36">
        <f t="shared" si="436"/>
        <v>4</v>
      </c>
      <c r="C1160" s="191">
        <f t="shared" si="434"/>
        <v>41372</v>
      </c>
      <c r="D1160" s="191" t="s">
        <v>1292</v>
      </c>
      <c r="E1160" s="773">
        <v>41372</v>
      </c>
      <c r="F1160" s="40" t="s">
        <v>1190</v>
      </c>
      <c r="G1160" s="40" t="s">
        <v>798</v>
      </c>
      <c r="H1160" s="7" t="s">
        <v>1284</v>
      </c>
      <c r="I1160" s="256">
        <v>10</v>
      </c>
      <c r="J1160" s="256">
        <v>9324</v>
      </c>
      <c r="K1160" s="602">
        <f t="shared" si="435"/>
        <v>93240</v>
      </c>
      <c r="L1160" s="39" t="s">
        <v>165</v>
      </c>
      <c r="M1160" s="603" t="s">
        <v>159</v>
      </c>
      <c r="N1160" s="39" t="str">
        <f>IF(AND('331-CT'!$E$7=TH!H1160,OR(L1160="331",M1160="331")),"331",IF(AND(OR(L1160="131",M1160="131"),H1160='131-CT'!$E$7),"131",""))</f>
        <v/>
      </c>
      <c r="O1160" s="39" t="str">
        <f>IF(AND($B1160&gt;='111'!$N$11,$B1160&lt;='111'!$O$11,OR($L1160=$O$7,$M1160=$O$7)),"x","")</f>
        <v/>
      </c>
      <c r="P1160" s="39" t="str">
        <f>IF(AND($L1160=$O$7,$B1160&lt;'111'!$N$11),"x","")</f>
        <v/>
      </c>
      <c r="Q1160" s="39" t="str">
        <f>IF(AND($M1160=$O$7,$B1160&lt;'111'!$N$11),"x","")</f>
        <v/>
      </c>
      <c r="R1160" s="39" t="str">
        <f>IF(ISERROR(FIND('112'!$M$9,G1160,1)),"",IF((AND(FIND('112'!$M$9,G1160,1)&gt;=1,$B1160&gt;='112'!$N$8,$B1160&lt;='112'!$O$8,OR($L1160='112'!$I$6,$M1160='112'!$I$6))),"x",""))</f>
        <v/>
      </c>
      <c r="S1160" s="39" t="str">
        <f>IF(ISERROR(FIND('112'!$M$9,G1160,1)),"",IF((AND(LEFT(G1160,2)=LEFT('112'!$M$9,2),B1160&lt;'112'!$N$8,$L1160='112'!$I$6)),"x",""))</f>
        <v/>
      </c>
      <c r="T1160" s="39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>154</v>
      </c>
      <c r="V1160" s="39" t="str">
        <f>IF(OR(TH!L1160=TH!$V$7,M1160=TH!$V$7),"x","")</f>
        <v/>
      </c>
      <c r="W1160" s="39" t="str">
        <f>IF(AND(B1160&gt;='IN-NX'!$P$3,B1160&lt;='IN-NX'!$Q$3,'IN-NX'!$D$7=D1160,OR(LEFT(L1160,2)="15",AND(LEFT(M1160,2)&lt;&gt;"15",LEFT(M1160,2)&lt;&gt;"33"))),"x","")</f>
        <v/>
      </c>
      <c r="X1160" s="39" t="str">
        <f>IF(AND(OR(LEFT(TH!L1160,2)="15",LEFT(TH!M1160,2)="15"),'152-CT'!$J$8=TH!F1160),"x","")</f>
        <v/>
      </c>
      <c r="Y1160" s="39" t="str">
        <f>IF(AND(OR(LEFT(TH!L1160,2)="15",LEFT(TH!M1160,2)="15"),TK!$E$7=TH!F1160),"x","")</f>
        <v/>
      </c>
      <c r="Z1160" s="39" t="str">
        <f>IF(AND(B1160&lt;=NKC!$N$8,B1160&gt;=NKC!$M$8),"x","")</f>
        <v/>
      </c>
      <c r="AA1160" s="883"/>
    </row>
    <row r="1161" spans="1:27" s="211" customFormat="1" ht="15.75" customHeight="1">
      <c r="A1161" s="204" t="str">
        <f>IF(B1161&lt;&gt;"",IF(AND(B1161&gt;=_TM1,B1161&lt;=_TM2,OR(TH!L1161="1111",TH!M1161="1111")),TH!D1161,""),"")</f>
        <v/>
      </c>
      <c r="B1161" s="36">
        <f t="shared" si="436"/>
        <v>4</v>
      </c>
      <c r="C1161" s="191">
        <f t="shared" si="434"/>
        <v>41372</v>
      </c>
      <c r="D1161" s="191" t="s">
        <v>1292</v>
      </c>
      <c r="E1161" s="773">
        <v>41372</v>
      </c>
      <c r="F1161" s="189" t="s">
        <v>1269</v>
      </c>
      <c r="G1161" s="40" t="s">
        <v>798</v>
      </c>
      <c r="H1161" s="7" t="s">
        <v>1284</v>
      </c>
      <c r="I1161" s="256">
        <v>205</v>
      </c>
      <c r="J1161" s="256">
        <v>21119</v>
      </c>
      <c r="K1161" s="602">
        <f t="shared" si="435"/>
        <v>4329395</v>
      </c>
      <c r="L1161" s="39" t="s">
        <v>165</v>
      </c>
      <c r="M1161" s="603" t="s">
        <v>159</v>
      </c>
      <c r="N1161" s="39" t="str">
        <f>IF(AND('331-CT'!$E$7=TH!H1161,OR(L1161="331",M1161="331")),"331",IF(AND(OR(L1161="131",M1161="131"),H1161='131-CT'!$E$7),"131",""))</f>
        <v/>
      </c>
      <c r="O1161" s="39" t="str">
        <f>IF(AND($B1161&gt;='111'!$N$11,$B1161&lt;='111'!$O$11,OR($L1161=$O$7,$M1161=$O$7)),"x","")</f>
        <v/>
      </c>
      <c r="P1161" s="39" t="str">
        <f>IF(AND($L1161=$O$7,$B1161&lt;'111'!$N$11),"x","")</f>
        <v/>
      </c>
      <c r="Q1161" s="39" t="str">
        <f>IF(AND($M1161=$O$7,$B1161&lt;'111'!$N$11),"x","")</f>
        <v/>
      </c>
      <c r="R1161" s="39" t="str">
        <f>IF(ISERROR(FIND('112'!$M$9,G1161,1)),"",IF((AND(FIND('112'!$M$9,G1161,1)&gt;=1,$B1161&gt;='112'!$N$8,$B1161&lt;='112'!$O$8,OR($L1161='112'!$I$6,$M1161='112'!$I$6))),"x",""))</f>
        <v/>
      </c>
      <c r="S1161" s="39" t="str">
        <f>IF(ISERROR(FIND('112'!$M$9,G1161,1)),"",IF((AND(LEFT(G1161,2)=LEFT('112'!$M$9,2),B1161&lt;'112'!$N$8,$L1161='112'!$I$6)),"x",""))</f>
        <v/>
      </c>
      <c r="T1161" s="39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>154</v>
      </c>
      <c r="V1161" s="39" t="str">
        <f>IF(OR(TH!L1161=TH!$V$7,M1161=TH!$V$7),"x","")</f>
        <v/>
      </c>
      <c r="W1161" s="39" t="str">
        <f>IF(AND(B1161&gt;='IN-NX'!$P$3,B1161&lt;='IN-NX'!$Q$3,'IN-NX'!$D$7=D1161,OR(LEFT(L1161,2)="15",AND(LEFT(M1161,2)&lt;&gt;"15",LEFT(M1161,2)&lt;&gt;"33"))),"x","")</f>
        <v/>
      </c>
      <c r="X1161" s="39" t="str">
        <f>IF(AND(OR(LEFT(TH!L1161,2)="15",LEFT(TH!M1161,2)="15"),'152-CT'!$J$8=TH!F1161),"x","")</f>
        <v/>
      </c>
      <c r="Y1161" s="39" t="str">
        <f>IF(AND(OR(LEFT(TH!L1161,2)="15",LEFT(TH!M1161,2)="15"),TK!$E$7=TH!F1161),"x","")</f>
        <v/>
      </c>
      <c r="Z1161" s="39" t="str">
        <f>IF(AND(B1161&lt;=NKC!$N$8,B1161&gt;=NKC!$M$8),"x","")</f>
        <v/>
      </c>
      <c r="AA1161" s="883"/>
    </row>
    <row r="1162" spans="1:27" s="211" customFormat="1" ht="15.75" customHeight="1">
      <c r="A1162" s="204" t="str">
        <f>IF(B1162&lt;&gt;"",IF(AND(B1162&gt;=_TM1,B1162&lt;=_TM2,OR(TH!L1162="1111",TH!M1162="1111")),TH!D1162,""),"")</f>
        <v/>
      </c>
      <c r="B1162" s="36">
        <f t="shared" si="436"/>
        <v>4</v>
      </c>
      <c r="C1162" s="191">
        <f t="shared" si="434"/>
        <v>41373</v>
      </c>
      <c r="D1162" s="191" t="s">
        <v>1292</v>
      </c>
      <c r="E1162" s="773">
        <v>41373</v>
      </c>
      <c r="F1162" s="40" t="s">
        <v>1252</v>
      </c>
      <c r="G1162" s="40" t="s">
        <v>800</v>
      </c>
      <c r="H1162" s="7" t="s">
        <v>1284</v>
      </c>
      <c r="I1162" s="256">
        <v>580</v>
      </c>
      <c r="J1162" s="256">
        <v>23149</v>
      </c>
      <c r="K1162" s="602">
        <f t="shared" si="435"/>
        <v>13426420</v>
      </c>
      <c r="L1162" s="39" t="s">
        <v>165</v>
      </c>
      <c r="M1162" s="603" t="s">
        <v>159</v>
      </c>
      <c r="N1162" s="39" t="str">
        <f>IF(AND('331-CT'!$E$7=TH!H1162,OR(L1162="331",M1162="331")),"331",IF(AND(OR(L1162="131",M1162="131"),H1162='131-CT'!$E$7),"131",""))</f>
        <v/>
      </c>
      <c r="O1162" s="39" t="str">
        <f>IF(AND($B1162&gt;='111'!$N$11,$B1162&lt;='111'!$O$11,OR($L1162=$O$7,$M1162=$O$7)),"x","")</f>
        <v/>
      </c>
      <c r="P1162" s="39" t="str">
        <f>IF(AND($L1162=$O$7,$B1162&lt;'111'!$N$11),"x","")</f>
        <v/>
      </c>
      <c r="Q1162" s="39" t="str">
        <f>IF(AND($M1162=$O$7,$B1162&lt;'111'!$N$11),"x","")</f>
        <v/>
      </c>
      <c r="R1162" s="39" t="str">
        <f>IF(ISERROR(FIND('112'!$M$9,G1162,1)),"",IF((AND(FIND('112'!$M$9,G1162,1)&gt;=1,$B1162&gt;='112'!$N$8,$B1162&lt;='112'!$O$8,OR($L1162='112'!$I$6,$M1162='112'!$I$6))),"x",""))</f>
        <v/>
      </c>
      <c r="S1162" s="39" t="str">
        <f>IF(ISERROR(FIND('112'!$M$9,G1162,1)),"",IF((AND(LEFT(G1162,2)=LEFT('112'!$M$9,2),B1162&lt;'112'!$N$8,$L1162='112'!$I$6)),"x",""))</f>
        <v/>
      </c>
      <c r="T1162" s="39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>154</v>
      </c>
      <c r="V1162" s="39" t="str">
        <f>IF(OR(TH!L1162=TH!$V$7,M1162=TH!$V$7),"x","")</f>
        <v/>
      </c>
      <c r="W1162" s="39" t="str">
        <f>IF(AND(B1162&gt;='IN-NX'!$P$3,B1162&lt;='IN-NX'!$Q$3,'IN-NX'!$D$7=D1162,OR(LEFT(L1162,2)="15",AND(LEFT(M1162,2)&lt;&gt;"15",LEFT(M1162,2)&lt;&gt;"33"))),"x","")</f>
        <v/>
      </c>
      <c r="X1162" s="39" t="str">
        <f>IF(AND(OR(LEFT(TH!L1162,2)="15",LEFT(TH!M1162,2)="15"),'152-CT'!$J$8=TH!F1162),"x","")</f>
        <v/>
      </c>
      <c r="Y1162" s="39" t="str">
        <f>IF(AND(OR(LEFT(TH!L1162,2)="15",LEFT(TH!M1162,2)="15"),TK!$E$7=TH!F1162),"x","")</f>
        <v/>
      </c>
      <c r="Z1162" s="39" t="str">
        <f>IF(AND(B1162&lt;=NKC!$N$8,B1162&gt;=NKC!$M$8),"x","")</f>
        <v/>
      </c>
      <c r="AA1162" s="883"/>
    </row>
    <row r="1163" spans="1:27" s="211" customFormat="1" ht="15.75" customHeight="1">
      <c r="A1163" s="204" t="str">
        <f>IF(B1163&lt;&gt;"",IF(AND(B1163&gt;=_TM1,B1163&lt;=_TM2,OR(TH!L1163="1111",TH!M1163="1111")),TH!D1163,""),"")</f>
        <v/>
      </c>
      <c r="B1163" s="36">
        <f t="shared" si="436"/>
        <v>4</v>
      </c>
      <c r="C1163" s="191">
        <f t="shared" si="434"/>
        <v>41373</v>
      </c>
      <c r="D1163" s="191" t="s">
        <v>1292</v>
      </c>
      <c r="E1163" s="773">
        <v>41373</v>
      </c>
      <c r="F1163" s="189" t="s">
        <v>1174</v>
      </c>
      <c r="G1163" s="40" t="s">
        <v>800</v>
      </c>
      <c r="H1163" s="7" t="s">
        <v>1284</v>
      </c>
      <c r="I1163" s="256">
        <v>180</v>
      </c>
      <c r="J1163" s="256">
        <v>22663</v>
      </c>
      <c r="K1163" s="602">
        <f t="shared" si="435"/>
        <v>4079340</v>
      </c>
      <c r="L1163" s="39" t="s">
        <v>165</v>
      </c>
      <c r="M1163" s="603" t="s">
        <v>159</v>
      </c>
      <c r="N1163" s="39" t="str">
        <f>IF(AND('331-CT'!$E$7=TH!H1163,OR(L1163="331",M1163="331")),"331",IF(AND(OR(L1163="131",M1163="131"),H1163='131-CT'!$E$7),"131",""))</f>
        <v/>
      </c>
      <c r="O1163" s="39" t="str">
        <f>IF(AND($B1163&gt;='111'!$N$11,$B1163&lt;='111'!$O$11,OR($L1163=$O$7,$M1163=$O$7)),"x","")</f>
        <v/>
      </c>
      <c r="P1163" s="39" t="str">
        <f>IF(AND($L1163=$O$7,$B1163&lt;'111'!$N$11),"x","")</f>
        <v/>
      </c>
      <c r="Q1163" s="39" t="str">
        <f>IF(AND($M1163=$O$7,$B1163&lt;'111'!$N$11),"x","")</f>
        <v/>
      </c>
      <c r="R1163" s="39" t="str">
        <f>IF(ISERROR(FIND('112'!$M$9,G1163,1)),"",IF((AND(FIND('112'!$M$9,G1163,1)&gt;=1,$B1163&gt;='112'!$N$8,$B1163&lt;='112'!$O$8,OR($L1163='112'!$I$6,$M1163='112'!$I$6))),"x",""))</f>
        <v/>
      </c>
      <c r="S1163" s="39" t="str">
        <f>IF(ISERROR(FIND('112'!$M$9,G1163,1)),"",IF((AND(LEFT(G1163,2)=LEFT('112'!$M$9,2),B1163&lt;'112'!$N$8,$L1163='112'!$I$6)),"x",""))</f>
        <v/>
      </c>
      <c r="T1163" s="39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>154</v>
      </c>
      <c r="V1163" s="39" t="str">
        <f>IF(OR(TH!L1163=TH!$V$7,M1163=TH!$V$7),"x","")</f>
        <v/>
      </c>
      <c r="W1163" s="39" t="str">
        <f>IF(AND(B1163&gt;='IN-NX'!$P$3,B1163&lt;='IN-NX'!$Q$3,'IN-NX'!$D$7=D1163,OR(LEFT(L1163,2)="15",AND(LEFT(M1163,2)&lt;&gt;"15",LEFT(M1163,2)&lt;&gt;"33"))),"x","")</f>
        <v/>
      </c>
      <c r="X1163" s="39" t="str">
        <f>IF(AND(OR(LEFT(TH!L1163,2)="15",LEFT(TH!M1163,2)="15"),'152-CT'!$J$8=TH!F1163),"x","")</f>
        <v/>
      </c>
      <c r="Y1163" s="39" t="str">
        <f>IF(AND(OR(LEFT(TH!L1163,2)="15",LEFT(TH!M1163,2)="15"),TK!$E$7=TH!F1163),"x","")</f>
        <v/>
      </c>
      <c r="Z1163" s="39" t="str">
        <f>IF(AND(B1163&lt;=NKC!$N$8,B1163&gt;=NKC!$M$8),"x","")</f>
        <v/>
      </c>
      <c r="AA1163" s="883"/>
    </row>
    <row r="1164" spans="1:27" s="211" customFormat="1" ht="15.75" customHeight="1">
      <c r="A1164" s="204" t="str">
        <f>IF(B1164&lt;&gt;"",IF(AND(B1164&gt;=_TM1,B1164&lt;=_TM2,OR(TH!L1164="1111",TH!M1164="1111")),TH!D1164,""),"")</f>
        <v/>
      </c>
      <c r="B1164" s="36">
        <f t="shared" si="436"/>
        <v>4</v>
      </c>
      <c r="C1164" s="191">
        <f t="shared" si="434"/>
        <v>41377</v>
      </c>
      <c r="D1164" s="191" t="s">
        <v>1292</v>
      </c>
      <c r="E1164" s="773">
        <v>41377</v>
      </c>
      <c r="F1164" s="189" t="s">
        <v>1241</v>
      </c>
      <c r="G1164" s="40" t="s">
        <v>801</v>
      </c>
      <c r="H1164" s="7" t="s">
        <v>1284</v>
      </c>
      <c r="I1164" s="256">
        <v>983</v>
      </c>
      <c r="J1164" s="256">
        <v>19910.059520224833</v>
      </c>
      <c r="K1164" s="602">
        <f t="shared" si="435"/>
        <v>19571589</v>
      </c>
      <c r="L1164" s="39" t="s">
        <v>165</v>
      </c>
      <c r="M1164" s="603" t="s">
        <v>159</v>
      </c>
      <c r="N1164" s="39" t="str">
        <f>IF(AND('331-CT'!$E$7=TH!H1164,OR(L1164="331",M1164="331")),"331",IF(AND(OR(L1164="131",M1164="131"),H1164='131-CT'!$E$7),"131",""))</f>
        <v/>
      </c>
      <c r="O1164" s="39" t="str">
        <f>IF(AND($B1164&gt;='111'!$N$11,$B1164&lt;='111'!$O$11,OR($L1164=$O$7,$M1164=$O$7)),"x","")</f>
        <v/>
      </c>
      <c r="P1164" s="39" t="str">
        <f>IF(AND($L1164=$O$7,$B1164&lt;'111'!$N$11),"x","")</f>
        <v/>
      </c>
      <c r="Q1164" s="39" t="str">
        <f>IF(AND($M1164=$O$7,$B1164&lt;'111'!$N$11),"x","")</f>
        <v/>
      </c>
      <c r="R1164" s="39" t="str">
        <f>IF(ISERROR(FIND('112'!$M$9,G1164,1)),"",IF((AND(FIND('112'!$M$9,G1164,1)&gt;=1,$B1164&gt;='112'!$N$8,$B1164&lt;='112'!$O$8,OR($L1164='112'!$I$6,$M1164='112'!$I$6))),"x",""))</f>
        <v/>
      </c>
      <c r="S1164" s="39" t="str">
        <f>IF(ISERROR(FIND('112'!$M$9,G1164,1)),"",IF((AND(LEFT(G1164,2)=LEFT('112'!$M$9,2),B1164&lt;'112'!$N$8,$L1164='112'!$I$6)),"x",""))</f>
        <v/>
      </c>
      <c r="T1164" s="39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>154</v>
      </c>
      <c r="V1164" s="39" t="str">
        <f>IF(OR(TH!L1164=TH!$V$7,M1164=TH!$V$7),"x","")</f>
        <v/>
      </c>
      <c r="W1164" s="39" t="str">
        <f>IF(AND(B1164&gt;='IN-NX'!$P$3,B1164&lt;='IN-NX'!$Q$3,'IN-NX'!$D$7=D1164,OR(LEFT(L1164,2)="15",AND(LEFT(M1164,2)&lt;&gt;"15",LEFT(M1164,2)&lt;&gt;"33"))),"x","")</f>
        <v/>
      </c>
      <c r="X1164" s="39" t="str">
        <f>IF(AND(OR(LEFT(TH!L1164,2)="15",LEFT(TH!M1164,2)="15"),'152-CT'!$J$8=TH!F1164),"x","")</f>
        <v/>
      </c>
      <c r="Y1164" s="39" t="str">
        <f>IF(AND(OR(LEFT(TH!L1164,2)="15",LEFT(TH!M1164,2)="15"),TK!$E$7=TH!F1164),"x","")</f>
        <v/>
      </c>
      <c r="Z1164" s="39" t="str">
        <f>IF(AND(B1164&lt;=NKC!$N$8,B1164&gt;=NKC!$M$8),"x","")</f>
        <v/>
      </c>
      <c r="AA1164" s="883"/>
    </row>
    <row r="1165" spans="1:27" s="211" customFormat="1" ht="15.75" customHeight="1">
      <c r="A1165" s="204" t="str">
        <f>IF(B1165&lt;&gt;"",IF(AND(B1165&gt;=_TM1,B1165&lt;=_TM2,OR(TH!L1165="1111",TH!M1165="1111")),TH!D1165,""),"")</f>
        <v/>
      </c>
      <c r="B1165" s="36">
        <f t="shared" si="436"/>
        <v>4</v>
      </c>
      <c r="C1165" s="191">
        <f t="shared" si="434"/>
        <v>41377</v>
      </c>
      <c r="D1165" s="191" t="s">
        <v>1292</v>
      </c>
      <c r="E1165" s="773">
        <v>41377</v>
      </c>
      <c r="F1165" s="40" t="s">
        <v>1260</v>
      </c>
      <c r="G1165" s="40" t="s">
        <v>802</v>
      </c>
      <c r="H1165" s="7" t="s">
        <v>1284</v>
      </c>
      <c r="I1165" s="256">
        <v>250</v>
      </c>
      <c r="J1165" s="256">
        <v>22887</v>
      </c>
      <c r="K1165" s="602">
        <f t="shared" si="435"/>
        <v>5721750</v>
      </c>
      <c r="L1165" s="39" t="s">
        <v>165</v>
      </c>
      <c r="M1165" s="603" t="s">
        <v>159</v>
      </c>
      <c r="N1165" s="39" t="str">
        <f>IF(AND('331-CT'!$E$7=TH!H1165,OR(L1165="331",M1165="331")),"331",IF(AND(OR(L1165="131",M1165="131"),H1165='131-CT'!$E$7),"131",""))</f>
        <v/>
      </c>
      <c r="O1165" s="39" t="str">
        <f>IF(AND($B1165&gt;='111'!$N$11,$B1165&lt;='111'!$O$11,OR($L1165=$O$7,$M1165=$O$7)),"x","")</f>
        <v/>
      </c>
      <c r="P1165" s="39" t="str">
        <f>IF(AND($L1165=$O$7,$B1165&lt;'111'!$N$11),"x","")</f>
        <v/>
      </c>
      <c r="Q1165" s="39" t="str">
        <f>IF(AND($M1165=$O$7,$B1165&lt;'111'!$N$11),"x","")</f>
        <v/>
      </c>
      <c r="R1165" s="39" t="str">
        <f>IF(ISERROR(FIND('112'!$M$9,G1165,1)),"",IF((AND(FIND('112'!$M$9,G1165,1)&gt;=1,$B1165&gt;='112'!$N$8,$B1165&lt;='112'!$O$8,OR($L1165='112'!$I$6,$M1165='112'!$I$6))),"x",""))</f>
        <v/>
      </c>
      <c r="S1165" s="39" t="str">
        <f>IF(ISERROR(FIND('112'!$M$9,G1165,1)),"",IF((AND(LEFT(G1165,2)=LEFT('112'!$M$9,2),B1165&lt;'112'!$N$8,$L1165='112'!$I$6)),"x",""))</f>
        <v/>
      </c>
      <c r="T1165" s="39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>154</v>
      </c>
      <c r="V1165" s="39" t="str">
        <f>IF(OR(TH!L1165=TH!$V$7,M1165=TH!$V$7),"x","")</f>
        <v/>
      </c>
      <c r="W1165" s="39" t="str">
        <f>IF(AND(B1165&gt;='IN-NX'!$P$3,B1165&lt;='IN-NX'!$Q$3,'IN-NX'!$D$7=D1165,OR(LEFT(L1165,2)="15",AND(LEFT(M1165,2)&lt;&gt;"15",LEFT(M1165,2)&lt;&gt;"33"))),"x","")</f>
        <v/>
      </c>
      <c r="X1165" s="39" t="str">
        <f>IF(AND(OR(LEFT(TH!L1165,2)="15",LEFT(TH!M1165,2)="15"),'152-CT'!$J$8=TH!F1165),"x","")</f>
        <v/>
      </c>
      <c r="Y1165" s="39" t="str">
        <f>IF(AND(OR(LEFT(TH!L1165,2)="15",LEFT(TH!M1165,2)="15"),TK!$E$7=TH!F1165),"x","")</f>
        <v/>
      </c>
      <c r="Z1165" s="39" t="str">
        <f>IF(AND(B1165&lt;=NKC!$N$8,B1165&gt;=NKC!$M$8),"x","")</f>
        <v/>
      </c>
      <c r="AA1165" s="883"/>
    </row>
    <row r="1166" spans="1:27" s="211" customFormat="1" ht="15.75" customHeight="1">
      <c r="A1166" s="204" t="str">
        <f>IF(B1166&lt;&gt;"",IF(AND(B1166&gt;=_TM1,B1166&lt;=_TM2,OR(TH!L1166="1111",TH!M1166="1111")),TH!D1166,""),"")</f>
        <v/>
      </c>
      <c r="B1166" s="36">
        <f t="shared" si="436"/>
        <v>4</v>
      </c>
      <c r="C1166" s="191">
        <f t="shared" ref="C1166:C1229" si="437">E1166</f>
        <v>41378</v>
      </c>
      <c r="D1166" s="191" t="s">
        <v>1292</v>
      </c>
      <c r="E1166" s="773">
        <v>41378</v>
      </c>
      <c r="F1166" s="189" t="s">
        <v>1208</v>
      </c>
      <c r="G1166" s="40" t="s">
        <v>482</v>
      </c>
      <c r="H1166" s="7" t="s">
        <v>1284</v>
      </c>
      <c r="I1166" s="256">
        <v>260</v>
      </c>
      <c r="J1166" s="256">
        <v>17722</v>
      </c>
      <c r="K1166" s="602">
        <f t="shared" ref="K1166:K1229" si="438">ROUND(I1166*J1166,0)</f>
        <v>4607720</v>
      </c>
      <c r="L1166" s="39" t="s">
        <v>165</v>
      </c>
      <c r="M1166" s="603" t="s">
        <v>159</v>
      </c>
      <c r="N1166" s="39" t="str">
        <f>IF(AND('331-CT'!$E$7=TH!H1166,OR(L1166="331",M1166="331")),"331",IF(AND(OR(L1166="131",M1166="131"),H1166='131-CT'!$E$7),"131",""))</f>
        <v/>
      </c>
      <c r="O1166" s="39" t="str">
        <f>IF(AND($B1166&gt;='111'!$N$11,$B1166&lt;='111'!$O$11,OR($L1166=$O$7,$M1166=$O$7)),"x","")</f>
        <v/>
      </c>
      <c r="P1166" s="39" t="str">
        <f>IF(AND($L1166=$O$7,$B1166&lt;'111'!$N$11),"x","")</f>
        <v/>
      </c>
      <c r="Q1166" s="39" t="str">
        <f>IF(AND($M1166=$O$7,$B1166&lt;'111'!$N$11),"x","")</f>
        <v/>
      </c>
      <c r="R1166" s="39" t="str">
        <f>IF(ISERROR(FIND('112'!$M$9,G1166,1)),"",IF((AND(FIND('112'!$M$9,G1166,1)&gt;=1,$B1166&gt;='112'!$N$8,$B1166&lt;='112'!$O$8,OR($L1166='112'!$I$6,$M1166='112'!$I$6))),"x",""))</f>
        <v/>
      </c>
      <c r="S1166" s="39" t="str">
        <f>IF(ISERROR(FIND('112'!$M$9,G1166,1)),"",IF((AND(LEFT(G1166,2)=LEFT('112'!$M$9,2),B1166&lt;'112'!$N$8,$L1166='112'!$I$6)),"x",""))</f>
        <v/>
      </c>
      <c r="T1166" s="39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>154</v>
      </c>
      <c r="V1166" s="39" t="str">
        <f>IF(OR(TH!L1166=TH!$V$7,M1166=TH!$V$7),"x","")</f>
        <v/>
      </c>
      <c r="W1166" s="39" t="str">
        <f>IF(AND(B1166&gt;='IN-NX'!$P$3,B1166&lt;='IN-NX'!$Q$3,'IN-NX'!$D$7=D1166,OR(LEFT(L1166,2)="15",AND(LEFT(M1166,2)&lt;&gt;"15",LEFT(M1166,2)&lt;&gt;"33"))),"x","")</f>
        <v/>
      </c>
      <c r="X1166" s="39" t="str">
        <f>IF(AND(OR(LEFT(TH!L1166,2)="15",LEFT(TH!M1166,2)="15"),'152-CT'!$J$8=TH!F1166),"x","")</f>
        <v/>
      </c>
      <c r="Y1166" s="39" t="str">
        <f>IF(AND(OR(LEFT(TH!L1166,2)="15",LEFT(TH!M1166,2)="15"),TK!$E$7=TH!F1166),"x","")</f>
        <v/>
      </c>
      <c r="Z1166" s="39" t="str">
        <f>IF(AND(B1166&lt;=NKC!$N$8,B1166&gt;=NKC!$M$8),"x","")</f>
        <v/>
      </c>
      <c r="AA1166" s="883"/>
    </row>
    <row r="1167" spans="1:27" s="211" customFormat="1" ht="15.75" customHeight="1">
      <c r="A1167" s="204" t="str">
        <f>IF(B1167&lt;&gt;"",IF(AND(B1167&gt;=_TM1,B1167&lt;=_TM2,OR(TH!L1167="1111",TH!M1167="1111")),TH!D1167,""),"")</f>
        <v/>
      </c>
      <c r="B1167" s="36">
        <f t="shared" si="436"/>
        <v>4</v>
      </c>
      <c r="C1167" s="191">
        <f t="shared" si="437"/>
        <v>41384</v>
      </c>
      <c r="D1167" s="191" t="s">
        <v>1292</v>
      </c>
      <c r="E1167" s="773">
        <v>41384</v>
      </c>
      <c r="F1167" s="189" t="s">
        <v>1227</v>
      </c>
      <c r="G1167" s="40" t="s">
        <v>804</v>
      </c>
      <c r="H1167" s="7" t="s">
        <v>1284</v>
      </c>
      <c r="I1167" s="256">
        <v>260</v>
      </c>
      <c r="J1167" s="256">
        <v>13999</v>
      </c>
      <c r="K1167" s="602">
        <f t="shared" si="438"/>
        <v>3639740</v>
      </c>
      <c r="L1167" s="39" t="s">
        <v>165</v>
      </c>
      <c r="M1167" s="603" t="s">
        <v>159</v>
      </c>
      <c r="N1167" s="39" t="str">
        <f>IF(AND('331-CT'!$E$7=TH!H1167,OR(L1167="331",M1167="331")),"331",IF(AND(OR(L1167="131",M1167="131"),H1167='131-CT'!$E$7),"131",""))</f>
        <v/>
      </c>
      <c r="O1167" s="39" t="str">
        <f>IF(AND($B1167&gt;='111'!$N$11,$B1167&lt;='111'!$O$11,OR($L1167=$O$7,$M1167=$O$7)),"x","")</f>
        <v/>
      </c>
      <c r="P1167" s="39" t="str">
        <f>IF(AND($L1167=$O$7,$B1167&lt;'111'!$N$11),"x","")</f>
        <v/>
      </c>
      <c r="Q1167" s="39" t="str">
        <f>IF(AND($M1167=$O$7,$B1167&lt;'111'!$N$11),"x","")</f>
        <v/>
      </c>
      <c r="R1167" s="39" t="str">
        <f>IF(ISERROR(FIND('112'!$M$9,G1167,1)),"",IF((AND(FIND('112'!$M$9,G1167,1)&gt;=1,$B1167&gt;='112'!$N$8,$B1167&lt;='112'!$O$8,OR($L1167='112'!$I$6,$M1167='112'!$I$6))),"x",""))</f>
        <v/>
      </c>
      <c r="S1167" s="39" t="str">
        <f>IF(ISERROR(FIND('112'!$M$9,G1167,1)),"",IF((AND(LEFT(G1167,2)=LEFT('112'!$M$9,2),B1167&lt;'112'!$N$8,$L1167='112'!$I$6)),"x",""))</f>
        <v/>
      </c>
      <c r="T1167" s="39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>154</v>
      </c>
      <c r="V1167" s="39" t="str">
        <f>IF(OR(TH!L1167=TH!$V$7,M1167=TH!$V$7),"x","")</f>
        <v/>
      </c>
      <c r="W1167" s="39" t="str">
        <f>IF(AND(B1167&gt;='IN-NX'!$P$3,B1167&lt;='IN-NX'!$Q$3,'IN-NX'!$D$7=D1167,OR(LEFT(L1167,2)="15",AND(LEFT(M1167,2)&lt;&gt;"15",LEFT(M1167,2)&lt;&gt;"33"))),"x","")</f>
        <v/>
      </c>
      <c r="X1167" s="39" t="str">
        <f>IF(AND(OR(LEFT(TH!L1167,2)="15",LEFT(TH!M1167,2)="15"),'152-CT'!$J$8=TH!F1167),"x","")</f>
        <v/>
      </c>
      <c r="Y1167" s="39" t="str">
        <f>IF(AND(OR(LEFT(TH!L1167,2)="15",LEFT(TH!M1167,2)="15"),TK!$E$7=TH!F1167),"x","")</f>
        <v/>
      </c>
      <c r="Z1167" s="39" t="str">
        <f>IF(AND(B1167&lt;=NKC!$N$8,B1167&gt;=NKC!$M$8),"x","")</f>
        <v/>
      </c>
      <c r="AA1167" s="883"/>
    </row>
    <row r="1168" spans="1:27" s="211" customFormat="1" ht="15.75" customHeight="1">
      <c r="A1168" s="204" t="str">
        <f>IF(B1168&lt;&gt;"",IF(AND(B1168&gt;=_TM1,B1168&lt;=_TM2,OR(TH!L1168="1111",TH!M1168="1111")),TH!D1168,""),"")</f>
        <v/>
      </c>
      <c r="B1168" s="36">
        <f t="shared" si="436"/>
        <v>4</v>
      </c>
      <c r="C1168" s="191">
        <f t="shared" si="437"/>
        <v>41384</v>
      </c>
      <c r="D1168" s="191" t="s">
        <v>1292</v>
      </c>
      <c r="E1168" s="184">
        <v>41384</v>
      </c>
      <c r="F1168" s="189" t="s">
        <v>1206</v>
      </c>
      <c r="G1168" s="604" t="s">
        <v>804</v>
      </c>
      <c r="H1168" s="7" t="s">
        <v>1284</v>
      </c>
      <c r="I1168" s="256">
        <v>257</v>
      </c>
      <c r="J1168" s="256">
        <v>16278</v>
      </c>
      <c r="K1168" s="602">
        <f t="shared" si="438"/>
        <v>4183446</v>
      </c>
      <c r="L1168" s="39" t="s">
        <v>165</v>
      </c>
      <c r="M1168" s="603" t="s">
        <v>159</v>
      </c>
      <c r="N1168" s="39" t="str">
        <f>IF(AND('331-CT'!$E$7=TH!H1168,OR(L1168="331",M1168="331")),"331",IF(AND(OR(L1168="131",M1168="131"),H1168='131-CT'!$E$7),"131",""))</f>
        <v/>
      </c>
      <c r="O1168" s="39" t="str">
        <f>IF(AND($B1168&gt;='111'!$N$11,$B1168&lt;='111'!$O$11,OR($L1168=$O$7,$M1168=$O$7)),"x","")</f>
        <v/>
      </c>
      <c r="P1168" s="39" t="str">
        <f>IF(AND($L1168=$O$7,$B1168&lt;'111'!$N$11),"x","")</f>
        <v/>
      </c>
      <c r="Q1168" s="39" t="str">
        <f>IF(AND($M1168=$O$7,$B1168&lt;'111'!$N$11),"x","")</f>
        <v/>
      </c>
      <c r="R1168" s="39" t="str">
        <f>IF(ISERROR(FIND('112'!$M$9,G1168,1)),"",IF((AND(FIND('112'!$M$9,G1168,1)&gt;=1,$B1168&gt;='112'!$N$8,$B1168&lt;='112'!$O$8,OR($L1168='112'!$I$6,$M1168='112'!$I$6))),"x",""))</f>
        <v/>
      </c>
      <c r="S1168" s="39" t="str">
        <f>IF(ISERROR(FIND('112'!$M$9,G1168,1)),"",IF((AND(LEFT(G1168,2)=LEFT('112'!$M$9,2),B1168&lt;'112'!$N$8,$L1168='112'!$I$6)),"x",""))</f>
        <v/>
      </c>
      <c r="T1168" s="39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>154</v>
      </c>
      <c r="V1168" s="39" t="str">
        <f>IF(OR(TH!L1168=TH!$V$7,M1168=TH!$V$7),"x","")</f>
        <v/>
      </c>
      <c r="W1168" s="39" t="str">
        <f>IF(AND(B1168&gt;='IN-NX'!$P$3,B1168&lt;='IN-NX'!$Q$3,'IN-NX'!$D$7=D1168,OR(LEFT(L1168,2)="15",AND(LEFT(M1168,2)&lt;&gt;"15",LEFT(M1168,2)&lt;&gt;"33"))),"x","")</f>
        <v/>
      </c>
      <c r="X1168" s="39" t="str">
        <f>IF(AND(OR(LEFT(TH!L1168,2)="15",LEFT(TH!M1168,2)="15"),'152-CT'!$J$8=TH!F1168),"x","")</f>
        <v/>
      </c>
      <c r="Y1168" s="39" t="str">
        <f>IF(AND(OR(LEFT(TH!L1168,2)="15",LEFT(TH!M1168,2)="15"),TK!$E$7=TH!F1168),"x","")</f>
        <v/>
      </c>
      <c r="Z1168" s="39" t="str">
        <f>IF(AND(B1168&lt;=NKC!$N$8,B1168&gt;=NKC!$M$8),"x","")</f>
        <v/>
      </c>
      <c r="AA1168" s="883"/>
    </row>
    <row r="1169" spans="1:27" s="211" customFormat="1" ht="15.75" customHeight="1">
      <c r="A1169" s="204" t="str">
        <f>IF(B1169&lt;&gt;"",IF(AND(B1169&gt;=_TM1,B1169&lt;=_TM2,OR(TH!L1169="1111",TH!M1169="1111")),TH!D1169,""),"")</f>
        <v/>
      </c>
      <c r="B1169" s="36">
        <f t="shared" si="436"/>
        <v>4</v>
      </c>
      <c r="C1169" s="191">
        <f t="shared" si="437"/>
        <v>41385</v>
      </c>
      <c r="D1169" s="191" t="s">
        <v>1292</v>
      </c>
      <c r="E1169" s="184">
        <v>41385</v>
      </c>
      <c r="F1169" s="189" t="s">
        <v>1194</v>
      </c>
      <c r="G1169" s="604" t="s">
        <v>807</v>
      </c>
      <c r="H1169" s="7" t="s">
        <v>1284</v>
      </c>
      <c r="I1169" s="256">
        <v>100</v>
      </c>
      <c r="J1169" s="256">
        <v>15544</v>
      </c>
      <c r="K1169" s="602">
        <f t="shared" si="438"/>
        <v>1554400</v>
      </c>
      <c r="L1169" s="39" t="s">
        <v>165</v>
      </c>
      <c r="M1169" s="603" t="s">
        <v>159</v>
      </c>
      <c r="N1169" s="39" t="str">
        <f>IF(AND('331-CT'!$E$7=TH!H1169,OR(L1169="331",M1169="331")),"331",IF(AND(OR(L1169="131",M1169="131"),H1169='131-CT'!$E$7),"131",""))</f>
        <v/>
      </c>
      <c r="O1169" s="39" t="str">
        <f>IF(AND($B1169&gt;='111'!$N$11,$B1169&lt;='111'!$O$11,OR($L1169=$O$7,$M1169=$O$7)),"x","")</f>
        <v/>
      </c>
      <c r="P1169" s="39" t="str">
        <f>IF(AND($L1169=$O$7,$B1169&lt;'111'!$N$11),"x","")</f>
        <v/>
      </c>
      <c r="Q1169" s="39" t="str">
        <f>IF(AND($M1169=$O$7,$B1169&lt;'111'!$N$11),"x","")</f>
        <v/>
      </c>
      <c r="R1169" s="39" t="str">
        <f>IF(ISERROR(FIND('112'!$M$9,G1169,1)),"",IF((AND(FIND('112'!$M$9,G1169,1)&gt;=1,$B1169&gt;='112'!$N$8,$B1169&lt;='112'!$O$8,OR($L1169='112'!$I$6,$M1169='112'!$I$6))),"x",""))</f>
        <v/>
      </c>
      <c r="S1169" s="39" t="str">
        <f>IF(ISERROR(FIND('112'!$M$9,G1169,1)),"",IF((AND(LEFT(G1169,2)=LEFT('112'!$M$9,2),B1169&lt;'112'!$N$8,$L1169='112'!$I$6)),"x",""))</f>
        <v/>
      </c>
      <c r="T1169" s="39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>154</v>
      </c>
      <c r="V1169" s="39" t="str">
        <f>IF(OR(TH!L1169=TH!$V$7,M1169=TH!$V$7),"x","")</f>
        <v/>
      </c>
      <c r="W1169" s="39" t="str">
        <f>IF(AND(B1169&gt;='IN-NX'!$P$3,B1169&lt;='IN-NX'!$Q$3,'IN-NX'!$D$7=D1169,OR(LEFT(L1169,2)="15",AND(LEFT(M1169,2)&lt;&gt;"15",LEFT(M1169,2)&lt;&gt;"33"))),"x","")</f>
        <v/>
      </c>
      <c r="X1169" s="39" t="str">
        <f>IF(AND(OR(LEFT(TH!L1169,2)="15",LEFT(TH!M1169,2)="15"),'152-CT'!$J$8=TH!F1169),"x","")</f>
        <v/>
      </c>
      <c r="Y1169" s="39" t="str">
        <f>IF(AND(OR(LEFT(TH!L1169,2)="15",LEFT(TH!M1169,2)="15"),TK!$E$7=TH!F1169),"x","")</f>
        <v/>
      </c>
      <c r="Z1169" s="39" t="str">
        <f>IF(AND(B1169&lt;=NKC!$N$8,B1169&gt;=NKC!$M$8),"x","")</f>
        <v/>
      </c>
      <c r="AA1169" s="883"/>
    </row>
    <row r="1170" spans="1:27" s="211" customFormat="1" ht="15.75" customHeight="1">
      <c r="A1170" s="204" t="str">
        <f>IF(B1170&lt;&gt;"",IF(AND(B1170&gt;=_TM1,B1170&lt;=_TM2,OR(TH!L1170="1111",TH!M1170="1111")),TH!D1170,""),"")</f>
        <v/>
      </c>
      <c r="B1170" s="36">
        <f t="shared" si="436"/>
        <v>4</v>
      </c>
      <c r="C1170" s="191">
        <f t="shared" si="437"/>
        <v>41385</v>
      </c>
      <c r="D1170" s="191" t="s">
        <v>1292</v>
      </c>
      <c r="E1170" s="184">
        <v>41385</v>
      </c>
      <c r="F1170" s="189" t="s">
        <v>1226</v>
      </c>
      <c r="G1170" s="604" t="s">
        <v>807</v>
      </c>
      <c r="H1170" s="7" t="s">
        <v>1284</v>
      </c>
      <c r="I1170" s="256">
        <v>99</v>
      </c>
      <c r="J1170" s="256">
        <v>13971</v>
      </c>
      <c r="K1170" s="602">
        <f t="shared" si="438"/>
        <v>1383129</v>
      </c>
      <c r="L1170" s="39" t="s">
        <v>165</v>
      </c>
      <c r="M1170" s="603" t="s">
        <v>159</v>
      </c>
      <c r="N1170" s="39" t="str">
        <f>IF(AND('331-CT'!$E$7=TH!H1170,OR(L1170="331",M1170="331")),"331",IF(AND(OR(L1170="131",M1170="131"),H1170='131-CT'!$E$7),"131",""))</f>
        <v/>
      </c>
      <c r="O1170" s="39" t="str">
        <f>IF(AND($B1170&gt;='111'!$N$11,$B1170&lt;='111'!$O$11,OR($L1170=$O$7,$M1170=$O$7)),"x","")</f>
        <v/>
      </c>
      <c r="P1170" s="39" t="str">
        <f>IF(AND($L1170=$O$7,$B1170&lt;'111'!$N$11),"x","")</f>
        <v/>
      </c>
      <c r="Q1170" s="39" t="str">
        <f>IF(AND($M1170=$O$7,$B1170&lt;'111'!$N$11),"x","")</f>
        <v/>
      </c>
      <c r="R1170" s="39" t="str">
        <f>IF(ISERROR(FIND('112'!$M$9,G1170,1)),"",IF((AND(FIND('112'!$M$9,G1170,1)&gt;=1,$B1170&gt;='112'!$N$8,$B1170&lt;='112'!$O$8,OR($L1170='112'!$I$6,$M1170='112'!$I$6))),"x",""))</f>
        <v/>
      </c>
      <c r="S1170" s="39" t="str">
        <f>IF(ISERROR(FIND('112'!$M$9,G1170,1)),"",IF((AND(LEFT(G1170,2)=LEFT('112'!$M$9,2),B1170&lt;'112'!$N$8,$L1170='112'!$I$6)),"x",""))</f>
        <v/>
      </c>
      <c r="T1170" s="39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>154</v>
      </c>
      <c r="V1170" s="39" t="str">
        <f>IF(OR(TH!L1170=TH!$V$7,M1170=TH!$V$7),"x","")</f>
        <v/>
      </c>
      <c r="W1170" s="39" t="str">
        <f>IF(AND(B1170&gt;='IN-NX'!$P$3,B1170&lt;='IN-NX'!$Q$3,'IN-NX'!$D$7=D1170,OR(LEFT(L1170,2)="15",AND(LEFT(M1170,2)&lt;&gt;"15",LEFT(M1170,2)&lt;&gt;"33"))),"x","")</f>
        <v/>
      </c>
      <c r="X1170" s="39" t="str">
        <f>IF(AND(OR(LEFT(TH!L1170,2)="15",LEFT(TH!M1170,2)="15"),'152-CT'!$J$8=TH!F1170),"x","")</f>
        <v/>
      </c>
      <c r="Y1170" s="39" t="str">
        <f>IF(AND(OR(LEFT(TH!L1170,2)="15",LEFT(TH!M1170,2)="15"),TK!$E$7=TH!F1170),"x","")</f>
        <v/>
      </c>
      <c r="Z1170" s="39" t="str">
        <f>IF(AND(B1170&lt;=NKC!$N$8,B1170&gt;=NKC!$M$8),"x","")</f>
        <v/>
      </c>
      <c r="AA1170" s="883"/>
    </row>
    <row r="1171" spans="1:27" s="211" customFormat="1" ht="15.75" customHeight="1">
      <c r="A1171" s="204" t="str">
        <f>IF(B1171&lt;&gt;"",IF(AND(B1171&gt;=_TM1,B1171&lt;=_TM2,OR(TH!L1171="1111",TH!M1171="1111")),TH!D1171,""),"")</f>
        <v/>
      </c>
      <c r="B1171" s="36">
        <f t="shared" si="436"/>
        <v>4</v>
      </c>
      <c r="C1171" s="191">
        <f t="shared" si="437"/>
        <v>41385</v>
      </c>
      <c r="D1171" s="191" t="s">
        <v>1292</v>
      </c>
      <c r="E1171" s="184">
        <v>41385</v>
      </c>
      <c r="F1171" s="189" t="s">
        <v>1236</v>
      </c>
      <c r="G1171" s="604" t="s">
        <v>809</v>
      </c>
      <c r="H1171" s="7" t="s">
        <v>1284</v>
      </c>
      <c r="I1171" s="256">
        <v>64</v>
      </c>
      <c r="J1171" s="256">
        <v>15825</v>
      </c>
      <c r="K1171" s="602">
        <f t="shared" si="438"/>
        <v>1012800</v>
      </c>
      <c r="L1171" s="39" t="s">
        <v>165</v>
      </c>
      <c r="M1171" s="603" t="s">
        <v>159</v>
      </c>
      <c r="N1171" s="39" t="str">
        <f>IF(AND('331-CT'!$E$7=TH!H1171,OR(L1171="331",M1171="331")),"331",IF(AND(OR(L1171="131",M1171="131"),H1171='131-CT'!$E$7),"131",""))</f>
        <v/>
      </c>
      <c r="O1171" s="39" t="str">
        <f>IF(AND($B1171&gt;='111'!$N$11,$B1171&lt;='111'!$O$11,OR($L1171=$O$7,$M1171=$O$7)),"x","")</f>
        <v/>
      </c>
      <c r="P1171" s="39" t="str">
        <f>IF(AND($L1171=$O$7,$B1171&lt;'111'!$N$11),"x","")</f>
        <v/>
      </c>
      <c r="Q1171" s="39" t="str">
        <f>IF(AND($M1171=$O$7,$B1171&lt;'111'!$N$11),"x","")</f>
        <v/>
      </c>
      <c r="R1171" s="39" t="str">
        <f>IF(ISERROR(FIND('112'!$M$9,G1171,1)),"",IF((AND(FIND('112'!$M$9,G1171,1)&gt;=1,$B1171&gt;='112'!$N$8,$B1171&lt;='112'!$O$8,OR($L1171='112'!$I$6,$M1171='112'!$I$6))),"x",""))</f>
        <v/>
      </c>
      <c r="S1171" s="39" t="str">
        <f>IF(ISERROR(FIND('112'!$M$9,G1171,1)),"",IF((AND(LEFT(G1171,2)=LEFT('112'!$M$9,2),B1171&lt;'112'!$N$8,$L1171='112'!$I$6)),"x",""))</f>
        <v/>
      </c>
      <c r="T1171" s="39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>154</v>
      </c>
      <c r="V1171" s="39" t="str">
        <f>IF(OR(TH!L1171=TH!$V$7,M1171=TH!$V$7),"x","")</f>
        <v/>
      </c>
      <c r="W1171" s="39" t="str">
        <f>IF(AND(B1171&gt;='IN-NX'!$P$3,B1171&lt;='IN-NX'!$Q$3,'IN-NX'!$D$7=D1171,OR(LEFT(L1171,2)="15",AND(LEFT(M1171,2)&lt;&gt;"15",LEFT(M1171,2)&lt;&gt;"33"))),"x","")</f>
        <v/>
      </c>
      <c r="X1171" s="39" t="str">
        <f>IF(AND(OR(LEFT(TH!L1171,2)="15",LEFT(TH!M1171,2)="15"),'152-CT'!$J$8=TH!F1171),"x","")</f>
        <v/>
      </c>
      <c r="Y1171" s="39" t="str">
        <f>IF(AND(OR(LEFT(TH!L1171,2)="15",LEFT(TH!M1171,2)="15"),TK!$E$7=TH!F1171),"x","")</f>
        <v/>
      </c>
      <c r="Z1171" s="39" t="str">
        <f>IF(AND(B1171&lt;=NKC!$N$8,B1171&gt;=NKC!$M$8),"x","")</f>
        <v/>
      </c>
      <c r="AA1171" s="883"/>
    </row>
    <row r="1172" spans="1:27" s="211" customFormat="1" ht="15.75" customHeight="1">
      <c r="A1172" s="204" t="str">
        <f>IF(B1172&lt;&gt;"",IF(AND(B1172&gt;=_TM1,B1172&lt;=_TM2,OR(TH!L1172="1111",TH!M1172="1111")),TH!D1172,""),"")</f>
        <v/>
      </c>
      <c r="B1172" s="36">
        <f t="shared" si="436"/>
        <v>4</v>
      </c>
      <c r="C1172" s="191">
        <f t="shared" si="437"/>
        <v>41385</v>
      </c>
      <c r="D1172" s="191" t="s">
        <v>1292</v>
      </c>
      <c r="E1172" s="184">
        <v>41385</v>
      </c>
      <c r="F1172" s="189" t="s">
        <v>1222</v>
      </c>
      <c r="G1172" s="604" t="s">
        <v>809</v>
      </c>
      <c r="H1172" s="7" t="s">
        <v>1284</v>
      </c>
      <c r="I1172" s="256">
        <v>70</v>
      </c>
      <c r="J1172" s="256">
        <v>12073.76551724138</v>
      </c>
      <c r="K1172" s="602">
        <f t="shared" si="438"/>
        <v>845164</v>
      </c>
      <c r="L1172" s="39" t="s">
        <v>165</v>
      </c>
      <c r="M1172" s="603" t="s">
        <v>159</v>
      </c>
      <c r="N1172" s="39" t="str">
        <f>IF(AND('331-CT'!$E$7=TH!H1172,OR(L1172="331",M1172="331")),"331",IF(AND(OR(L1172="131",M1172="131"),H1172='131-CT'!$E$7),"131",""))</f>
        <v/>
      </c>
      <c r="O1172" s="39" t="str">
        <f>IF(AND($B1172&gt;='111'!$N$11,$B1172&lt;='111'!$O$11,OR($L1172=$O$7,$M1172=$O$7)),"x","")</f>
        <v/>
      </c>
      <c r="P1172" s="39" t="str">
        <f>IF(AND($L1172=$O$7,$B1172&lt;'111'!$N$11),"x","")</f>
        <v/>
      </c>
      <c r="Q1172" s="39" t="str">
        <f>IF(AND($M1172=$O$7,$B1172&lt;'111'!$N$11),"x","")</f>
        <v/>
      </c>
      <c r="R1172" s="39" t="str">
        <f>IF(ISERROR(FIND('112'!$M$9,G1172,1)),"",IF((AND(FIND('112'!$M$9,G1172,1)&gt;=1,$B1172&gt;='112'!$N$8,$B1172&lt;='112'!$O$8,OR($L1172='112'!$I$6,$M1172='112'!$I$6))),"x",""))</f>
        <v/>
      </c>
      <c r="S1172" s="39" t="str">
        <f>IF(ISERROR(FIND('112'!$M$9,G1172,1)),"",IF((AND(LEFT(G1172,2)=LEFT('112'!$M$9,2),B1172&lt;'112'!$N$8,$L1172='112'!$I$6)),"x",""))</f>
        <v/>
      </c>
      <c r="T1172" s="39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>154</v>
      </c>
      <c r="V1172" s="39" t="str">
        <f>IF(OR(TH!L1172=TH!$V$7,M1172=TH!$V$7),"x","")</f>
        <v/>
      </c>
      <c r="W1172" s="39" t="str">
        <f>IF(AND(B1172&gt;='IN-NX'!$P$3,B1172&lt;='IN-NX'!$Q$3,'IN-NX'!$D$7=D1172,OR(LEFT(L1172,2)="15",AND(LEFT(M1172,2)&lt;&gt;"15",LEFT(M1172,2)&lt;&gt;"33"))),"x","")</f>
        <v/>
      </c>
      <c r="X1172" s="39" t="str">
        <f>IF(AND(OR(LEFT(TH!L1172,2)="15",LEFT(TH!M1172,2)="15"),'152-CT'!$J$8=TH!F1172),"x","")</f>
        <v/>
      </c>
      <c r="Y1172" s="39" t="str">
        <f>IF(AND(OR(LEFT(TH!L1172,2)="15",LEFT(TH!M1172,2)="15"),TK!$E$7=TH!F1172),"x","")</f>
        <v/>
      </c>
      <c r="Z1172" s="39" t="str">
        <f>IF(AND(B1172&lt;=NKC!$N$8,B1172&gt;=NKC!$M$8),"x","")</f>
        <v/>
      </c>
      <c r="AA1172" s="883"/>
    </row>
    <row r="1173" spans="1:27" s="211" customFormat="1" ht="15.75" customHeight="1">
      <c r="A1173" s="204" t="str">
        <f>IF(B1173&lt;&gt;"",IF(AND(B1173&gt;=_TM1,B1173&lt;=_TM2,OR(TH!L1173="1111",TH!M1173="1111")),TH!D1173,""),"")</f>
        <v/>
      </c>
      <c r="B1173" s="36">
        <f t="shared" si="436"/>
        <v>4</v>
      </c>
      <c r="C1173" s="191">
        <f t="shared" si="437"/>
        <v>41386</v>
      </c>
      <c r="D1173" s="191" t="s">
        <v>1292</v>
      </c>
      <c r="E1173" s="184">
        <v>41386</v>
      </c>
      <c r="F1173" s="189" t="s">
        <v>1241</v>
      </c>
      <c r="G1173" s="604" t="s">
        <v>811</v>
      </c>
      <c r="H1173" s="7" t="s">
        <v>1284</v>
      </c>
      <c r="I1173" s="256">
        <v>1020</v>
      </c>
      <c r="J1173" s="256">
        <v>19910.059520224833</v>
      </c>
      <c r="K1173" s="602">
        <f t="shared" si="438"/>
        <v>20308261</v>
      </c>
      <c r="L1173" s="39" t="s">
        <v>165</v>
      </c>
      <c r="M1173" s="603" t="s">
        <v>159</v>
      </c>
      <c r="N1173" s="39" t="str">
        <f>IF(AND('331-CT'!$E$7=TH!H1173,OR(L1173="331",M1173="331")),"331",IF(AND(OR(L1173="131",M1173="131"),H1173='131-CT'!$E$7),"131",""))</f>
        <v/>
      </c>
      <c r="O1173" s="39" t="str">
        <f>IF(AND($B1173&gt;='111'!$N$11,$B1173&lt;='111'!$O$11,OR($L1173=$O$7,$M1173=$O$7)),"x","")</f>
        <v/>
      </c>
      <c r="P1173" s="39" t="str">
        <f>IF(AND($L1173=$O$7,$B1173&lt;'111'!$N$11),"x","")</f>
        <v/>
      </c>
      <c r="Q1173" s="39" t="str">
        <f>IF(AND($M1173=$O$7,$B1173&lt;'111'!$N$11),"x","")</f>
        <v/>
      </c>
      <c r="R1173" s="39" t="str">
        <f>IF(ISERROR(FIND('112'!$M$9,G1173,1)),"",IF((AND(FIND('112'!$M$9,G1173,1)&gt;=1,$B1173&gt;='112'!$N$8,$B1173&lt;='112'!$O$8,OR($L1173='112'!$I$6,$M1173='112'!$I$6))),"x",""))</f>
        <v/>
      </c>
      <c r="S1173" s="39" t="str">
        <f>IF(ISERROR(FIND('112'!$M$9,G1173,1)),"",IF((AND(LEFT(G1173,2)=LEFT('112'!$M$9,2),B1173&lt;'112'!$N$8,$L1173='112'!$I$6)),"x",""))</f>
        <v/>
      </c>
      <c r="T1173" s="39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>154</v>
      </c>
      <c r="V1173" s="39" t="str">
        <f>IF(OR(TH!L1173=TH!$V$7,M1173=TH!$V$7),"x","")</f>
        <v/>
      </c>
      <c r="W1173" s="39" t="str">
        <f>IF(AND(B1173&gt;='IN-NX'!$P$3,B1173&lt;='IN-NX'!$Q$3,'IN-NX'!$D$7=D1173,OR(LEFT(L1173,2)="15",AND(LEFT(M1173,2)&lt;&gt;"15",LEFT(M1173,2)&lt;&gt;"33"))),"x","")</f>
        <v/>
      </c>
      <c r="X1173" s="39" t="str">
        <f>IF(AND(OR(LEFT(TH!L1173,2)="15",LEFT(TH!M1173,2)="15"),'152-CT'!$J$8=TH!F1173),"x","")</f>
        <v/>
      </c>
      <c r="Y1173" s="39" t="str">
        <f>IF(AND(OR(LEFT(TH!L1173,2)="15",LEFT(TH!M1173,2)="15"),TK!$E$7=TH!F1173),"x","")</f>
        <v/>
      </c>
      <c r="Z1173" s="39" t="str">
        <f>IF(AND(B1173&lt;=NKC!$N$8,B1173&gt;=NKC!$M$8),"x","")</f>
        <v/>
      </c>
      <c r="AA1173" s="883"/>
    </row>
    <row r="1174" spans="1:27" s="211" customFormat="1" ht="15.75" customHeight="1">
      <c r="A1174" s="204" t="str">
        <f>IF(B1174&lt;&gt;"",IF(AND(B1174&gt;=_TM1,B1174&lt;=_TM2,OR(TH!L1174="1111",TH!M1174="1111")),TH!D1174,""),"")</f>
        <v/>
      </c>
      <c r="B1174" s="36">
        <f t="shared" si="436"/>
        <v>4</v>
      </c>
      <c r="C1174" s="191">
        <f t="shared" si="437"/>
        <v>41388</v>
      </c>
      <c r="D1174" s="191" t="s">
        <v>1292</v>
      </c>
      <c r="E1174" s="184">
        <v>41388</v>
      </c>
      <c r="F1174" s="189" t="s">
        <v>1199</v>
      </c>
      <c r="G1174" s="604" t="s">
        <v>813</v>
      </c>
      <c r="H1174" s="7" t="s">
        <v>1284</v>
      </c>
      <c r="I1174" s="256">
        <v>160</v>
      </c>
      <c r="J1174" s="256">
        <v>17716</v>
      </c>
      <c r="K1174" s="602">
        <f t="shared" si="438"/>
        <v>2834560</v>
      </c>
      <c r="L1174" s="39" t="s">
        <v>165</v>
      </c>
      <c r="M1174" s="603" t="s">
        <v>159</v>
      </c>
      <c r="N1174" s="39" t="str">
        <f>IF(AND('331-CT'!$E$7=TH!H1174,OR(L1174="331",M1174="331")),"331",IF(AND(OR(L1174="131",M1174="131"),H1174='131-CT'!$E$7),"131",""))</f>
        <v/>
      </c>
      <c r="O1174" s="39" t="str">
        <f>IF(AND($B1174&gt;='111'!$N$11,$B1174&lt;='111'!$O$11,OR($L1174=$O$7,$M1174=$O$7)),"x","")</f>
        <v/>
      </c>
      <c r="P1174" s="39" t="str">
        <f>IF(AND($L1174=$O$7,$B1174&lt;'111'!$N$11),"x","")</f>
        <v/>
      </c>
      <c r="Q1174" s="39" t="str">
        <f>IF(AND($M1174=$O$7,$B1174&lt;'111'!$N$11),"x","")</f>
        <v/>
      </c>
      <c r="R1174" s="39" t="str">
        <f>IF(ISERROR(FIND('112'!$M$9,G1174,1)),"",IF((AND(FIND('112'!$M$9,G1174,1)&gt;=1,$B1174&gt;='112'!$N$8,$B1174&lt;='112'!$O$8,OR($L1174='112'!$I$6,$M1174='112'!$I$6))),"x",""))</f>
        <v/>
      </c>
      <c r="S1174" s="39" t="str">
        <f>IF(ISERROR(FIND('112'!$M$9,G1174,1)),"",IF((AND(LEFT(G1174,2)=LEFT('112'!$M$9,2),B1174&lt;'112'!$N$8,$L1174='112'!$I$6)),"x",""))</f>
        <v/>
      </c>
      <c r="T1174" s="39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>154</v>
      </c>
      <c r="V1174" s="39" t="str">
        <f>IF(OR(TH!L1174=TH!$V$7,M1174=TH!$V$7),"x","")</f>
        <v/>
      </c>
      <c r="W1174" s="39" t="str">
        <f>IF(AND(B1174&gt;='IN-NX'!$P$3,B1174&lt;='IN-NX'!$Q$3,'IN-NX'!$D$7=D1174,OR(LEFT(L1174,2)="15",AND(LEFT(M1174,2)&lt;&gt;"15",LEFT(M1174,2)&lt;&gt;"33"))),"x","")</f>
        <v/>
      </c>
      <c r="X1174" s="39" t="str">
        <f>IF(AND(OR(LEFT(TH!L1174,2)="15",LEFT(TH!M1174,2)="15"),'152-CT'!$J$8=TH!F1174),"x","")</f>
        <v/>
      </c>
      <c r="Y1174" s="39" t="str">
        <f>IF(AND(OR(LEFT(TH!L1174,2)="15",LEFT(TH!M1174,2)="15"),TK!$E$7=TH!F1174),"x","")</f>
        <v/>
      </c>
      <c r="Z1174" s="39" t="str">
        <f>IF(AND(B1174&lt;=NKC!$N$8,B1174&gt;=NKC!$M$8),"x","")</f>
        <v/>
      </c>
      <c r="AA1174" s="883"/>
    </row>
    <row r="1175" spans="1:27" s="211" customFormat="1" ht="15.75" customHeight="1">
      <c r="A1175" s="204" t="str">
        <f>IF(B1175&lt;&gt;"",IF(AND(B1175&gt;=_TM1,B1175&lt;=_TM2,OR(TH!L1175="1111",TH!M1175="1111")),TH!D1175,""),"")</f>
        <v/>
      </c>
      <c r="B1175" s="36">
        <f t="shared" si="436"/>
        <v>4</v>
      </c>
      <c r="C1175" s="191">
        <f t="shared" si="437"/>
        <v>41388</v>
      </c>
      <c r="D1175" s="191" t="s">
        <v>1292</v>
      </c>
      <c r="E1175" s="773">
        <v>41388</v>
      </c>
      <c r="F1175" s="189" t="s">
        <v>1227</v>
      </c>
      <c r="G1175" s="40" t="s">
        <v>813</v>
      </c>
      <c r="H1175" s="7" t="s">
        <v>1284</v>
      </c>
      <c r="I1175" s="256">
        <v>114</v>
      </c>
      <c r="J1175" s="256">
        <v>13999</v>
      </c>
      <c r="K1175" s="602">
        <f t="shared" si="438"/>
        <v>1595886</v>
      </c>
      <c r="L1175" s="39" t="s">
        <v>165</v>
      </c>
      <c r="M1175" s="603" t="s">
        <v>159</v>
      </c>
      <c r="N1175" s="39" t="str">
        <f>IF(AND('331-CT'!$E$7=TH!H1175,OR(L1175="331",M1175="331")),"331",IF(AND(OR(L1175="131",M1175="131"),H1175='131-CT'!$E$7),"131",""))</f>
        <v/>
      </c>
      <c r="O1175" s="39" t="str">
        <f>IF(AND($B1175&gt;='111'!$N$11,$B1175&lt;='111'!$O$11,OR($L1175=$O$7,$M1175=$O$7)),"x","")</f>
        <v/>
      </c>
      <c r="P1175" s="39" t="str">
        <f>IF(AND($L1175=$O$7,$B1175&lt;'111'!$N$11),"x","")</f>
        <v/>
      </c>
      <c r="Q1175" s="39" t="str">
        <f>IF(AND($M1175=$O$7,$B1175&lt;'111'!$N$11),"x","")</f>
        <v/>
      </c>
      <c r="R1175" s="39" t="str">
        <f>IF(ISERROR(FIND('112'!$M$9,G1175,1)),"",IF((AND(FIND('112'!$M$9,G1175,1)&gt;=1,$B1175&gt;='112'!$N$8,$B1175&lt;='112'!$O$8,OR($L1175='112'!$I$6,$M1175='112'!$I$6))),"x",""))</f>
        <v/>
      </c>
      <c r="S1175" s="39" t="str">
        <f>IF(ISERROR(FIND('112'!$M$9,G1175,1)),"",IF((AND(LEFT(G1175,2)=LEFT('112'!$M$9,2),B1175&lt;'112'!$N$8,$L1175='112'!$I$6)),"x",""))</f>
        <v/>
      </c>
      <c r="T1175" s="39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>154</v>
      </c>
      <c r="V1175" s="39" t="str">
        <f>IF(OR(TH!L1175=TH!$V$7,M1175=TH!$V$7),"x","")</f>
        <v/>
      </c>
      <c r="W1175" s="39" t="str">
        <f>IF(AND(B1175&gt;='IN-NX'!$P$3,B1175&lt;='IN-NX'!$Q$3,'IN-NX'!$D$7=D1175,OR(LEFT(L1175,2)="15",AND(LEFT(M1175,2)&lt;&gt;"15",LEFT(M1175,2)&lt;&gt;"33"))),"x","")</f>
        <v/>
      </c>
      <c r="X1175" s="39" t="str">
        <f>IF(AND(OR(LEFT(TH!L1175,2)="15",LEFT(TH!M1175,2)="15"),'152-CT'!$J$8=TH!F1175),"x","")</f>
        <v/>
      </c>
      <c r="Y1175" s="39" t="str">
        <f>IF(AND(OR(LEFT(TH!L1175,2)="15",LEFT(TH!M1175,2)="15"),TK!$E$7=TH!F1175),"x","")</f>
        <v/>
      </c>
      <c r="Z1175" s="39" t="str">
        <f>IF(AND(B1175&lt;=NKC!$N$8,B1175&gt;=NKC!$M$8),"x","")</f>
        <v/>
      </c>
      <c r="AA1175" s="883"/>
    </row>
    <row r="1176" spans="1:27" s="211" customFormat="1" ht="15.75" customHeight="1">
      <c r="A1176" s="204" t="str">
        <f>IF(B1176&lt;&gt;"",IF(AND(B1176&gt;=_TM1,B1176&lt;=_TM2,OR(TH!L1176="1111",TH!M1176="1111")),TH!D1176,""),"")</f>
        <v/>
      </c>
      <c r="B1176" s="36">
        <f t="shared" si="436"/>
        <v>5</v>
      </c>
      <c r="C1176" s="191">
        <f t="shared" si="437"/>
        <v>41397</v>
      </c>
      <c r="D1176" s="191" t="s">
        <v>1292</v>
      </c>
      <c r="E1176" s="773">
        <v>41397</v>
      </c>
      <c r="F1176" s="189" t="s">
        <v>1247</v>
      </c>
      <c r="G1176" s="40" t="s">
        <v>816</v>
      </c>
      <c r="H1176" s="7" t="s">
        <v>1284</v>
      </c>
      <c r="I1176" s="256">
        <v>257</v>
      </c>
      <c r="J1176" s="256">
        <v>32321.481412639405</v>
      </c>
      <c r="K1176" s="602">
        <f t="shared" si="438"/>
        <v>8306621</v>
      </c>
      <c r="L1176" s="39" t="s">
        <v>165</v>
      </c>
      <c r="M1176" s="603" t="s">
        <v>159</v>
      </c>
      <c r="N1176" s="39" t="str">
        <f>IF(AND('331-CT'!$E$7=TH!H1176,OR(L1176="331",M1176="331")),"331",IF(AND(OR(L1176="131",M1176="131"),H1176='131-CT'!$E$7),"131",""))</f>
        <v/>
      </c>
      <c r="O1176" s="39" t="str">
        <f>IF(AND($B1176&gt;='111'!$N$11,$B1176&lt;='111'!$O$11,OR($L1176=$O$7,$M1176=$O$7)),"x","")</f>
        <v/>
      </c>
      <c r="P1176" s="39" t="str">
        <f>IF(AND($L1176=$O$7,$B1176&lt;'111'!$N$11),"x","")</f>
        <v/>
      </c>
      <c r="Q1176" s="39" t="str">
        <f>IF(AND($M1176=$O$7,$B1176&lt;'111'!$N$11),"x","")</f>
        <v/>
      </c>
      <c r="R1176" s="39" t="str">
        <f>IF(ISERROR(FIND('112'!$M$9,G1176,1)),"",IF((AND(FIND('112'!$M$9,G1176,1)&gt;=1,$B1176&gt;='112'!$N$8,$B1176&lt;='112'!$O$8,OR($L1176='112'!$I$6,$M1176='112'!$I$6))),"x",""))</f>
        <v/>
      </c>
      <c r="S1176" s="39" t="str">
        <f>IF(ISERROR(FIND('112'!$M$9,G1176,1)),"",IF((AND(LEFT(G1176,2)=LEFT('112'!$M$9,2),B1176&lt;'112'!$N$8,$L1176='112'!$I$6)),"x",""))</f>
        <v/>
      </c>
      <c r="T1176" s="39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>154</v>
      </c>
      <c r="V1176" s="39" t="str">
        <f>IF(OR(TH!L1176=TH!$V$7,M1176=TH!$V$7),"x","")</f>
        <v/>
      </c>
      <c r="W1176" s="39" t="str">
        <f>IF(AND(B1176&gt;='IN-NX'!$P$3,B1176&lt;='IN-NX'!$Q$3,'IN-NX'!$D$7=D1176,OR(LEFT(L1176,2)="15",AND(LEFT(M1176,2)&lt;&gt;"15",LEFT(M1176,2)&lt;&gt;"33"))),"x","")</f>
        <v/>
      </c>
      <c r="X1176" s="39" t="str">
        <f>IF(AND(OR(LEFT(TH!L1176,2)="15",LEFT(TH!M1176,2)="15"),'152-CT'!$J$8=TH!F1176),"x","")</f>
        <v/>
      </c>
      <c r="Y1176" s="39" t="str">
        <f>IF(AND(OR(LEFT(TH!L1176,2)="15",LEFT(TH!M1176,2)="15"),TK!$E$7=TH!F1176),"x","")</f>
        <v/>
      </c>
      <c r="Z1176" s="39" t="str">
        <f>IF(AND(B1176&lt;=NKC!$N$8,B1176&gt;=NKC!$M$8),"x","")</f>
        <v/>
      </c>
      <c r="AA1176" s="883"/>
    </row>
    <row r="1177" spans="1:27" s="211" customFormat="1" ht="15.75" customHeight="1">
      <c r="A1177" s="204" t="str">
        <f>IF(B1177&lt;&gt;"",IF(AND(B1177&gt;=_TM1,B1177&lt;=_TM2,OR(TH!L1177="1111",TH!M1177="1111")),TH!D1177,""),"")</f>
        <v/>
      </c>
      <c r="B1177" s="36">
        <f t="shared" si="436"/>
        <v>5</v>
      </c>
      <c r="C1177" s="191">
        <f t="shared" si="437"/>
        <v>41397</v>
      </c>
      <c r="D1177" s="191" t="s">
        <v>1292</v>
      </c>
      <c r="E1177" s="773">
        <v>41397</v>
      </c>
      <c r="F1177" s="189" t="s">
        <v>1184</v>
      </c>
      <c r="G1177" s="40" t="s">
        <v>816</v>
      </c>
      <c r="H1177" s="7" t="s">
        <v>1284</v>
      </c>
      <c r="I1177" s="814">
        <v>11</v>
      </c>
      <c r="J1177" s="256">
        <v>14456</v>
      </c>
      <c r="K1177" s="602">
        <f t="shared" si="438"/>
        <v>159016</v>
      </c>
      <c r="L1177" s="39" t="s">
        <v>165</v>
      </c>
      <c r="M1177" s="603" t="s">
        <v>159</v>
      </c>
      <c r="N1177" s="39" t="str">
        <f>IF(AND('331-CT'!$E$7=TH!H1177,OR(L1177="331",M1177="331")),"331",IF(AND(OR(L1177="131",M1177="131"),H1177='131-CT'!$E$7),"131",""))</f>
        <v/>
      </c>
      <c r="O1177" s="39" t="str">
        <f>IF(AND($B1177&gt;='111'!$N$11,$B1177&lt;='111'!$O$11,OR($L1177=$O$7,$M1177=$O$7)),"x","")</f>
        <v/>
      </c>
      <c r="P1177" s="39" t="str">
        <f>IF(AND($L1177=$O$7,$B1177&lt;'111'!$N$11),"x","")</f>
        <v/>
      </c>
      <c r="Q1177" s="39" t="str">
        <f>IF(AND($M1177=$O$7,$B1177&lt;'111'!$N$11),"x","")</f>
        <v/>
      </c>
      <c r="R1177" s="39" t="str">
        <f>IF(ISERROR(FIND('112'!$M$9,G1177,1)),"",IF((AND(FIND('112'!$M$9,G1177,1)&gt;=1,$B1177&gt;='112'!$N$8,$B1177&lt;='112'!$O$8,OR($L1177='112'!$I$6,$M1177='112'!$I$6))),"x",""))</f>
        <v/>
      </c>
      <c r="S1177" s="39" t="str">
        <f>IF(ISERROR(FIND('112'!$M$9,G1177,1)),"",IF((AND(LEFT(G1177,2)=LEFT('112'!$M$9,2),B1177&lt;'112'!$N$8,$L1177='112'!$I$6)),"x",""))</f>
        <v/>
      </c>
      <c r="T1177" s="39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>154</v>
      </c>
      <c r="V1177" s="39" t="str">
        <f>IF(OR(TH!L1177=TH!$V$7,M1177=TH!$V$7),"x","")</f>
        <v/>
      </c>
      <c r="W1177" s="39" t="str">
        <f>IF(AND(B1177&gt;='IN-NX'!$P$3,B1177&lt;='IN-NX'!$Q$3,'IN-NX'!$D$7=D1177,OR(LEFT(L1177,2)="15",AND(LEFT(M1177,2)&lt;&gt;"15",LEFT(M1177,2)&lt;&gt;"33"))),"x","")</f>
        <v/>
      </c>
      <c r="X1177" s="39" t="str">
        <f>IF(AND(OR(LEFT(TH!L1177,2)="15",LEFT(TH!M1177,2)="15"),'152-CT'!$J$8=TH!F1177),"x","")</f>
        <v/>
      </c>
      <c r="Y1177" s="39" t="str">
        <f>IF(AND(OR(LEFT(TH!L1177,2)="15",LEFT(TH!M1177,2)="15"),TK!$E$7=TH!F1177),"x","")</f>
        <v/>
      </c>
      <c r="Z1177" s="39" t="str">
        <f>IF(AND(B1177&lt;=NKC!$N$8,B1177&gt;=NKC!$M$8),"x","")</f>
        <v/>
      </c>
      <c r="AA1177" s="883"/>
    </row>
    <row r="1178" spans="1:27" s="211" customFormat="1" ht="15.75" customHeight="1">
      <c r="A1178" s="204" t="str">
        <f>IF(B1178&lt;&gt;"",IF(AND(B1178&gt;=_TM1,B1178&lt;=_TM2,OR(TH!L1178="1111",TH!M1178="1111")),TH!D1178,""),"")</f>
        <v/>
      </c>
      <c r="B1178" s="36">
        <f t="shared" si="436"/>
        <v>5</v>
      </c>
      <c r="C1178" s="191">
        <f t="shared" si="437"/>
        <v>41398</v>
      </c>
      <c r="D1178" s="191" t="s">
        <v>1292</v>
      </c>
      <c r="E1178" s="773">
        <v>41398</v>
      </c>
      <c r="F1178" s="189" t="s">
        <v>1243</v>
      </c>
      <c r="G1178" s="40" t="s">
        <v>819</v>
      </c>
      <c r="H1178" s="7" t="s">
        <v>1284</v>
      </c>
      <c r="I1178" s="814">
        <v>250</v>
      </c>
      <c r="J1178" s="256">
        <v>14726</v>
      </c>
      <c r="K1178" s="602">
        <f t="shared" si="438"/>
        <v>3681500</v>
      </c>
      <c r="L1178" s="39" t="s">
        <v>165</v>
      </c>
      <c r="M1178" s="603" t="s">
        <v>159</v>
      </c>
      <c r="N1178" s="39" t="str">
        <f>IF(AND('331-CT'!$E$7=TH!H1178,OR(L1178="331",M1178="331")),"331",IF(AND(OR(L1178="131",M1178="131"),H1178='131-CT'!$E$7),"131",""))</f>
        <v/>
      </c>
      <c r="O1178" s="39" t="str">
        <f>IF(AND($B1178&gt;='111'!$N$11,$B1178&lt;='111'!$O$11,OR($L1178=$O$7,$M1178=$O$7)),"x","")</f>
        <v/>
      </c>
      <c r="P1178" s="39" t="str">
        <f>IF(AND($L1178=$O$7,$B1178&lt;'111'!$N$11),"x","")</f>
        <v/>
      </c>
      <c r="Q1178" s="39" t="str">
        <f>IF(AND($M1178=$O$7,$B1178&lt;'111'!$N$11),"x","")</f>
        <v/>
      </c>
      <c r="R1178" s="39" t="str">
        <f>IF(ISERROR(FIND('112'!$M$9,G1178,1)),"",IF((AND(FIND('112'!$M$9,G1178,1)&gt;=1,$B1178&gt;='112'!$N$8,$B1178&lt;='112'!$O$8,OR($L1178='112'!$I$6,$M1178='112'!$I$6))),"x",""))</f>
        <v/>
      </c>
      <c r="S1178" s="39" t="str">
        <f>IF(ISERROR(FIND('112'!$M$9,G1178,1)),"",IF((AND(LEFT(G1178,2)=LEFT('112'!$M$9,2),B1178&lt;'112'!$N$8,$L1178='112'!$I$6)),"x",""))</f>
        <v/>
      </c>
      <c r="T1178" s="39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>154</v>
      </c>
      <c r="V1178" s="39" t="str">
        <f>IF(OR(TH!L1178=TH!$V$7,M1178=TH!$V$7),"x","")</f>
        <v/>
      </c>
      <c r="W1178" s="39" t="str">
        <f>IF(AND(B1178&gt;='IN-NX'!$P$3,B1178&lt;='IN-NX'!$Q$3,'IN-NX'!$D$7=D1178,OR(LEFT(L1178,2)="15",AND(LEFT(M1178,2)&lt;&gt;"15",LEFT(M1178,2)&lt;&gt;"33"))),"x","")</f>
        <v/>
      </c>
      <c r="X1178" s="39" t="str">
        <f>IF(AND(OR(LEFT(TH!L1178,2)="15",LEFT(TH!M1178,2)="15"),'152-CT'!$J$8=TH!F1178),"x","")</f>
        <v/>
      </c>
      <c r="Y1178" s="39" t="str">
        <f>IF(AND(OR(LEFT(TH!L1178,2)="15",LEFT(TH!M1178,2)="15"),TK!$E$7=TH!F1178),"x","")</f>
        <v/>
      </c>
      <c r="Z1178" s="39" t="str">
        <f>IF(AND(B1178&lt;=NKC!$N$8,B1178&gt;=NKC!$M$8),"x","")</f>
        <v/>
      </c>
      <c r="AA1178" s="883"/>
    </row>
    <row r="1179" spans="1:27" s="211" customFormat="1" ht="15.75" customHeight="1">
      <c r="A1179" s="204" t="str">
        <f>IF(B1179&lt;&gt;"",IF(AND(B1179&gt;=_TM1,B1179&lt;=_TM2,OR(TH!L1179="1111",TH!M1179="1111")),TH!D1179,""),"")</f>
        <v/>
      </c>
      <c r="B1179" s="36">
        <f t="shared" si="436"/>
        <v>5</v>
      </c>
      <c r="C1179" s="191">
        <f t="shared" si="437"/>
        <v>41406</v>
      </c>
      <c r="D1179" s="191" t="s">
        <v>1292</v>
      </c>
      <c r="E1179" s="773">
        <v>41406</v>
      </c>
      <c r="F1179" s="189" t="s">
        <v>1199</v>
      </c>
      <c r="G1179" s="40" t="s">
        <v>820</v>
      </c>
      <c r="H1179" s="7" t="s">
        <v>1284</v>
      </c>
      <c r="I1179" s="256">
        <v>60</v>
      </c>
      <c r="J1179" s="256">
        <v>17716</v>
      </c>
      <c r="K1179" s="602">
        <f t="shared" si="438"/>
        <v>1062960</v>
      </c>
      <c r="L1179" s="39" t="s">
        <v>165</v>
      </c>
      <c r="M1179" s="603" t="s">
        <v>159</v>
      </c>
      <c r="N1179" s="39" t="str">
        <f>IF(AND('331-CT'!$E$7=TH!H1179,OR(L1179="331",M1179="331")),"331",IF(AND(OR(L1179="131",M1179="131"),H1179='131-CT'!$E$7),"131",""))</f>
        <v/>
      </c>
      <c r="O1179" s="39" t="str">
        <f>IF(AND($B1179&gt;='111'!$N$11,$B1179&lt;='111'!$O$11,OR($L1179=$O$7,$M1179=$O$7)),"x","")</f>
        <v/>
      </c>
      <c r="P1179" s="39" t="str">
        <f>IF(AND($L1179=$O$7,$B1179&lt;'111'!$N$11),"x","")</f>
        <v/>
      </c>
      <c r="Q1179" s="39" t="str">
        <f>IF(AND($M1179=$O$7,$B1179&lt;'111'!$N$11),"x","")</f>
        <v/>
      </c>
      <c r="R1179" s="39" t="str">
        <f>IF(ISERROR(FIND('112'!$M$9,G1179,1)),"",IF((AND(FIND('112'!$M$9,G1179,1)&gt;=1,$B1179&gt;='112'!$N$8,$B1179&lt;='112'!$O$8,OR($L1179='112'!$I$6,$M1179='112'!$I$6))),"x",""))</f>
        <v/>
      </c>
      <c r="S1179" s="39" t="str">
        <f>IF(ISERROR(FIND('112'!$M$9,G1179,1)),"",IF((AND(LEFT(G1179,2)=LEFT('112'!$M$9,2),B1179&lt;'112'!$N$8,$L1179='112'!$I$6)),"x",""))</f>
        <v/>
      </c>
      <c r="T1179" s="39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>154</v>
      </c>
      <c r="V1179" s="39" t="str">
        <f>IF(OR(TH!L1179=TH!$V$7,M1179=TH!$V$7),"x","")</f>
        <v/>
      </c>
      <c r="W1179" s="39" t="str">
        <f>IF(AND(B1179&gt;='IN-NX'!$P$3,B1179&lt;='IN-NX'!$Q$3,'IN-NX'!$D$7=D1179,OR(LEFT(L1179,2)="15",AND(LEFT(M1179,2)&lt;&gt;"15",LEFT(M1179,2)&lt;&gt;"33"))),"x","")</f>
        <v/>
      </c>
      <c r="X1179" s="39" t="str">
        <f>IF(AND(OR(LEFT(TH!L1179,2)="15",LEFT(TH!M1179,2)="15"),'152-CT'!$J$8=TH!F1179),"x","")</f>
        <v/>
      </c>
      <c r="Y1179" s="39" t="str">
        <f>IF(AND(OR(LEFT(TH!L1179,2)="15",LEFT(TH!M1179,2)="15"),TK!$E$7=TH!F1179),"x","")</f>
        <v/>
      </c>
      <c r="Z1179" s="39" t="str">
        <f>IF(AND(B1179&lt;=NKC!$N$8,B1179&gt;=NKC!$M$8),"x","")</f>
        <v/>
      </c>
      <c r="AA1179" s="883"/>
    </row>
    <row r="1180" spans="1:27" s="211" customFormat="1" ht="15.75" customHeight="1">
      <c r="A1180" s="204" t="str">
        <f>IF(B1180&lt;&gt;"",IF(AND(B1180&gt;=_TM1,B1180&lt;=_TM2,OR(TH!L1180="1111",TH!M1180="1111")),TH!D1180,""),"")</f>
        <v/>
      </c>
      <c r="B1180" s="36">
        <f t="shared" si="436"/>
        <v>5</v>
      </c>
      <c r="C1180" s="191">
        <f t="shared" si="437"/>
        <v>41406</v>
      </c>
      <c r="D1180" s="191" t="s">
        <v>1292</v>
      </c>
      <c r="E1180" s="773">
        <v>41406</v>
      </c>
      <c r="F1180" s="189" t="s">
        <v>1213</v>
      </c>
      <c r="G1180" s="40" t="s">
        <v>820</v>
      </c>
      <c r="H1180" s="7" t="s">
        <v>1284</v>
      </c>
      <c r="I1180" s="814">
        <v>50</v>
      </c>
      <c r="J1180" s="256">
        <v>21762</v>
      </c>
      <c r="K1180" s="602">
        <f t="shared" si="438"/>
        <v>1088100</v>
      </c>
      <c r="L1180" s="39" t="s">
        <v>165</v>
      </c>
      <c r="M1180" s="603" t="s">
        <v>159</v>
      </c>
      <c r="N1180" s="39" t="str">
        <f>IF(AND('331-CT'!$E$7=TH!H1180,OR(L1180="331",M1180="331")),"331",IF(AND(OR(L1180="131",M1180="131"),H1180='131-CT'!$E$7),"131",""))</f>
        <v/>
      </c>
      <c r="O1180" s="39" t="str">
        <f>IF(AND($B1180&gt;='111'!$N$11,$B1180&lt;='111'!$O$11,OR($L1180=$O$7,$M1180=$O$7)),"x","")</f>
        <v/>
      </c>
      <c r="P1180" s="39" t="str">
        <f>IF(AND($L1180=$O$7,$B1180&lt;'111'!$N$11),"x","")</f>
        <v/>
      </c>
      <c r="Q1180" s="39" t="str">
        <f>IF(AND($M1180=$O$7,$B1180&lt;'111'!$N$11),"x","")</f>
        <v/>
      </c>
      <c r="R1180" s="39" t="str">
        <f>IF(ISERROR(FIND('112'!$M$9,G1180,1)),"",IF((AND(FIND('112'!$M$9,G1180,1)&gt;=1,$B1180&gt;='112'!$N$8,$B1180&lt;='112'!$O$8,OR($L1180='112'!$I$6,$M1180='112'!$I$6))),"x",""))</f>
        <v/>
      </c>
      <c r="S1180" s="39" t="str">
        <f>IF(ISERROR(FIND('112'!$M$9,G1180,1)),"",IF((AND(LEFT(G1180,2)=LEFT('112'!$M$9,2),B1180&lt;'112'!$N$8,$L1180='112'!$I$6)),"x",""))</f>
        <v/>
      </c>
      <c r="T1180" s="39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>154</v>
      </c>
      <c r="V1180" s="39" t="str">
        <f>IF(OR(TH!L1180=TH!$V$7,M1180=TH!$V$7),"x","")</f>
        <v/>
      </c>
      <c r="W1180" s="39" t="str">
        <f>IF(AND(B1180&gt;='IN-NX'!$P$3,B1180&lt;='IN-NX'!$Q$3,'IN-NX'!$D$7=D1180,OR(LEFT(L1180,2)="15",AND(LEFT(M1180,2)&lt;&gt;"15",LEFT(M1180,2)&lt;&gt;"33"))),"x","")</f>
        <v/>
      </c>
      <c r="X1180" s="39" t="str">
        <f>IF(AND(OR(LEFT(TH!L1180,2)="15",LEFT(TH!M1180,2)="15"),'152-CT'!$J$8=TH!F1180),"x","")</f>
        <v/>
      </c>
      <c r="Y1180" s="39" t="str">
        <f>IF(AND(OR(LEFT(TH!L1180,2)="15",LEFT(TH!M1180,2)="15"),TK!$E$7=TH!F1180),"x","")</f>
        <v/>
      </c>
      <c r="Z1180" s="39" t="str">
        <f>IF(AND(B1180&lt;=NKC!$N$8,B1180&gt;=NKC!$M$8),"x","")</f>
        <v/>
      </c>
      <c r="AA1180" s="883"/>
    </row>
    <row r="1181" spans="1:27" s="211" customFormat="1" ht="15.75" customHeight="1">
      <c r="A1181" s="204" t="str">
        <f>IF(B1181&lt;&gt;"",IF(AND(B1181&gt;=_TM1,B1181&lt;=_TM2,OR(TH!L1181="1111",TH!M1181="1111")),TH!D1181,""),"")</f>
        <v/>
      </c>
      <c r="B1181" s="36">
        <f t="shared" si="436"/>
        <v>5</v>
      </c>
      <c r="C1181" s="191">
        <f t="shared" si="437"/>
        <v>41406</v>
      </c>
      <c r="D1181" s="191" t="s">
        <v>1292</v>
      </c>
      <c r="E1181" s="773">
        <v>41406</v>
      </c>
      <c r="F1181" s="297" t="s">
        <v>1222</v>
      </c>
      <c r="G1181" s="40" t="s">
        <v>820</v>
      </c>
      <c r="H1181" s="7" t="s">
        <v>1284</v>
      </c>
      <c r="I1181" s="256">
        <v>110</v>
      </c>
      <c r="J1181" s="256">
        <v>12073.76551724138</v>
      </c>
      <c r="K1181" s="602">
        <f t="shared" si="438"/>
        <v>1328114</v>
      </c>
      <c r="L1181" s="39" t="s">
        <v>165</v>
      </c>
      <c r="M1181" s="603" t="s">
        <v>159</v>
      </c>
      <c r="N1181" s="39" t="str">
        <f>IF(AND('331-CT'!$E$7=TH!H1181,OR(L1181="331",M1181="331")),"331",IF(AND(OR(L1181="131",M1181="131"),H1181='131-CT'!$E$7),"131",""))</f>
        <v/>
      </c>
      <c r="O1181" s="39" t="str">
        <f>IF(AND($B1181&gt;='111'!$N$11,$B1181&lt;='111'!$O$11,OR($L1181=$O$7,$M1181=$O$7)),"x","")</f>
        <v/>
      </c>
      <c r="P1181" s="39" t="str">
        <f>IF(AND($L1181=$O$7,$B1181&lt;'111'!$N$11),"x","")</f>
        <v/>
      </c>
      <c r="Q1181" s="39" t="str">
        <f>IF(AND($M1181=$O$7,$B1181&lt;'111'!$N$11),"x","")</f>
        <v/>
      </c>
      <c r="R1181" s="39" t="str">
        <f>IF(ISERROR(FIND('112'!$M$9,G1181,1)),"",IF((AND(FIND('112'!$M$9,G1181,1)&gt;=1,$B1181&gt;='112'!$N$8,$B1181&lt;='112'!$O$8,OR($L1181='112'!$I$6,$M1181='112'!$I$6))),"x",""))</f>
        <v/>
      </c>
      <c r="S1181" s="39" t="str">
        <f>IF(ISERROR(FIND('112'!$M$9,G1181,1)),"",IF((AND(LEFT(G1181,2)=LEFT('112'!$M$9,2),B1181&lt;'112'!$N$8,$L1181='112'!$I$6)),"x",""))</f>
        <v/>
      </c>
      <c r="T1181" s="39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>154</v>
      </c>
      <c r="V1181" s="39" t="str">
        <f>IF(OR(TH!L1181=TH!$V$7,M1181=TH!$V$7),"x","")</f>
        <v/>
      </c>
      <c r="W1181" s="39" t="str">
        <f>IF(AND(B1181&gt;='IN-NX'!$P$3,B1181&lt;='IN-NX'!$Q$3,'IN-NX'!$D$7=D1181,OR(LEFT(L1181,2)="15",AND(LEFT(M1181,2)&lt;&gt;"15",LEFT(M1181,2)&lt;&gt;"33"))),"x","")</f>
        <v/>
      </c>
      <c r="X1181" s="39" t="str">
        <f>IF(AND(OR(LEFT(TH!L1181,2)="15",LEFT(TH!M1181,2)="15"),'152-CT'!$J$8=TH!F1181),"x","")</f>
        <v/>
      </c>
      <c r="Y1181" s="39" t="str">
        <f>IF(AND(OR(LEFT(TH!L1181,2)="15",LEFT(TH!M1181,2)="15"),TK!$E$7=TH!F1181),"x","")</f>
        <v/>
      </c>
      <c r="Z1181" s="39" t="str">
        <f>IF(AND(B1181&lt;=NKC!$N$8,B1181&gt;=NKC!$M$8),"x","")</f>
        <v/>
      </c>
      <c r="AA1181" s="883"/>
    </row>
    <row r="1182" spans="1:27" s="211" customFormat="1" ht="15.75" customHeight="1">
      <c r="A1182" s="204" t="str">
        <f>IF(B1182&lt;&gt;"",IF(AND(B1182&gt;=_TM1,B1182&lt;=_TM2,OR(TH!L1182="1111",TH!M1182="1111")),TH!D1182,""),"")</f>
        <v/>
      </c>
      <c r="B1182" s="36">
        <f t="shared" si="436"/>
        <v>5</v>
      </c>
      <c r="C1182" s="191">
        <f t="shared" si="437"/>
        <v>41406</v>
      </c>
      <c r="D1182" s="191" t="s">
        <v>1292</v>
      </c>
      <c r="E1182" s="773">
        <v>41406</v>
      </c>
      <c r="F1182" s="40" t="s">
        <v>1227</v>
      </c>
      <c r="G1182" s="40" t="s">
        <v>820</v>
      </c>
      <c r="H1182" s="7" t="s">
        <v>1284</v>
      </c>
      <c r="I1182" s="256">
        <v>106</v>
      </c>
      <c r="J1182" s="256">
        <v>13999</v>
      </c>
      <c r="K1182" s="602">
        <f t="shared" si="438"/>
        <v>1483894</v>
      </c>
      <c r="L1182" s="39" t="s">
        <v>165</v>
      </c>
      <c r="M1182" s="603" t="s">
        <v>159</v>
      </c>
      <c r="N1182" s="39" t="str">
        <f>IF(AND('331-CT'!$E$7=TH!H1182,OR(L1182="331",M1182="331")),"331",IF(AND(OR(L1182="131",M1182="131"),H1182='131-CT'!$E$7),"131",""))</f>
        <v/>
      </c>
      <c r="O1182" s="39" t="str">
        <f>IF(AND($B1182&gt;='111'!$N$11,$B1182&lt;='111'!$O$11,OR($L1182=$O$7,$M1182=$O$7)),"x","")</f>
        <v/>
      </c>
      <c r="P1182" s="39" t="str">
        <f>IF(AND($L1182=$O$7,$B1182&lt;'111'!$N$11),"x","")</f>
        <v/>
      </c>
      <c r="Q1182" s="39" t="str">
        <f>IF(AND($M1182=$O$7,$B1182&lt;'111'!$N$11),"x","")</f>
        <v/>
      </c>
      <c r="R1182" s="39" t="str">
        <f>IF(ISERROR(FIND('112'!$M$9,G1182,1)),"",IF((AND(FIND('112'!$M$9,G1182,1)&gt;=1,$B1182&gt;='112'!$N$8,$B1182&lt;='112'!$O$8,OR($L1182='112'!$I$6,$M1182='112'!$I$6))),"x",""))</f>
        <v/>
      </c>
      <c r="S1182" s="39" t="str">
        <f>IF(ISERROR(FIND('112'!$M$9,G1182,1)),"",IF((AND(LEFT(G1182,2)=LEFT('112'!$M$9,2),B1182&lt;'112'!$N$8,$L1182='112'!$I$6)),"x",""))</f>
        <v/>
      </c>
      <c r="T1182" s="39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>154</v>
      </c>
      <c r="V1182" s="39" t="str">
        <f>IF(OR(TH!L1182=TH!$V$7,M1182=TH!$V$7),"x","")</f>
        <v/>
      </c>
      <c r="W1182" s="39" t="str">
        <f>IF(AND(B1182&gt;='IN-NX'!$P$3,B1182&lt;='IN-NX'!$Q$3,'IN-NX'!$D$7=D1182,OR(LEFT(L1182,2)="15",AND(LEFT(M1182,2)&lt;&gt;"15",LEFT(M1182,2)&lt;&gt;"33"))),"x","")</f>
        <v/>
      </c>
      <c r="X1182" s="39" t="str">
        <f>IF(AND(OR(LEFT(TH!L1182,2)="15",LEFT(TH!M1182,2)="15"),'152-CT'!$J$8=TH!F1182),"x","")</f>
        <v/>
      </c>
      <c r="Y1182" s="39" t="str">
        <f>IF(AND(OR(LEFT(TH!L1182,2)="15",LEFT(TH!M1182,2)="15"),TK!$E$7=TH!F1182),"x","")</f>
        <v/>
      </c>
      <c r="Z1182" s="39" t="str">
        <f>IF(AND(B1182&lt;=NKC!$N$8,B1182&gt;=NKC!$M$8),"x","")</f>
        <v/>
      </c>
      <c r="AA1182" s="883"/>
    </row>
    <row r="1183" spans="1:27" s="211" customFormat="1" ht="15.75" customHeight="1">
      <c r="A1183" s="204" t="str">
        <f>IF(B1183&lt;&gt;"",IF(AND(B1183&gt;=_TM1,B1183&lt;=_TM2,OR(TH!L1183="1111",TH!M1183="1111")),TH!D1183,""),"")</f>
        <v/>
      </c>
      <c r="B1183" s="36">
        <f t="shared" si="436"/>
        <v>5</v>
      </c>
      <c r="C1183" s="191">
        <f t="shared" si="437"/>
        <v>41406</v>
      </c>
      <c r="D1183" s="191" t="s">
        <v>1292</v>
      </c>
      <c r="E1183" s="191">
        <v>41406</v>
      </c>
      <c r="F1183" s="192" t="s">
        <v>1171</v>
      </c>
      <c r="G1183" s="487" t="s">
        <v>821</v>
      </c>
      <c r="H1183" s="7" t="s">
        <v>1284</v>
      </c>
      <c r="I1183" s="258">
        <v>760</v>
      </c>
      <c r="J1183" s="258">
        <v>20815</v>
      </c>
      <c r="K1183" s="602">
        <f t="shared" si="438"/>
        <v>15819400</v>
      </c>
      <c r="L1183" s="39" t="s">
        <v>165</v>
      </c>
      <c r="M1183" s="603" t="s">
        <v>159</v>
      </c>
      <c r="N1183" s="39" t="str">
        <f>IF(AND('331-CT'!$E$7=TH!H1183,OR(L1183="331",M1183="331")),"331",IF(AND(OR(L1183="131",M1183="131"),H1183='131-CT'!$E$7),"131",""))</f>
        <v/>
      </c>
      <c r="O1183" s="39" t="str">
        <f>IF(AND($B1183&gt;='111'!$N$11,$B1183&lt;='111'!$O$11,OR($L1183=$O$7,$M1183=$O$7)),"x","")</f>
        <v/>
      </c>
      <c r="P1183" s="39" t="str">
        <f>IF(AND($L1183=$O$7,$B1183&lt;'111'!$N$11),"x","")</f>
        <v/>
      </c>
      <c r="Q1183" s="39" t="str">
        <f>IF(AND($M1183=$O$7,$B1183&lt;'111'!$N$11),"x","")</f>
        <v/>
      </c>
      <c r="R1183" s="39" t="str">
        <f>IF(ISERROR(FIND('112'!$M$9,G1183,1)),"",IF((AND(FIND('112'!$M$9,G1183,1)&gt;=1,$B1183&gt;='112'!$N$8,$B1183&lt;='112'!$O$8,OR($L1183='112'!$I$6,$M1183='112'!$I$6))),"x",""))</f>
        <v/>
      </c>
      <c r="S1183" s="39" t="str">
        <f>IF(ISERROR(FIND('112'!$M$9,G1183,1)),"",IF((AND(LEFT(G1183,2)=LEFT('112'!$M$9,2),B1183&lt;'112'!$N$8,$L1183='112'!$I$6)),"x",""))</f>
        <v/>
      </c>
      <c r="T1183" s="39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>154</v>
      </c>
      <c r="V1183" s="39" t="str">
        <f>IF(OR(TH!L1183=TH!$V$7,M1183=TH!$V$7),"x","")</f>
        <v/>
      </c>
      <c r="W1183" s="39" t="str">
        <f>IF(AND(B1183&gt;='IN-NX'!$P$3,B1183&lt;='IN-NX'!$Q$3,'IN-NX'!$D$7=D1183,OR(LEFT(L1183,2)="15",AND(LEFT(M1183,2)&lt;&gt;"15",LEFT(M1183,2)&lt;&gt;"33"))),"x","")</f>
        <v/>
      </c>
      <c r="X1183" s="39" t="str">
        <f>IF(AND(OR(LEFT(TH!L1183,2)="15",LEFT(TH!M1183,2)="15"),'152-CT'!$J$8=TH!F1183),"x","")</f>
        <v/>
      </c>
      <c r="Y1183" s="39" t="str">
        <f>IF(AND(OR(LEFT(TH!L1183,2)="15",LEFT(TH!M1183,2)="15"),TK!$E$7=TH!F1183),"x","")</f>
        <v/>
      </c>
      <c r="Z1183" s="39" t="str">
        <f>IF(AND(B1183&lt;=NKC!$N$8,B1183&gt;=NKC!$M$8),"x","")</f>
        <v/>
      </c>
      <c r="AA1183" s="883"/>
    </row>
    <row r="1184" spans="1:27" s="211" customFormat="1" ht="15.75" customHeight="1">
      <c r="A1184" s="204" t="str">
        <f>IF(B1184&lt;&gt;"",IF(AND(B1184&gt;=_TM1,B1184&lt;=_TM2,OR(TH!L1184="1111",TH!M1184="1111")),TH!D1184,""),"")</f>
        <v/>
      </c>
      <c r="B1184" s="36">
        <f t="shared" si="436"/>
        <v>5</v>
      </c>
      <c r="C1184" s="191">
        <f t="shared" si="437"/>
        <v>41407</v>
      </c>
      <c r="D1184" s="191" t="s">
        <v>1292</v>
      </c>
      <c r="E1184" s="191">
        <v>41407</v>
      </c>
      <c r="F1184" s="192" t="s">
        <v>1252</v>
      </c>
      <c r="G1184" s="487" t="s">
        <v>823</v>
      </c>
      <c r="H1184" s="7" t="s">
        <v>1284</v>
      </c>
      <c r="I1184" s="258">
        <v>625</v>
      </c>
      <c r="J1184" s="258">
        <v>23149</v>
      </c>
      <c r="K1184" s="602">
        <f t="shared" si="438"/>
        <v>14468125</v>
      </c>
      <c r="L1184" s="39" t="s">
        <v>165</v>
      </c>
      <c r="M1184" s="603" t="s">
        <v>159</v>
      </c>
      <c r="N1184" s="39" t="str">
        <f>IF(AND('331-CT'!$E$7=TH!H1184,OR(L1184="331",M1184="331")),"331",IF(AND(OR(L1184="131",M1184="131"),H1184='131-CT'!$E$7),"131",""))</f>
        <v/>
      </c>
      <c r="O1184" s="39" t="str">
        <f>IF(AND($B1184&gt;='111'!$N$11,$B1184&lt;='111'!$O$11,OR($L1184=$O$7,$M1184=$O$7)),"x","")</f>
        <v/>
      </c>
      <c r="P1184" s="39" t="str">
        <f>IF(AND($L1184=$O$7,$B1184&lt;'111'!$N$11),"x","")</f>
        <v/>
      </c>
      <c r="Q1184" s="39" t="str">
        <f>IF(AND($M1184=$O$7,$B1184&lt;'111'!$N$11),"x","")</f>
        <v/>
      </c>
      <c r="R1184" s="39" t="str">
        <f>IF(ISERROR(FIND('112'!$M$9,G1184,1)),"",IF((AND(FIND('112'!$M$9,G1184,1)&gt;=1,$B1184&gt;='112'!$N$8,$B1184&lt;='112'!$O$8,OR($L1184='112'!$I$6,$M1184='112'!$I$6))),"x",""))</f>
        <v/>
      </c>
      <c r="S1184" s="39" t="str">
        <f>IF(ISERROR(FIND('112'!$M$9,G1184,1)),"",IF((AND(LEFT(G1184,2)=LEFT('112'!$M$9,2),B1184&lt;'112'!$N$8,$L1184='112'!$I$6)),"x",""))</f>
        <v/>
      </c>
      <c r="T1184" s="39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>154</v>
      </c>
      <c r="V1184" s="39" t="str">
        <f>IF(OR(TH!L1184=TH!$V$7,M1184=TH!$V$7),"x","")</f>
        <v/>
      </c>
      <c r="W1184" s="39" t="str">
        <f>IF(AND(B1184&gt;='IN-NX'!$P$3,B1184&lt;='IN-NX'!$Q$3,'IN-NX'!$D$7=D1184,OR(LEFT(L1184,2)="15",AND(LEFT(M1184,2)&lt;&gt;"15",LEFT(M1184,2)&lt;&gt;"33"))),"x","")</f>
        <v/>
      </c>
      <c r="X1184" s="39" t="str">
        <f>IF(AND(OR(LEFT(TH!L1184,2)="15",LEFT(TH!M1184,2)="15"),'152-CT'!$J$8=TH!F1184),"x","")</f>
        <v/>
      </c>
      <c r="Y1184" s="39" t="str">
        <f>IF(AND(OR(LEFT(TH!L1184,2)="15",LEFT(TH!M1184,2)="15"),TK!$E$7=TH!F1184),"x","")</f>
        <v/>
      </c>
      <c r="Z1184" s="39" t="str">
        <f>IF(AND(B1184&lt;=NKC!$N$8,B1184&gt;=NKC!$M$8),"x","")</f>
        <v/>
      </c>
      <c r="AA1184" s="883"/>
    </row>
    <row r="1185" spans="1:27" s="211" customFormat="1" ht="15.75" customHeight="1">
      <c r="A1185" s="204" t="str">
        <f>IF(B1185&lt;&gt;"",IF(AND(B1185&gt;=_TM1,B1185&lt;=_TM2,OR(TH!L1185="1111",TH!M1185="1111")),TH!D1185,""),"")</f>
        <v/>
      </c>
      <c r="B1185" s="36">
        <f t="shared" si="436"/>
        <v>5</v>
      </c>
      <c r="C1185" s="191">
        <f t="shared" si="437"/>
        <v>41407</v>
      </c>
      <c r="D1185" s="191" t="s">
        <v>1292</v>
      </c>
      <c r="E1185" s="184">
        <v>41407</v>
      </c>
      <c r="F1185" s="189" t="s">
        <v>1227</v>
      </c>
      <c r="G1185" s="604" t="s">
        <v>824</v>
      </c>
      <c r="H1185" s="7" t="s">
        <v>1284</v>
      </c>
      <c r="I1185" s="256">
        <v>520</v>
      </c>
      <c r="J1185" s="256">
        <v>13999</v>
      </c>
      <c r="K1185" s="602">
        <f t="shared" si="438"/>
        <v>7279480</v>
      </c>
      <c r="L1185" s="39" t="s">
        <v>165</v>
      </c>
      <c r="M1185" s="603" t="s">
        <v>159</v>
      </c>
      <c r="N1185" s="39" t="str">
        <f>IF(AND('331-CT'!$E$7=TH!H1185,OR(L1185="331",M1185="331")),"331",IF(AND(OR(L1185="131",M1185="131"),H1185='131-CT'!$E$7),"131",""))</f>
        <v/>
      </c>
      <c r="O1185" s="39" t="str">
        <f>IF(AND($B1185&gt;='111'!$N$11,$B1185&lt;='111'!$O$11,OR($L1185=$O$7,$M1185=$O$7)),"x","")</f>
        <v/>
      </c>
      <c r="P1185" s="39" t="str">
        <f>IF(AND($L1185=$O$7,$B1185&lt;'111'!$N$11),"x","")</f>
        <v/>
      </c>
      <c r="Q1185" s="39" t="str">
        <f>IF(AND($M1185=$O$7,$B1185&lt;'111'!$N$11),"x","")</f>
        <v/>
      </c>
      <c r="R1185" s="39" t="str">
        <f>IF(ISERROR(FIND('112'!$M$9,G1185,1)),"",IF((AND(FIND('112'!$M$9,G1185,1)&gt;=1,$B1185&gt;='112'!$N$8,$B1185&lt;='112'!$O$8,OR($L1185='112'!$I$6,$M1185='112'!$I$6))),"x",""))</f>
        <v/>
      </c>
      <c r="S1185" s="39" t="str">
        <f>IF(ISERROR(FIND('112'!$M$9,G1185,1)),"",IF((AND(LEFT(G1185,2)=LEFT('112'!$M$9,2),B1185&lt;'112'!$N$8,$L1185='112'!$I$6)),"x",""))</f>
        <v/>
      </c>
      <c r="T1185" s="39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>154</v>
      </c>
      <c r="V1185" s="39" t="str">
        <f>IF(OR(TH!L1185=TH!$V$7,M1185=TH!$V$7),"x","")</f>
        <v/>
      </c>
      <c r="W1185" s="39" t="str">
        <f>IF(AND(B1185&gt;='IN-NX'!$P$3,B1185&lt;='IN-NX'!$Q$3,'IN-NX'!$D$7=D1185,OR(LEFT(L1185,2)="15",AND(LEFT(M1185,2)&lt;&gt;"15",LEFT(M1185,2)&lt;&gt;"33"))),"x","")</f>
        <v/>
      </c>
      <c r="X1185" s="39" t="str">
        <f>IF(AND(OR(LEFT(TH!L1185,2)="15",LEFT(TH!M1185,2)="15"),'152-CT'!$J$8=TH!F1185),"x","")</f>
        <v/>
      </c>
      <c r="Y1185" s="39" t="str">
        <f>IF(AND(OR(LEFT(TH!L1185,2)="15",LEFT(TH!M1185,2)="15"),TK!$E$7=TH!F1185),"x","")</f>
        <v/>
      </c>
      <c r="Z1185" s="39" t="str">
        <f>IF(AND(B1185&lt;=NKC!$N$8,B1185&gt;=NKC!$M$8),"x","")</f>
        <v/>
      </c>
      <c r="AA1185" s="883"/>
    </row>
    <row r="1186" spans="1:27" s="211" customFormat="1" ht="15.75" customHeight="1">
      <c r="A1186" s="204" t="str">
        <f>IF(B1186&lt;&gt;"",IF(AND(B1186&gt;=_TM1,B1186&lt;=_TM2,OR(TH!L1186="1111",TH!M1186="1111")),TH!D1186,""),"")</f>
        <v/>
      </c>
      <c r="B1186" s="36">
        <f t="shared" si="436"/>
        <v>5</v>
      </c>
      <c r="C1186" s="191">
        <f t="shared" si="437"/>
        <v>41407</v>
      </c>
      <c r="D1186" s="191" t="s">
        <v>1292</v>
      </c>
      <c r="E1186" s="184">
        <v>41407</v>
      </c>
      <c r="F1186" s="189" t="s">
        <v>1236</v>
      </c>
      <c r="G1186" s="604" t="s">
        <v>826</v>
      </c>
      <c r="H1186" s="7" t="s">
        <v>1284</v>
      </c>
      <c r="I1186" s="256">
        <v>277</v>
      </c>
      <c r="J1186" s="256">
        <v>15825</v>
      </c>
      <c r="K1186" s="602">
        <f t="shared" si="438"/>
        <v>4383525</v>
      </c>
      <c r="L1186" s="39" t="s">
        <v>165</v>
      </c>
      <c r="M1186" s="603" t="s">
        <v>159</v>
      </c>
      <c r="N1186" s="39" t="str">
        <f>IF(AND('331-CT'!$E$7=TH!H1186,OR(L1186="331",M1186="331")),"331",IF(AND(OR(L1186="131",M1186="131"),H1186='131-CT'!$E$7),"131",""))</f>
        <v/>
      </c>
      <c r="O1186" s="39" t="str">
        <f>IF(AND($B1186&gt;='111'!$N$11,$B1186&lt;='111'!$O$11,OR($L1186=$O$7,$M1186=$O$7)),"x","")</f>
        <v/>
      </c>
      <c r="P1186" s="39" t="str">
        <f>IF(AND($L1186=$O$7,$B1186&lt;'111'!$N$11),"x","")</f>
        <v/>
      </c>
      <c r="Q1186" s="39" t="str">
        <f>IF(AND($M1186=$O$7,$B1186&lt;'111'!$N$11),"x","")</f>
        <v/>
      </c>
      <c r="R1186" s="39" t="str">
        <f>IF(ISERROR(FIND('112'!$M$9,G1186,1)),"",IF((AND(FIND('112'!$M$9,G1186,1)&gt;=1,$B1186&gt;='112'!$N$8,$B1186&lt;='112'!$O$8,OR($L1186='112'!$I$6,$M1186='112'!$I$6))),"x",""))</f>
        <v/>
      </c>
      <c r="S1186" s="39" t="str">
        <f>IF(ISERROR(FIND('112'!$M$9,G1186,1)),"",IF((AND(LEFT(G1186,2)=LEFT('112'!$M$9,2),B1186&lt;'112'!$N$8,$L1186='112'!$I$6)),"x",""))</f>
        <v/>
      </c>
      <c r="T1186" s="39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>154</v>
      </c>
      <c r="V1186" s="39" t="str">
        <f>IF(OR(TH!L1186=TH!$V$7,M1186=TH!$V$7),"x","")</f>
        <v/>
      </c>
      <c r="W1186" s="39" t="str">
        <f>IF(AND(B1186&gt;='IN-NX'!$P$3,B1186&lt;='IN-NX'!$Q$3,'IN-NX'!$D$7=D1186,OR(LEFT(L1186,2)="15",AND(LEFT(M1186,2)&lt;&gt;"15",LEFT(M1186,2)&lt;&gt;"33"))),"x","")</f>
        <v/>
      </c>
      <c r="X1186" s="39" t="str">
        <f>IF(AND(OR(LEFT(TH!L1186,2)="15",LEFT(TH!M1186,2)="15"),'152-CT'!$J$8=TH!F1186),"x","")</f>
        <v/>
      </c>
      <c r="Y1186" s="39" t="str">
        <f>IF(AND(OR(LEFT(TH!L1186,2)="15",LEFT(TH!M1186,2)="15"),TK!$E$7=TH!F1186),"x","")</f>
        <v/>
      </c>
      <c r="Z1186" s="39" t="str">
        <f>IF(AND(B1186&lt;=NKC!$N$8,B1186&gt;=NKC!$M$8),"x","")</f>
        <v/>
      </c>
      <c r="AA1186" s="883"/>
    </row>
    <row r="1187" spans="1:27" s="211" customFormat="1" ht="15.75" customHeight="1">
      <c r="A1187" s="204" t="str">
        <f>IF(B1187&lt;&gt;"",IF(AND(B1187&gt;=_TM1,B1187&lt;=_TM2,OR(TH!L1187="1111",TH!M1187="1111")),TH!D1187,""),"")</f>
        <v/>
      </c>
      <c r="B1187" s="36">
        <f t="shared" si="436"/>
        <v>5</v>
      </c>
      <c r="C1187" s="191">
        <f t="shared" si="437"/>
        <v>41408</v>
      </c>
      <c r="D1187" s="191" t="s">
        <v>1292</v>
      </c>
      <c r="E1187" s="191">
        <v>41408</v>
      </c>
      <c r="F1187" s="192" t="s">
        <v>1236</v>
      </c>
      <c r="G1187" s="487" t="s">
        <v>828</v>
      </c>
      <c r="H1187" s="7" t="s">
        <v>1284</v>
      </c>
      <c r="I1187" s="256">
        <v>149</v>
      </c>
      <c r="J1187" s="256">
        <v>15825</v>
      </c>
      <c r="K1187" s="602">
        <f t="shared" si="438"/>
        <v>2357925</v>
      </c>
      <c r="L1187" s="39" t="s">
        <v>165</v>
      </c>
      <c r="M1187" s="603" t="s">
        <v>159</v>
      </c>
      <c r="N1187" s="39" t="str">
        <f>IF(AND('331-CT'!$E$7=TH!H1187,OR(L1187="331",M1187="331")),"331",IF(AND(OR(L1187="131",M1187="131"),H1187='131-CT'!$E$7),"131",""))</f>
        <v/>
      </c>
      <c r="O1187" s="39" t="str">
        <f>IF(AND($B1187&gt;='111'!$N$11,$B1187&lt;='111'!$O$11,OR($L1187=$O$7,$M1187=$O$7)),"x","")</f>
        <v/>
      </c>
      <c r="P1187" s="39" t="str">
        <f>IF(AND($L1187=$O$7,$B1187&lt;'111'!$N$11),"x","")</f>
        <v/>
      </c>
      <c r="Q1187" s="39" t="str">
        <f>IF(AND($M1187=$O$7,$B1187&lt;'111'!$N$11),"x","")</f>
        <v/>
      </c>
      <c r="R1187" s="39" t="str">
        <f>IF(ISERROR(FIND('112'!$M$9,G1187,1)),"",IF((AND(FIND('112'!$M$9,G1187,1)&gt;=1,$B1187&gt;='112'!$N$8,$B1187&lt;='112'!$O$8,OR($L1187='112'!$I$6,$M1187='112'!$I$6))),"x",""))</f>
        <v/>
      </c>
      <c r="S1187" s="39" t="str">
        <f>IF(ISERROR(FIND('112'!$M$9,G1187,1)),"",IF((AND(LEFT(G1187,2)=LEFT('112'!$M$9,2),B1187&lt;'112'!$N$8,$L1187='112'!$I$6)),"x",""))</f>
        <v/>
      </c>
      <c r="T1187" s="39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>154</v>
      </c>
      <c r="V1187" s="39" t="str">
        <f>IF(OR(TH!L1187=TH!$V$7,M1187=TH!$V$7),"x","")</f>
        <v/>
      </c>
      <c r="W1187" s="39" t="str">
        <f>IF(AND(B1187&gt;='IN-NX'!$P$3,B1187&lt;='IN-NX'!$Q$3,'IN-NX'!$D$7=D1187,OR(LEFT(L1187,2)="15",AND(LEFT(M1187,2)&lt;&gt;"15",LEFT(M1187,2)&lt;&gt;"33"))),"x","")</f>
        <v/>
      </c>
      <c r="X1187" s="39" t="str">
        <f>IF(AND(OR(LEFT(TH!L1187,2)="15",LEFT(TH!M1187,2)="15"),'152-CT'!$J$8=TH!F1187),"x","")</f>
        <v/>
      </c>
      <c r="Y1187" s="39" t="str">
        <f>IF(AND(OR(LEFT(TH!L1187,2)="15",LEFT(TH!M1187,2)="15"),TK!$E$7=TH!F1187),"x","")</f>
        <v/>
      </c>
      <c r="Z1187" s="39" t="str">
        <f>IF(AND(B1187&lt;=NKC!$N$8,B1187&gt;=NKC!$M$8),"x","")</f>
        <v/>
      </c>
      <c r="AA1187" s="883"/>
    </row>
    <row r="1188" spans="1:27" s="211" customFormat="1" ht="15.75" customHeight="1">
      <c r="A1188" s="204" t="str">
        <f>IF(B1188&lt;&gt;"",IF(AND(B1188&gt;=_TM1,B1188&lt;=_TM2,OR(TH!L1188="1111",TH!M1188="1111")),TH!D1188,""),"")</f>
        <v/>
      </c>
      <c r="B1188" s="36">
        <f t="shared" si="436"/>
        <v>5</v>
      </c>
      <c r="C1188" s="191">
        <f t="shared" si="437"/>
        <v>41412</v>
      </c>
      <c r="D1188" s="191" t="s">
        <v>1292</v>
      </c>
      <c r="E1188" s="191">
        <v>41412</v>
      </c>
      <c r="F1188" s="192" t="s">
        <v>1271</v>
      </c>
      <c r="G1188" s="487" t="s">
        <v>830</v>
      </c>
      <c r="H1188" s="7" t="s">
        <v>1284</v>
      </c>
      <c r="I1188" s="256">
        <v>52</v>
      </c>
      <c r="J1188" s="256">
        <v>22853</v>
      </c>
      <c r="K1188" s="602">
        <f t="shared" si="438"/>
        <v>1188356</v>
      </c>
      <c r="L1188" s="39" t="s">
        <v>165</v>
      </c>
      <c r="M1188" s="603" t="s">
        <v>159</v>
      </c>
      <c r="N1188" s="39" t="str">
        <f>IF(AND('331-CT'!$E$7=TH!H1188,OR(L1188="331",M1188="331")),"331",IF(AND(OR(L1188="131",M1188="131"),H1188='131-CT'!$E$7),"131",""))</f>
        <v/>
      </c>
      <c r="O1188" s="39" t="str">
        <f>IF(AND($B1188&gt;='111'!$N$11,$B1188&lt;='111'!$O$11,OR($L1188=$O$7,$M1188=$O$7)),"x","")</f>
        <v/>
      </c>
      <c r="P1188" s="39" t="str">
        <f>IF(AND($L1188=$O$7,$B1188&lt;'111'!$N$11),"x","")</f>
        <v/>
      </c>
      <c r="Q1188" s="39" t="str">
        <f>IF(AND($M1188=$O$7,$B1188&lt;'111'!$N$11),"x","")</f>
        <v/>
      </c>
      <c r="R1188" s="39" t="str">
        <f>IF(ISERROR(FIND('112'!$M$9,G1188,1)),"",IF((AND(FIND('112'!$M$9,G1188,1)&gt;=1,$B1188&gt;='112'!$N$8,$B1188&lt;='112'!$O$8,OR($L1188='112'!$I$6,$M1188='112'!$I$6))),"x",""))</f>
        <v/>
      </c>
      <c r="S1188" s="39" t="str">
        <f>IF(ISERROR(FIND('112'!$M$9,G1188,1)),"",IF((AND(LEFT(G1188,2)=LEFT('112'!$M$9,2),B1188&lt;'112'!$N$8,$L1188='112'!$I$6)),"x",""))</f>
        <v/>
      </c>
      <c r="T1188" s="39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>154</v>
      </c>
      <c r="V1188" s="39" t="str">
        <f>IF(OR(TH!L1188=TH!$V$7,M1188=TH!$V$7),"x","")</f>
        <v/>
      </c>
      <c r="W1188" s="39" t="str">
        <f>IF(AND(B1188&gt;='IN-NX'!$P$3,B1188&lt;='IN-NX'!$Q$3,'IN-NX'!$D$7=D1188,OR(LEFT(L1188,2)="15",AND(LEFT(M1188,2)&lt;&gt;"15",LEFT(M1188,2)&lt;&gt;"33"))),"x","")</f>
        <v/>
      </c>
      <c r="X1188" s="39" t="str">
        <f>IF(AND(OR(LEFT(TH!L1188,2)="15",LEFT(TH!M1188,2)="15"),'152-CT'!$J$8=TH!F1188),"x","")</f>
        <v/>
      </c>
      <c r="Y1188" s="39" t="str">
        <f>IF(AND(OR(LEFT(TH!L1188,2)="15",LEFT(TH!M1188,2)="15"),TK!$E$7=TH!F1188),"x","")</f>
        <v/>
      </c>
      <c r="Z1188" s="39" t="str">
        <f>IF(AND(B1188&lt;=NKC!$N$8,B1188&gt;=NKC!$M$8),"x","")</f>
        <v/>
      </c>
      <c r="AA1188" s="883"/>
    </row>
    <row r="1189" spans="1:27" s="211" customFormat="1" ht="15.75" customHeight="1">
      <c r="A1189" s="204" t="str">
        <f>IF(B1189&lt;&gt;"",IF(AND(B1189&gt;=_TM1,B1189&lt;=_TM2,OR(TH!L1189="1111",TH!M1189="1111")),TH!D1189,""),"")</f>
        <v/>
      </c>
      <c r="B1189" s="36">
        <f t="shared" si="436"/>
        <v>5</v>
      </c>
      <c r="C1189" s="191">
        <f t="shared" si="437"/>
        <v>41412</v>
      </c>
      <c r="D1189" s="191" t="s">
        <v>1292</v>
      </c>
      <c r="E1189" s="191">
        <v>41412</v>
      </c>
      <c r="F1189" s="192" t="s">
        <v>1226</v>
      </c>
      <c r="G1189" s="487" t="s">
        <v>830</v>
      </c>
      <c r="H1189" s="7" t="s">
        <v>1284</v>
      </c>
      <c r="I1189" s="256">
        <v>11</v>
      </c>
      <c r="J1189" s="256">
        <v>13971</v>
      </c>
      <c r="K1189" s="602">
        <f t="shared" si="438"/>
        <v>153681</v>
      </c>
      <c r="L1189" s="39" t="s">
        <v>165</v>
      </c>
      <c r="M1189" s="603" t="s">
        <v>159</v>
      </c>
      <c r="N1189" s="39" t="str">
        <f>IF(AND('331-CT'!$E$7=TH!H1189,OR(L1189="331",M1189="331")),"331",IF(AND(OR(L1189="131",M1189="131"),H1189='131-CT'!$E$7),"131",""))</f>
        <v/>
      </c>
      <c r="O1189" s="39" t="str">
        <f>IF(AND($B1189&gt;='111'!$N$11,$B1189&lt;='111'!$O$11,OR($L1189=$O$7,$M1189=$O$7)),"x","")</f>
        <v/>
      </c>
      <c r="P1189" s="39" t="str">
        <f>IF(AND($L1189=$O$7,$B1189&lt;'111'!$N$11),"x","")</f>
        <v/>
      </c>
      <c r="Q1189" s="39" t="str">
        <f>IF(AND($M1189=$O$7,$B1189&lt;'111'!$N$11),"x","")</f>
        <v/>
      </c>
      <c r="R1189" s="39" t="str">
        <f>IF(ISERROR(FIND('112'!$M$9,G1189,1)),"",IF((AND(FIND('112'!$M$9,G1189,1)&gt;=1,$B1189&gt;='112'!$N$8,$B1189&lt;='112'!$O$8,OR($L1189='112'!$I$6,$M1189='112'!$I$6))),"x",""))</f>
        <v/>
      </c>
      <c r="S1189" s="39" t="str">
        <f>IF(ISERROR(FIND('112'!$M$9,G1189,1)),"",IF((AND(LEFT(G1189,2)=LEFT('112'!$M$9,2),B1189&lt;'112'!$N$8,$L1189='112'!$I$6)),"x",""))</f>
        <v/>
      </c>
      <c r="T1189" s="39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>154</v>
      </c>
      <c r="V1189" s="39" t="str">
        <f>IF(OR(TH!L1189=TH!$V$7,M1189=TH!$V$7),"x","")</f>
        <v/>
      </c>
      <c r="W1189" s="39" t="str">
        <f>IF(AND(B1189&gt;='IN-NX'!$P$3,B1189&lt;='IN-NX'!$Q$3,'IN-NX'!$D$7=D1189,OR(LEFT(L1189,2)="15",AND(LEFT(M1189,2)&lt;&gt;"15",LEFT(M1189,2)&lt;&gt;"33"))),"x","")</f>
        <v/>
      </c>
      <c r="X1189" s="39" t="str">
        <f>IF(AND(OR(LEFT(TH!L1189,2)="15",LEFT(TH!M1189,2)="15"),'152-CT'!$J$8=TH!F1189),"x","")</f>
        <v/>
      </c>
      <c r="Y1189" s="39" t="str">
        <f>IF(AND(OR(LEFT(TH!L1189,2)="15",LEFT(TH!M1189,2)="15"),TK!$E$7=TH!F1189),"x","")</f>
        <v/>
      </c>
      <c r="Z1189" s="39" t="str">
        <f>IF(AND(B1189&lt;=NKC!$N$8,B1189&gt;=NKC!$M$8),"x","")</f>
        <v/>
      </c>
      <c r="AA1189" s="883"/>
    </row>
    <row r="1190" spans="1:27" s="211" customFormat="1" ht="15.75" customHeight="1">
      <c r="A1190" s="204" t="str">
        <f>IF(B1190&lt;&gt;"",IF(AND(B1190&gt;=_TM1,B1190&lt;=_TM2,OR(TH!L1190="1111",TH!M1190="1111")),TH!D1190,""),"")</f>
        <v/>
      </c>
      <c r="B1190" s="36">
        <f t="shared" si="436"/>
        <v>5</v>
      </c>
      <c r="C1190" s="191">
        <f t="shared" si="437"/>
        <v>41412</v>
      </c>
      <c r="D1190" s="191" t="s">
        <v>1292</v>
      </c>
      <c r="E1190" s="191">
        <v>41412</v>
      </c>
      <c r="F1190" s="192" t="s">
        <v>1239</v>
      </c>
      <c r="G1190" s="487" t="s">
        <v>830</v>
      </c>
      <c r="H1190" s="7" t="s">
        <v>1284</v>
      </c>
      <c r="I1190" s="256">
        <v>28</v>
      </c>
      <c r="J1190" s="256">
        <v>13619</v>
      </c>
      <c r="K1190" s="602">
        <f t="shared" si="438"/>
        <v>381332</v>
      </c>
      <c r="L1190" s="39" t="s">
        <v>165</v>
      </c>
      <c r="M1190" s="603" t="s">
        <v>159</v>
      </c>
      <c r="N1190" s="39" t="str">
        <f>IF(AND('331-CT'!$E$7=TH!H1190,OR(L1190="331",M1190="331")),"331",IF(AND(OR(L1190="131",M1190="131"),H1190='131-CT'!$E$7),"131",""))</f>
        <v/>
      </c>
      <c r="O1190" s="39" t="str">
        <f>IF(AND($B1190&gt;='111'!$N$11,$B1190&lt;='111'!$O$11,OR($L1190=$O$7,$M1190=$O$7)),"x","")</f>
        <v/>
      </c>
      <c r="P1190" s="39" t="str">
        <f>IF(AND($L1190=$O$7,$B1190&lt;'111'!$N$11),"x","")</f>
        <v/>
      </c>
      <c r="Q1190" s="39" t="str">
        <f>IF(AND($M1190=$O$7,$B1190&lt;'111'!$N$11),"x","")</f>
        <v/>
      </c>
      <c r="R1190" s="39" t="str">
        <f>IF(ISERROR(FIND('112'!$M$9,G1190,1)),"",IF((AND(FIND('112'!$M$9,G1190,1)&gt;=1,$B1190&gt;='112'!$N$8,$B1190&lt;='112'!$O$8,OR($L1190='112'!$I$6,$M1190='112'!$I$6))),"x",""))</f>
        <v/>
      </c>
      <c r="S1190" s="39" t="str">
        <f>IF(ISERROR(FIND('112'!$M$9,G1190,1)),"",IF((AND(LEFT(G1190,2)=LEFT('112'!$M$9,2),B1190&lt;'112'!$N$8,$L1190='112'!$I$6)),"x",""))</f>
        <v/>
      </c>
      <c r="T1190" s="39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>154</v>
      </c>
      <c r="V1190" s="39" t="str">
        <f>IF(OR(TH!L1190=TH!$V$7,M1190=TH!$V$7),"x","")</f>
        <v/>
      </c>
      <c r="W1190" s="39" t="str">
        <f>IF(AND(B1190&gt;='IN-NX'!$P$3,B1190&lt;='IN-NX'!$Q$3,'IN-NX'!$D$7=D1190,OR(LEFT(L1190,2)="15",AND(LEFT(M1190,2)&lt;&gt;"15",LEFT(M1190,2)&lt;&gt;"33"))),"x","")</f>
        <v/>
      </c>
      <c r="X1190" s="39" t="str">
        <f>IF(AND(OR(LEFT(TH!L1190,2)="15",LEFT(TH!M1190,2)="15"),'152-CT'!$J$8=TH!F1190),"x","")</f>
        <v/>
      </c>
      <c r="Y1190" s="39" t="str">
        <f>IF(AND(OR(LEFT(TH!L1190,2)="15",LEFT(TH!M1190,2)="15"),TK!$E$7=TH!F1190),"x","")</f>
        <v/>
      </c>
      <c r="Z1190" s="39" t="str">
        <f>IF(AND(B1190&lt;=NKC!$N$8,B1190&gt;=NKC!$M$8),"x","")</f>
        <v/>
      </c>
      <c r="AA1190" s="883"/>
    </row>
    <row r="1191" spans="1:27" s="211" customFormat="1" ht="15.75" customHeight="1">
      <c r="A1191" s="204" t="str">
        <f>IF(B1191&lt;&gt;"",IF(AND(B1191&gt;=_TM1,B1191&lt;=_TM2,OR(TH!L1191="1111",TH!M1191="1111")),TH!D1191,""),"")</f>
        <v/>
      </c>
      <c r="B1191" s="36">
        <f t="shared" si="436"/>
        <v>5</v>
      </c>
      <c r="C1191" s="191">
        <f t="shared" si="437"/>
        <v>41412</v>
      </c>
      <c r="D1191" s="191" t="s">
        <v>1292</v>
      </c>
      <c r="E1191" s="191">
        <v>41412</v>
      </c>
      <c r="F1191" s="192" t="s">
        <v>1231</v>
      </c>
      <c r="G1191" s="487" t="s">
        <v>830</v>
      </c>
      <c r="H1191" s="7" t="s">
        <v>1284</v>
      </c>
      <c r="I1191" s="259">
        <v>90</v>
      </c>
      <c r="J1191" s="259">
        <v>11150</v>
      </c>
      <c r="K1191" s="602">
        <f t="shared" si="438"/>
        <v>1003500</v>
      </c>
      <c r="L1191" s="39" t="s">
        <v>165</v>
      </c>
      <c r="M1191" s="603" t="s">
        <v>159</v>
      </c>
      <c r="N1191" s="39" t="str">
        <f>IF(AND('331-CT'!$E$7=TH!H1191,OR(L1191="331",M1191="331")),"331",IF(AND(OR(L1191="131",M1191="131"),H1191='131-CT'!$E$7),"131",""))</f>
        <v/>
      </c>
      <c r="O1191" s="39" t="str">
        <f>IF(AND($B1191&gt;='111'!$N$11,$B1191&lt;='111'!$O$11,OR($L1191=$O$7,$M1191=$O$7)),"x","")</f>
        <v/>
      </c>
      <c r="P1191" s="39" t="str">
        <f>IF(AND($L1191=$O$7,$B1191&lt;'111'!$N$11),"x","")</f>
        <v/>
      </c>
      <c r="Q1191" s="39" t="str">
        <f>IF(AND($M1191=$O$7,$B1191&lt;'111'!$N$11),"x","")</f>
        <v/>
      </c>
      <c r="R1191" s="39" t="str">
        <f>IF(ISERROR(FIND('112'!$M$9,G1191,1)),"",IF((AND(FIND('112'!$M$9,G1191,1)&gt;=1,$B1191&gt;='112'!$N$8,$B1191&lt;='112'!$O$8,OR($L1191='112'!$I$6,$M1191='112'!$I$6))),"x",""))</f>
        <v/>
      </c>
      <c r="S1191" s="39" t="str">
        <f>IF(ISERROR(FIND('112'!$M$9,G1191,1)),"",IF((AND(LEFT(G1191,2)=LEFT('112'!$M$9,2),B1191&lt;'112'!$N$8,$L1191='112'!$I$6)),"x",""))</f>
        <v/>
      </c>
      <c r="T1191" s="39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>154</v>
      </c>
      <c r="V1191" s="39" t="str">
        <f>IF(OR(TH!L1191=TH!$V$7,M1191=TH!$V$7),"x","")</f>
        <v/>
      </c>
      <c r="W1191" s="39" t="str">
        <f>IF(AND(B1191&gt;='IN-NX'!$P$3,B1191&lt;='IN-NX'!$Q$3,'IN-NX'!$D$7=D1191,OR(LEFT(L1191,2)="15",AND(LEFT(M1191,2)&lt;&gt;"15",LEFT(M1191,2)&lt;&gt;"33"))),"x","")</f>
        <v/>
      </c>
      <c r="X1191" s="39" t="str">
        <f>IF(AND(OR(LEFT(TH!L1191,2)="15",LEFT(TH!M1191,2)="15"),'152-CT'!$J$8=TH!F1191),"x","")</f>
        <v/>
      </c>
      <c r="Y1191" s="39" t="str">
        <f>IF(AND(OR(LEFT(TH!L1191,2)="15",LEFT(TH!M1191,2)="15"),TK!$E$7=TH!F1191),"x","")</f>
        <v/>
      </c>
      <c r="Z1191" s="39" t="str">
        <f>IF(AND(B1191&lt;=NKC!$N$8,B1191&gt;=NKC!$M$8),"x","")</f>
        <v/>
      </c>
      <c r="AA1191" s="883"/>
    </row>
    <row r="1192" spans="1:27" s="211" customFormat="1" ht="15.75" customHeight="1">
      <c r="A1192" s="204" t="str">
        <f>IF(B1192&lt;&gt;"",IF(AND(B1192&gt;=_TM1,B1192&lt;=_TM2,OR(TH!L1192="1111",TH!M1192="1111")),TH!D1192,""),"")</f>
        <v/>
      </c>
      <c r="B1192" s="36">
        <f t="shared" ref="B1192:B1255" si="439">IF(C1192&lt;&gt;"",MONTH(C1192),"")</f>
        <v>5</v>
      </c>
      <c r="C1192" s="191">
        <f t="shared" si="437"/>
        <v>41412</v>
      </c>
      <c r="D1192" s="191" t="s">
        <v>1292</v>
      </c>
      <c r="E1192" s="191">
        <v>41412</v>
      </c>
      <c r="F1192" s="192" t="s">
        <v>1248</v>
      </c>
      <c r="G1192" s="487" t="s">
        <v>830</v>
      </c>
      <c r="H1192" s="7" t="s">
        <v>1284</v>
      </c>
      <c r="I1192" s="259">
        <v>100</v>
      </c>
      <c r="J1192" s="259">
        <v>15976</v>
      </c>
      <c r="K1192" s="602">
        <f t="shared" si="438"/>
        <v>1597600</v>
      </c>
      <c r="L1192" s="39" t="s">
        <v>165</v>
      </c>
      <c r="M1192" s="603" t="s">
        <v>159</v>
      </c>
      <c r="N1192" s="39" t="str">
        <f>IF(AND('331-CT'!$E$7=TH!H1192,OR(L1192="331",M1192="331")),"331",IF(AND(OR(L1192="131",M1192="131"),H1192='131-CT'!$E$7),"131",""))</f>
        <v/>
      </c>
      <c r="O1192" s="39" t="str">
        <f>IF(AND($B1192&gt;='111'!$N$11,$B1192&lt;='111'!$O$11,OR($L1192=$O$7,$M1192=$O$7)),"x","")</f>
        <v/>
      </c>
      <c r="P1192" s="39" t="str">
        <f>IF(AND($L1192=$O$7,$B1192&lt;'111'!$N$11),"x","")</f>
        <v/>
      </c>
      <c r="Q1192" s="39" t="str">
        <f>IF(AND($M1192=$O$7,$B1192&lt;'111'!$N$11),"x","")</f>
        <v/>
      </c>
      <c r="R1192" s="39" t="str">
        <f>IF(ISERROR(FIND('112'!$M$9,G1192,1)),"",IF((AND(FIND('112'!$M$9,G1192,1)&gt;=1,$B1192&gt;='112'!$N$8,$B1192&lt;='112'!$O$8,OR($L1192='112'!$I$6,$M1192='112'!$I$6))),"x",""))</f>
        <v/>
      </c>
      <c r="S1192" s="39" t="str">
        <f>IF(ISERROR(FIND('112'!$M$9,G1192,1)),"",IF((AND(LEFT(G1192,2)=LEFT('112'!$M$9,2),B1192&lt;'112'!$N$8,$L1192='112'!$I$6)),"x",""))</f>
        <v/>
      </c>
      <c r="T1192" s="39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>154</v>
      </c>
      <c r="V1192" s="39" t="str">
        <f>IF(OR(TH!L1192=TH!$V$7,M1192=TH!$V$7),"x","")</f>
        <v/>
      </c>
      <c r="W1192" s="39" t="str">
        <f>IF(AND(B1192&gt;='IN-NX'!$P$3,B1192&lt;='IN-NX'!$Q$3,'IN-NX'!$D$7=D1192,OR(LEFT(L1192,2)="15",AND(LEFT(M1192,2)&lt;&gt;"15",LEFT(M1192,2)&lt;&gt;"33"))),"x","")</f>
        <v/>
      </c>
      <c r="X1192" s="39" t="str">
        <f>IF(AND(OR(LEFT(TH!L1192,2)="15",LEFT(TH!M1192,2)="15"),'152-CT'!$J$8=TH!F1192),"x","")</f>
        <v/>
      </c>
      <c r="Y1192" s="39" t="str">
        <f>IF(AND(OR(LEFT(TH!L1192,2)="15",LEFT(TH!M1192,2)="15"),TK!$E$7=TH!F1192),"x","")</f>
        <v/>
      </c>
      <c r="Z1192" s="39" t="str">
        <f>IF(AND(B1192&lt;=NKC!$N$8,B1192&gt;=NKC!$M$8),"x","")</f>
        <v/>
      </c>
      <c r="AA1192" s="883"/>
    </row>
    <row r="1193" spans="1:27" s="211" customFormat="1" ht="15.75" customHeight="1">
      <c r="A1193" s="204" t="str">
        <f>IF(B1193&lt;&gt;"",IF(AND(B1193&gt;=_TM1,B1193&lt;=_TM2,OR(TH!L1193="1111",TH!M1193="1111")),TH!D1193,""),"")</f>
        <v/>
      </c>
      <c r="B1193" s="36">
        <f t="shared" si="439"/>
        <v>5</v>
      </c>
      <c r="C1193" s="191">
        <f t="shared" si="437"/>
        <v>41415</v>
      </c>
      <c r="D1193" s="191" t="s">
        <v>1292</v>
      </c>
      <c r="E1193" s="191">
        <v>41415</v>
      </c>
      <c r="F1193" s="192" t="s">
        <v>1200</v>
      </c>
      <c r="G1193" s="487" t="s">
        <v>834</v>
      </c>
      <c r="H1193" s="7" t="s">
        <v>1284</v>
      </c>
      <c r="I1193" s="256">
        <v>470</v>
      </c>
      <c r="J1193" s="256">
        <v>11113</v>
      </c>
      <c r="K1193" s="602">
        <f t="shared" si="438"/>
        <v>5223110</v>
      </c>
      <c r="L1193" s="39" t="s">
        <v>165</v>
      </c>
      <c r="M1193" s="603" t="s">
        <v>159</v>
      </c>
      <c r="N1193" s="39" t="str">
        <f>IF(AND('331-CT'!$E$7=TH!H1193,OR(L1193="331",M1193="331")),"331",IF(AND(OR(L1193="131",M1193="131"),H1193='131-CT'!$E$7),"131",""))</f>
        <v/>
      </c>
      <c r="O1193" s="39" t="str">
        <f>IF(AND($B1193&gt;='111'!$N$11,$B1193&lt;='111'!$O$11,OR($L1193=$O$7,$M1193=$O$7)),"x","")</f>
        <v/>
      </c>
      <c r="P1193" s="39" t="str">
        <f>IF(AND($L1193=$O$7,$B1193&lt;'111'!$N$11),"x","")</f>
        <v/>
      </c>
      <c r="Q1193" s="39" t="str">
        <f>IF(AND($M1193=$O$7,$B1193&lt;'111'!$N$11),"x","")</f>
        <v/>
      </c>
      <c r="R1193" s="39" t="str">
        <f>IF(ISERROR(FIND('112'!$M$9,G1193,1)),"",IF((AND(FIND('112'!$M$9,G1193,1)&gt;=1,$B1193&gt;='112'!$N$8,$B1193&lt;='112'!$O$8,OR($L1193='112'!$I$6,$M1193='112'!$I$6))),"x",""))</f>
        <v/>
      </c>
      <c r="S1193" s="39" t="str">
        <f>IF(ISERROR(FIND('112'!$M$9,G1193,1)),"",IF((AND(LEFT(G1193,2)=LEFT('112'!$M$9,2),B1193&lt;'112'!$N$8,$L1193='112'!$I$6)),"x",""))</f>
        <v/>
      </c>
      <c r="T1193" s="39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>154</v>
      </c>
      <c r="V1193" s="39" t="str">
        <f>IF(OR(TH!L1193=TH!$V$7,M1193=TH!$V$7),"x","")</f>
        <v/>
      </c>
      <c r="W1193" s="39" t="str">
        <f>IF(AND(B1193&gt;='IN-NX'!$P$3,B1193&lt;='IN-NX'!$Q$3,'IN-NX'!$D$7=D1193,OR(LEFT(L1193,2)="15",AND(LEFT(M1193,2)&lt;&gt;"15",LEFT(M1193,2)&lt;&gt;"33"))),"x","")</f>
        <v/>
      </c>
      <c r="X1193" s="39" t="str">
        <f>IF(AND(OR(LEFT(TH!L1193,2)="15",LEFT(TH!M1193,2)="15"),'152-CT'!$J$8=TH!F1193),"x","")</f>
        <v/>
      </c>
      <c r="Y1193" s="39" t="str">
        <f>IF(AND(OR(LEFT(TH!L1193,2)="15",LEFT(TH!M1193,2)="15"),TK!$E$7=TH!F1193),"x","")</f>
        <v/>
      </c>
      <c r="Z1193" s="39" t="str">
        <f>IF(AND(B1193&lt;=NKC!$N$8,B1193&gt;=NKC!$M$8),"x","")</f>
        <v/>
      </c>
      <c r="AA1193" s="883"/>
    </row>
    <row r="1194" spans="1:27" s="211" customFormat="1" ht="15.75" customHeight="1">
      <c r="A1194" s="204" t="str">
        <f>IF(B1194&lt;&gt;"",IF(AND(B1194&gt;=_TM1,B1194&lt;=_TM2,OR(TH!L1194="1111",TH!M1194="1111")),TH!D1194,""),"")</f>
        <v/>
      </c>
      <c r="B1194" s="36">
        <f t="shared" si="439"/>
        <v>6</v>
      </c>
      <c r="C1194" s="191">
        <f t="shared" si="437"/>
        <v>41426</v>
      </c>
      <c r="D1194" s="191" t="s">
        <v>1292</v>
      </c>
      <c r="E1194" s="191">
        <v>41426</v>
      </c>
      <c r="F1194" s="192" t="s">
        <v>1226</v>
      </c>
      <c r="G1194" s="487" t="s">
        <v>835</v>
      </c>
      <c r="H1194" s="7" t="s">
        <v>1284</v>
      </c>
      <c r="I1194" s="257">
        <v>296</v>
      </c>
      <c r="J1194" s="257">
        <v>13971</v>
      </c>
      <c r="K1194" s="602">
        <f t="shared" si="438"/>
        <v>4135416</v>
      </c>
      <c r="L1194" s="39" t="s">
        <v>165</v>
      </c>
      <c r="M1194" s="603" t="s">
        <v>159</v>
      </c>
      <c r="N1194" s="39" t="str">
        <f>IF(AND('331-CT'!$E$7=TH!H1194,OR(L1194="331",M1194="331")),"331",IF(AND(OR(L1194="131",M1194="131"),H1194='131-CT'!$E$7),"131",""))</f>
        <v/>
      </c>
      <c r="O1194" s="39" t="str">
        <f>IF(AND($B1194&gt;='111'!$N$11,$B1194&lt;='111'!$O$11,OR($L1194=$O$7,$M1194=$O$7)),"x","")</f>
        <v/>
      </c>
      <c r="P1194" s="39" t="str">
        <f>IF(AND($L1194=$O$7,$B1194&lt;'111'!$N$11),"x","")</f>
        <v/>
      </c>
      <c r="Q1194" s="39" t="str">
        <f>IF(AND($M1194=$O$7,$B1194&lt;'111'!$N$11),"x","")</f>
        <v/>
      </c>
      <c r="R1194" s="39" t="str">
        <f>IF(ISERROR(FIND('112'!$M$9,G1194,1)),"",IF((AND(FIND('112'!$M$9,G1194,1)&gt;=1,$B1194&gt;='112'!$N$8,$B1194&lt;='112'!$O$8,OR($L1194='112'!$I$6,$M1194='112'!$I$6))),"x",""))</f>
        <v/>
      </c>
      <c r="S1194" s="39" t="str">
        <f>IF(ISERROR(FIND('112'!$M$9,G1194,1)),"",IF((AND(LEFT(G1194,2)=LEFT('112'!$M$9,2),B1194&lt;'112'!$N$8,$L1194='112'!$I$6)),"x",""))</f>
        <v/>
      </c>
      <c r="T1194" s="39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>154</v>
      </c>
      <c r="V1194" s="39" t="str">
        <f>IF(OR(TH!L1194=TH!$V$7,M1194=TH!$V$7),"x","")</f>
        <v/>
      </c>
      <c r="W1194" s="39" t="str">
        <f>IF(AND(B1194&gt;='IN-NX'!$P$3,B1194&lt;='IN-NX'!$Q$3,'IN-NX'!$D$7=D1194,OR(LEFT(L1194,2)="15",AND(LEFT(M1194,2)&lt;&gt;"15",LEFT(M1194,2)&lt;&gt;"33"))),"x","")</f>
        <v/>
      </c>
      <c r="X1194" s="39" t="str">
        <f>IF(AND(OR(LEFT(TH!L1194,2)="15",LEFT(TH!M1194,2)="15"),'152-CT'!$J$8=TH!F1194),"x","")</f>
        <v/>
      </c>
      <c r="Y1194" s="39" t="str">
        <f>IF(AND(OR(LEFT(TH!L1194,2)="15",LEFT(TH!M1194,2)="15"),TK!$E$7=TH!F1194),"x","")</f>
        <v/>
      </c>
      <c r="Z1194" s="39" t="str">
        <f>IF(AND(B1194&lt;=NKC!$N$8,B1194&gt;=NKC!$M$8),"x","")</f>
        <v/>
      </c>
      <c r="AA1194" s="883"/>
    </row>
    <row r="1195" spans="1:27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439"/>
        <v>6</v>
      </c>
      <c r="C1195" s="191">
        <f t="shared" si="437"/>
        <v>41426</v>
      </c>
      <c r="D1195" s="191" t="s">
        <v>1292</v>
      </c>
      <c r="E1195" s="191">
        <v>41426</v>
      </c>
      <c r="F1195" s="192" t="s">
        <v>1241</v>
      </c>
      <c r="G1195" s="487" t="s">
        <v>837</v>
      </c>
      <c r="H1195" s="7" t="s">
        <v>1284</v>
      </c>
      <c r="I1195" s="256">
        <v>425</v>
      </c>
      <c r="J1195" s="256">
        <v>19910.059499050549</v>
      </c>
      <c r="K1195" s="602">
        <f t="shared" si="438"/>
        <v>8461775</v>
      </c>
      <c r="L1195" s="39" t="s">
        <v>165</v>
      </c>
      <c r="M1195" s="603" t="s">
        <v>159</v>
      </c>
      <c r="N1195" s="39" t="str">
        <f>IF(AND('331-CT'!$E$7=TH!H1195,OR(L1195="331",M1195="331")),"331",IF(AND(OR(L1195="131",M1195="131"),H1195='131-CT'!$E$7),"131",""))</f>
        <v/>
      </c>
      <c r="O1195" s="39" t="str">
        <f>IF(AND($B1195&gt;='111'!$N$11,$B1195&lt;='111'!$O$11,OR($L1195=$O$7,$M1195=$O$7)),"x","")</f>
        <v/>
      </c>
      <c r="P1195" s="39" t="str">
        <f>IF(AND($L1195=$O$7,$B1195&lt;'111'!$N$11),"x","")</f>
        <v/>
      </c>
      <c r="Q1195" s="39" t="str">
        <f>IF(AND($M1195=$O$7,$B1195&lt;'111'!$N$11),"x","")</f>
        <v/>
      </c>
      <c r="R1195" s="39" t="str">
        <f>IF(ISERROR(FIND('112'!$M$9,G1195,1)),"",IF((AND(FIND('112'!$M$9,G1195,1)&gt;=1,$B1195&gt;='112'!$N$8,$B1195&lt;='112'!$O$8,OR($L1195='112'!$I$6,$M1195='112'!$I$6))),"x",""))</f>
        <v/>
      </c>
      <c r="S1195" s="39" t="str">
        <f>IF(ISERROR(FIND('112'!$M$9,G1195,1)),"",IF((AND(LEFT(G1195,2)=LEFT('112'!$M$9,2),B1195&lt;'112'!$N$8,$L1195='112'!$I$6)),"x",""))</f>
        <v/>
      </c>
      <c r="T1195" s="39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>154</v>
      </c>
      <c r="V1195" s="39" t="str">
        <f>IF(OR(TH!L1195=TH!$V$7,M1195=TH!$V$7),"x","")</f>
        <v/>
      </c>
      <c r="W1195" s="39" t="str">
        <f>IF(AND(B1195&gt;='IN-NX'!$P$3,B1195&lt;='IN-NX'!$Q$3,'IN-NX'!$D$7=D1195,OR(LEFT(L1195,2)="15",AND(LEFT(M1195,2)&lt;&gt;"15",LEFT(M1195,2)&lt;&gt;"33"))),"x","")</f>
        <v/>
      </c>
      <c r="X1195" s="39" t="str">
        <f>IF(AND(OR(LEFT(TH!L1195,2)="15",LEFT(TH!M1195,2)="15"),'152-CT'!$J$8=TH!F1195),"x","")</f>
        <v/>
      </c>
      <c r="Y1195" s="39" t="str">
        <f>IF(AND(OR(LEFT(TH!L1195,2)="15",LEFT(TH!M1195,2)="15"),TK!$E$7=TH!F1195),"x","")</f>
        <v/>
      </c>
      <c r="Z1195" s="39" t="str">
        <f>IF(AND(B1195&lt;=NKC!$N$8,B1195&gt;=NKC!$M$8),"x","")</f>
        <v/>
      </c>
      <c r="AA1195" s="883"/>
    </row>
    <row r="1196" spans="1:27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439"/>
        <v>6</v>
      </c>
      <c r="C1196" s="191">
        <f t="shared" si="437"/>
        <v>41427</v>
      </c>
      <c r="D1196" s="191" t="s">
        <v>1292</v>
      </c>
      <c r="E1196" s="773">
        <v>41427</v>
      </c>
      <c r="F1196" s="40" t="s">
        <v>1241</v>
      </c>
      <c r="G1196" s="40" t="s">
        <v>839</v>
      </c>
      <c r="H1196" s="7" t="s">
        <v>1284</v>
      </c>
      <c r="I1196" s="256">
        <v>600</v>
      </c>
      <c r="J1196" s="256">
        <v>19910.059547477042</v>
      </c>
      <c r="K1196" s="602">
        <f t="shared" si="438"/>
        <v>11946036</v>
      </c>
      <c r="L1196" s="39" t="s">
        <v>165</v>
      </c>
      <c r="M1196" s="603" t="s">
        <v>159</v>
      </c>
      <c r="N1196" s="39" t="str">
        <f>IF(AND('331-CT'!$E$7=TH!H1196,OR(L1196="331",M1196="331")),"331",IF(AND(OR(L1196="131",M1196="131"),H1196='131-CT'!$E$7),"131",""))</f>
        <v/>
      </c>
      <c r="O1196" s="39" t="str">
        <f>IF(AND($B1196&gt;='111'!$N$11,$B1196&lt;='111'!$O$11,OR($L1196=$O$7,$M1196=$O$7)),"x","")</f>
        <v/>
      </c>
      <c r="P1196" s="39" t="str">
        <f>IF(AND($L1196=$O$7,$B1196&lt;'111'!$N$11),"x","")</f>
        <v/>
      </c>
      <c r="Q1196" s="39" t="str">
        <f>IF(AND($M1196=$O$7,$B1196&lt;'111'!$N$11),"x","")</f>
        <v/>
      </c>
      <c r="R1196" s="39" t="str">
        <f>IF(ISERROR(FIND('112'!$M$9,G1196,1)),"",IF((AND(FIND('112'!$M$9,G1196,1)&gt;=1,$B1196&gt;='112'!$N$8,$B1196&lt;='112'!$O$8,OR($L1196='112'!$I$6,$M1196='112'!$I$6))),"x",""))</f>
        <v/>
      </c>
      <c r="S1196" s="39" t="str">
        <f>IF(ISERROR(FIND('112'!$M$9,G1196,1)),"",IF((AND(LEFT(G1196,2)=LEFT('112'!$M$9,2),B1196&lt;'112'!$N$8,$L1196='112'!$I$6)),"x",""))</f>
        <v/>
      </c>
      <c r="T1196" s="39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>154</v>
      </c>
      <c r="V1196" s="39" t="str">
        <f>IF(OR(TH!L1196=TH!$V$7,M1196=TH!$V$7),"x","")</f>
        <v/>
      </c>
      <c r="W1196" s="39" t="str">
        <f>IF(AND(B1196&gt;='IN-NX'!$P$3,B1196&lt;='IN-NX'!$Q$3,'IN-NX'!$D$7=D1196,OR(LEFT(L1196,2)="15",AND(LEFT(M1196,2)&lt;&gt;"15",LEFT(M1196,2)&lt;&gt;"33"))),"x","")</f>
        <v/>
      </c>
      <c r="X1196" s="39" t="str">
        <f>IF(AND(OR(LEFT(TH!L1196,2)="15",LEFT(TH!M1196,2)="15"),'152-CT'!$J$8=TH!F1196),"x","")</f>
        <v/>
      </c>
      <c r="Y1196" s="39" t="str">
        <f>IF(AND(OR(LEFT(TH!L1196,2)="15",LEFT(TH!M1196,2)="15"),TK!$E$7=TH!F1196),"x","")</f>
        <v/>
      </c>
      <c r="Z1196" s="39" t="str">
        <f>IF(AND(B1196&lt;=NKC!$N$8,B1196&gt;=NKC!$M$8),"x","")</f>
        <v/>
      </c>
      <c r="AA1196" s="883"/>
    </row>
    <row r="1197" spans="1:27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439"/>
        <v>6</v>
      </c>
      <c r="C1197" s="191">
        <f t="shared" si="437"/>
        <v>41427</v>
      </c>
      <c r="D1197" s="191" t="s">
        <v>1292</v>
      </c>
      <c r="E1197" s="773">
        <v>41427</v>
      </c>
      <c r="F1197" s="40" t="s">
        <v>1246</v>
      </c>
      <c r="G1197" s="40" t="s">
        <v>839</v>
      </c>
      <c r="H1197" s="7" t="s">
        <v>1284</v>
      </c>
      <c r="I1197" s="256">
        <v>698</v>
      </c>
      <c r="J1197" s="256">
        <v>21023</v>
      </c>
      <c r="K1197" s="602">
        <f t="shared" si="438"/>
        <v>14674054</v>
      </c>
      <c r="L1197" s="39" t="s">
        <v>165</v>
      </c>
      <c r="M1197" s="603" t="s">
        <v>159</v>
      </c>
      <c r="N1197" s="39" t="str">
        <f>IF(AND('331-CT'!$E$7=TH!H1197,OR(L1197="331",M1197="331")),"331",IF(AND(OR(L1197="131",M1197="131"),H1197='131-CT'!$E$7),"131",""))</f>
        <v/>
      </c>
      <c r="O1197" s="39" t="str">
        <f>IF(AND($B1197&gt;='111'!$N$11,$B1197&lt;='111'!$O$11,OR($L1197=$O$7,$M1197=$O$7)),"x","")</f>
        <v/>
      </c>
      <c r="P1197" s="39" t="str">
        <f>IF(AND($L1197=$O$7,$B1197&lt;'111'!$N$11),"x","")</f>
        <v/>
      </c>
      <c r="Q1197" s="39" t="str">
        <f>IF(AND($M1197=$O$7,$B1197&lt;'111'!$N$11),"x","")</f>
        <v/>
      </c>
      <c r="R1197" s="39" t="str">
        <f>IF(ISERROR(FIND('112'!$M$9,G1197,1)),"",IF((AND(FIND('112'!$M$9,G1197,1)&gt;=1,$B1197&gt;='112'!$N$8,$B1197&lt;='112'!$O$8,OR($L1197='112'!$I$6,$M1197='112'!$I$6))),"x",""))</f>
        <v/>
      </c>
      <c r="S1197" s="39" t="str">
        <f>IF(ISERROR(FIND('112'!$M$9,G1197,1)),"",IF((AND(LEFT(G1197,2)=LEFT('112'!$M$9,2),B1197&lt;'112'!$N$8,$L1197='112'!$I$6)),"x",""))</f>
        <v/>
      </c>
      <c r="T1197" s="39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>154</v>
      </c>
      <c r="V1197" s="39" t="str">
        <f>IF(OR(TH!L1197=TH!$V$7,M1197=TH!$V$7),"x","")</f>
        <v/>
      </c>
      <c r="W1197" s="39" t="str">
        <f>IF(AND(B1197&gt;='IN-NX'!$P$3,B1197&lt;='IN-NX'!$Q$3,'IN-NX'!$D$7=D1197,OR(LEFT(L1197,2)="15",AND(LEFT(M1197,2)&lt;&gt;"15",LEFT(M1197,2)&lt;&gt;"33"))),"x","")</f>
        <v/>
      </c>
      <c r="X1197" s="39" t="str">
        <f>IF(AND(OR(LEFT(TH!L1197,2)="15",LEFT(TH!M1197,2)="15"),'152-CT'!$J$8=TH!F1197),"x","")</f>
        <v/>
      </c>
      <c r="Y1197" s="39" t="str">
        <f>IF(AND(OR(LEFT(TH!L1197,2)="15",LEFT(TH!M1197,2)="15"),TK!$E$7=TH!F1197),"x","")</f>
        <v/>
      </c>
      <c r="Z1197" s="39" t="str">
        <f>IF(AND(B1197&lt;=NKC!$N$8,B1197&gt;=NKC!$M$8),"x","")</f>
        <v/>
      </c>
      <c r="AA1197" s="883"/>
    </row>
    <row r="1198" spans="1:27" s="211" customFormat="1" ht="15.75" customHeight="1">
      <c r="A1198" s="204" t="str">
        <f>IF(B1198&lt;&gt;"",IF(AND(B1198&gt;=_TM1,B1198&lt;=_TM2,OR(TH!L1198="1111",TH!M1198="1111")),TH!D1198,""),"")</f>
        <v/>
      </c>
      <c r="B1198" s="36">
        <f t="shared" si="439"/>
        <v>6</v>
      </c>
      <c r="C1198" s="191">
        <f t="shared" si="437"/>
        <v>41429</v>
      </c>
      <c r="D1198" s="191" t="s">
        <v>1292</v>
      </c>
      <c r="E1198" s="773">
        <v>41429</v>
      </c>
      <c r="F1198" s="189" t="s">
        <v>1222</v>
      </c>
      <c r="G1198" s="40" t="s">
        <v>840</v>
      </c>
      <c r="H1198" s="7" t="s">
        <v>1284</v>
      </c>
      <c r="I1198" s="256">
        <v>110</v>
      </c>
      <c r="J1198" s="256">
        <v>12073.76551724138</v>
      </c>
      <c r="K1198" s="602">
        <f t="shared" si="438"/>
        <v>1328114</v>
      </c>
      <c r="L1198" s="39" t="s">
        <v>165</v>
      </c>
      <c r="M1198" s="603" t="s">
        <v>159</v>
      </c>
      <c r="N1198" s="39" t="str">
        <f>IF(AND('331-CT'!$E$7=TH!H1198,OR(L1198="331",M1198="331")),"331",IF(AND(OR(L1198="131",M1198="131"),H1198='131-CT'!$E$7),"131",""))</f>
        <v/>
      </c>
      <c r="O1198" s="39" t="str">
        <f>IF(AND($B1198&gt;='111'!$N$11,$B1198&lt;='111'!$O$11,OR($L1198=$O$7,$M1198=$O$7)),"x","")</f>
        <v/>
      </c>
      <c r="P1198" s="39" t="str">
        <f>IF(AND($L1198=$O$7,$B1198&lt;'111'!$N$11),"x","")</f>
        <v/>
      </c>
      <c r="Q1198" s="39" t="str">
        <f>IF(AND($M1198=$O$7,$B1198&lt;'111'!$N$11),"x","")</f>
        <v/>
      </c>
      <c r="R1198" s="39" t="str">
        <f>IF(ISERROR(FIND('112'!$M$9,G1198,1)),"",IF((AND(FIND('112'!$M$9,G1198,1)&gt;=1,$B1198&gt;='112'!$N$8,$B1198&lt;='112'!$O$8,OR($L1198='112'!$I$6,$M1198='112'!$I$6))),"x",""))</f>
        <v/>
      </c>
      <c r="S1198" s="39" t="str">
        <f>IF(ISERROR(FIND('112'!$M$9,G1198,1)),"",IF((AND(LEFT(G1198,2)=LEFT('112'!$M$9,2),B1198&lt;'112'!$N$8,$L1198='112'!$I$6)),"x",""))</f>
        <v/>
      </c>
      <c r="T1198" s="39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>154</v>
      </c>
      <c r="V1198" s="39" t="str">
        <f>IF(OR(TH!L1198=TH!$V$7,M1198=TH!$V$7),"x","")</f>
        <v/>
      </c>
      <c r="W1198" s="39" t="str">
        <f>IF(AND(B1198&gt;='IN-NX'!$P$3,B1198&lt;='IN-NX'!$Q$3,'IN-NX'!$D$7=D1198,OR(LEFT(L1198,2)="15",AND(LEFT(M1198,2)&lt;&gt;"15",LEFT(M1198,2)&lt;&gt;"33"))),"x","")</f>
        <v/>
      </c>
      <c r="X1198" s="39" t="str">
        <f>IF(AND(OR(LEFT(TH!L1198,2)="15",LEFT(TH!M1198,2)="15"),'152-CT'!$J$8=TH!F1198),"x","")</f>
        <v/>
      </c>
      <c r="Y1198" s="39" t="str">
        <f>IF(AND(OR(LEFT(TH!L1198,2)="15",LEFT(TH!M1198,2)="15"),TK!$E$7=TH!F1198),"x","")</f>
        <v/>
      </c>
      <c r="Z1198" s="39" t="str">
        <f>IF(AND(B1198&lt;=NKC!$N$8,B1198&gt;=NKC!$M$8),"x","")</f>
        <v/>
      </c>
      <c r="AA1198" s="883"/>
    </row>
    <row r="1199" spans="1:27" s="211" customFormat="1" ht="15.75" customHeight="1">
      <c r="A1199" s="204" t="str">
        <f>IF(B1199&lt;&gt;"",IF(AND(B1199&gt;=_TM1,B1199&lt;=_TM2,OR(TH!L1199="1111",TH!M1199="1111")),TH!D1199,""),"")</f>
        <v/>
      </c>
      <c r="B1199" s="36">
        <f t="shared" si="439"/>
        <v>6</v>
      </c>
      <c r="C1199" s="191">
        <f t="shared" si="437"/>
        <v>41429</v>
      </c>
      <c r="D1199" s="191" t="s">
        <v>1292</v>
      </c>
      <c r="E1199" s="773">
        <v>41429</v>
      </c>
      <c r="F1199" s="40" t="s">
        <v>1228</v>
      </c>
      <c r="G1199" s="40" t="s">
        <v>840</v>
      </c>
      <c r="H1199" s="7" t="s">
        <v>1284</v>
      </c>
      <c r="I1199" s="256">
        <v>100</v>
      </c>
      <c r="J1199" s="256">
        <v>16665</v>
      </c>
      <c r="K1199" s="602">
        <f t="shared" si="438"/>
        <v>1666500</v>
      </c>
      <c r="L1199" s="39" t="s">
        <v>165</v>
      </c>
      <c r="M1199" s="603" t="s">
        <v>159</v>
      </c>
      <c r="N1199" s="39" t="str">
        <f>IF(AND('331-CT'!$E$7=TH!H1199,OR(L1199="331",M1199="331")),"331",IF(AND(OR(L1199="131",M1199="131"),H1199='131-CT'!$E$7),"131",""))</f>
        <v/>
      </c>
      <c r="O1199" s="39" t="str">
        <f>IF(AND($B1199&gt;='111'!$N$11,$B1199&lt;='111'!$O$11,OR($L1199=$O$7,$M1199=$O$7)),"x","")</f>
        <v/>
      </c>
      <c r="P1199" s="39" t="str">
        <f>IF(AND($L1199=$O$7,$B1199&lt;'111'!$N$11),"x","")</f>
        <v/>
      </c>
      <c r="Q1199" s="39" t="str">
        <f>IF(AND($M1199=$O$7,$B1199&lt;'111'!$N$11),"x","")</f>
        <v/>
      </c>
      <c r="R1199" s="39" t="str">
        <f>IF(ISERROR(FIND('112'!$M$9,G1199,1)),"",IF((AND(FIND('112'!$M$9,G1199,1)&gt;=1,$B1199&gt;='112'!$N$8,$B1199&lt;='112'!$O$8,OR($L1199='112'!$I$6,$M1199='112'!$I$6))),"x",""))</f>
        <v/>
      </c>
      <c r="S1199" s="39" t="str">
        <f>IF(ISERROR(FIND('112'!$M$9,G1199,1)),"",IF((AND(LEFT(G1199,2)=LEFT('112'!$M$9,2),B1199&lt;'112'!$N$8,$L1199='112'!$I$6)),"x",""))</f>
        <v/>
      </c>
      <c r="T1199" s="39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>154</v>
      </c>
      <c r="V1199" s="39" t="str">
        <f>IF(OR(TH!L1199=TH!$V$7,M1199=TH!$V$7),"x","")</f>
        <v/>
      </c>
      <c r="W1199" s="39" t="str">
        <f>IF(AND(B1199&gt;='IN-NX'!$P$3,B1199&lt;='IN-NX'!$Q$3,'IN-NX'!$D$7=D1199,OR(LEFT(L1199,2)="15",AND(LEFT(M1199,2)&lt;&gt;"15",LEFT(M1199,2)&lt;&gt;"33"))),"x","")</f>
        <v/>
      </c>
      <c r="X1199" s="39" t="str">
        <f>IF(AND(OR(LEFT(TH!L1199,2)="15",LEFT(TH!M1199,2)="15"),'152-CT'!$J$8=TH!F1199),"x","")</f>
        <v/>
      </c>
      <c r="Y1199" s="39" t="str">
        <f>IF(AND(OR(LEFT(TH!L1199,2)="15",LEFT(TH!M1199,2)="15"),TK!$E$7=TH!F1199),"x","")</f>
        <v/>
      </c>
      <c r="Z1199" s="39" t="str">
        <f>IF(AND(B1199&lt;=NKC!$N$8,B1199&gt;=NKC!$M$8),"x","")</f>
        <v/>
      </c>
      <c r="AA1199" s="883"/>
    </row>
    <row r="1200" spans="1:27" s="211" customFormat="1" ht="15.75" customHeight="1">
      <c r="A1200" s="204" t="str">
        <f>IF(B1200&lt;&gt;"",IF(AND(B1200&gt;=_TM1,B1200&lt;=_TM2,OR(TH!L1200="1111",TH!M1200="1111")),TH!D1200,""),"")</f>
        <v/>
      </c>
      <c r="B1200" s="36">
        <f t="shared" si="439"/>
        <v>6</v>
      </c>
      <c r="C1200" s="191">
        <f t="shared" si="437"/>
        <v>41429</v>
      </c>
      <c r="D1200" s="191" t="s">
        <v>1292</v>
      </c>
      <c r="E1200" s="773">
        <v>41429</v>
      </c>
      <c r="F1200" s="189" t="s">
        <v>1246</v>
      </c>
      <c r="G1200" s="40" t="s">
        <v>840</v>
      </c>
      <c r="H1200" s="7" t="s">
        <v>1284</v>
      </c>
      <c r="I1200" s="256">
        <v>52</v>
      </c>
      <c r="J1200" s="256">
        <v>21023</v>
      </c>
      <c r="K1200" s="602">
        <f t="shared" si="438"/>
        <v>1093196</v>
      </c>
      <c r="L1200" s="39" t="s">
        <v>165</v>
      </c>
      <c r="M1200" s="603" t="s">
        <v>159</v>
      </c>
      <c r="N1200" s="39" t="str">
        <f>IF(AND('331-CT'!$E$7=TH!H1200,OR(L1200="331",M1200="331")),"331",IF(AND(OR(L1200="131",M1200="131"),H1200='131-CT'!$E$7),"131",""))</f>
        <v/>
      </c>
      <c r="O1200" s="39" t="str">
        <f>IF(AND($B1200&gt;='111'!$N$11,$B1200&lt;='111'!$O$11,OR($L1200=$O$7,$M1200=$O$7)),"x","")</f>
        <v/>
      </c>
      <c r="P1200" s="39" t="str">
        <f>IF(AND($L1200=$O$7,$B1200&lt;'111'!$N$11),"x","")</f>
        <v/>
      </c>
      <c r="Q1200" s="39" t="str">
        <f>IF(AND($M1200=$O$7,$B1200&lt;'111'!$N$11),"x","")</f>
        <v/>
      </c>
      <c r="R1200" s="39" t="str">
        <f>IF(ISERROR(FIND('112'!$M$9,G1200,1)),"",IF((AND(FIND('112'!$M$9,G1200,1)&gt;=1,$B1200&gt;='112'!$N$8,$B1200&lt;='112'!$O$8,OR($L1200='112'!$I$6,$M1200='112'!$I$6))),"x",""))</f>
        <v/>
      </c>
      <c r="S1200" s="39" t="str">
        <f>IF(ISERROR(FIND('112'!$M$9,G1200,1)),"",IF((AND(LEFT(G1200,2)=LEFT('112'!$M$9,2),B1200&lt;'112'!$N$8,$L1200='112'!$I$6)),"x",""))</f>
        <v/>
      </c>
      <c r="T1200" s="39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>154</v>
      </c>
      <c r="V1200" s="39" t="str">
        <f>IF(OR(TH!L1200=TH!$V$7,M1200=TH!$V$7),"x","")</f>
        <v/>
      </c>
      <c r="W1200" s="39" t="str">
        <f>IF(AND(B1200&gt;='IN-NX'!$P$3,B1200&lt;='IN-NX'!$Q$3,'IN-NX'!$D$7=D1200,OR(LEFT(L1200,2)="15",AND(LEFT(M1200,2)&lt;&gt;"15",LEFT(M1200,2)&lt;&gt;"33"))),"x","")</f>
        <v/>
      </c>
      <c r="X1200" s="39" t="str">
        <f>IF(AND(OR(LEFT(TH!L1200,2)="15",LEFT(TH!M1200,2)="15"),'152-CT'!$J$8=TH!F1200),"x","")</f>
        <v/>
      </c>
      <c r="Y1200" s="39" t="str">
        <f>IF(AND(OR(LEFT(TH!L1200,2)="15",LEFT(TH!M1200,2)="15"),TK!$E$7=TH!F1200),"x","")</f>
        <v/>
      </c>
      <c r="Z1200" s="39" t="str">
        <f>IF(AND(B1200&lt;=NKC!$N$8,B1200&gt;=NKC!$M$8),"x","")</f>
        <v/>
      </c>
      <c r="AA1200" s="883"/>
    </row>
    <row r="1201" spans="1:27" s="211" customFormat="1" ht="15.75" customHeight="1">
      <c r="A1201" s="204" t="str">
        <f>IF(B1201&lt;&gt;"",IF(AND(B1201&gt;=_TM1,B1201&lt;=_TM2,OR(TH!L1201="1111",TH!M1201="1111")),TH!D1201,""),"")</f>
        <v/>
      </c>
      <c r="B1201" s="36">
        <f t="shared" si="439"/>
        <v>6</v>
      </c>
      <c r="C1201" s="191">
        <f t="shared" si="437"/>
        <v>41429</v>
      </c>
      <c r="D1201" s="191" t="s">
        <v>1292</v>
      </c>
      <c r="E1201" s="773">
        <v>41429</v>
      </c>
      <c r="F1201" s="40" t="s">
        <v>1241</v>
      </c>
      <c r="G1201" s="40" t="s">
        <v>840</v>
      </c>
      <c r="H1201" s="7" t="s">
        <v>1284</v>
      </c>
      <c r="I1201" s="256">
        <v>71</v>
      </c>
      <c r="J1201" s="256">
        <v>19910.059499050549</v>
      </c>
      <c r="K1201" s="602">
        <f t="shared" si="438"/>
        <v>1413614</v>
      </c>
      <c r="L1201" s="39" t="s">
        <v>165</v>
      </c>
      <c r="M1201" s="603" t="s">
        <v>159</v>
      </c>
      <c r="N1201" s="39" t="str">
        <f>IF(AND('331-CT'!$E$7=TH!H1201,OR(L1201="331",M1201="331")),"331",IF(AND(OR(L1201="131",M1201="131"),H1201='131-CT'!$E$7),"131",""))</f>
        <v/>
      </c>
      <c r="O1201" s="39" t="str">
        <f>IF(AND($B1201&gt;='111'!$N$11,$B1201&lt;='111'!$O$11,OR($L1201=$O$7,$M1201=$O$7)),"x","")</f>
        <v/>
      </c>
      <c r="P1201" s="39" t="str">
        <f>IF(AND($L1201=$O$7,$B1201&lt;'111'!$N$11),"x","")</f>
        <v/>
      </c>
      <c r="Q1201" s="39" t="str">
        <f>IF(AND($M1201=$O$7,$B1201&lt;'111'!$N$11),"x","")</f>
        <v/>
      </c>
      <c r="R1201" s="39" t="str">
        <f>IF(ISERROR(FIND('112'!$M$9,G1201,1)),"",IF((AND(FIND('112'!$M$9,G1201,1)&gt;=1,$B1201&gt;='112'!$N$8,$B1201&lt;='112'!$O$8,OR($L1201='112'!$I$6,$M1201='112'!$I$6))),"x",""))</f>
        <v/>
      </c>
      <c r="S1201" s="39" t="str">
        <f>IF(ISERROR(FIND('112'!$M$9,G1201,1)),"",IF((AND(LEFT(G1201,2)=LEFT('112'!$M$9,2),B1201&lt;'112'!$N$8,$L1201='112'!$I$6)),"x",""))</f>
        <v/>
      </c>
      <c r="T1201" s="39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>154</v>
      </c>
      <c r="V1201" s="39" t="str">
        <f>IF(OR(TH!L1201=TH!$V$7,M1201=TH!$V$7),"x","")</f>
        <v/>
      </c>
      <c r="W1201" s="39" t="str">
        <f>IF(AND(B1201&gt;='IN-NX'!$P$3,B1201&lt;='IN-NX'!$Q$3,'IN-NX'!$D$7=D1201,OR(LEFT(L1201,2)="15",AND(LEFT(M1201,2)&lt;&gt;"15",LEFT(M1201,2)&lt;&gt;"33"))),"x","")</f>
        <v/>
      </c>
      <c r="X1201" s="39" t="str">
        <f>IF(AND(OR(LEFT(TH!L1201,2)="15",LEFT(TH!M1201,2)="15"),'152-CT'!$J$8=TH!F1201),"x","")</f>
        <v/>
      </c>
      <c r="Y1201" s="39" t="str">
        <f>IF(AND(OR(LEFT(TH!L1201,2)="15",LEFT(TH!M1201,2)="15"),TK!$E$7=TH!F1201),"x","")</f>
        <v/>
      </c>
      <c r="Z1201" s="39" t="str">
        <f>IF(AND(B1201&lt;=NKC!$N$8,B1201&gt;=NKC!$M$8),"x","")</f>
        <v/>
      </c>
      <c r="AA1201" s="883"/>
    </row>
    <row r="1202" spans="1:27" s="211" customFormat="1" ht="15.75" customHeight="1">
      <c r="A1202" s="204" t="str">
        <f>IF(B1202&lt;&gt;"",IF(AND(B1202&gt;=_TM1,B1202&lt;=_TM2,OR(TH!L1202="1111",TH!M1202="1111")),TH!D1202,""),"")</f>
        <v/>
      </c>
      <c r="B1202" s="36">
        <f t="shared" si="439"/>
        <v>6</v>
      </c>
      <c r="C1202" s="191">
        <f t="shared" si="437"/>
        <v>41429</v>
      </c>
      <c r="D1202" s="191" t="s">
        <v>1292</v>
      </c>
      <c r="E1202" s="773">
        <v>41429</v>
      </c>
      <c r="F1202" s="40" t="s">
        <v>1214</v>
      </c>
      <c r="G1202" s="40" t="s">
        <v>843</v>
      </c>
      <c r="H1202" s="7" t="s">
        <v>1284</v>
      </c>
      <c r="I1202" s="256">
        <v>100</v>
      </c>
      <c r="J1202" s="256">
        <v>12757</v>
      </c>
      <c r="K1202" s="602">
        <f t="shared" si="438"/>
        <v>1275700</v>
      </c>
      <c r="L1202" s="39" t="s">
        <v>165</v>
      </c>
      <c r="M1202" s="603" t="s">
        <v>159</v>
      </c>
      <c r="N1202" s="39" t="str">
        <f>IF(AND('331-CT'!$E$7=TH!H1202,OR(L1202="331",M1202="331")),"331",IF(AND(OR(L1202="131",M1202="131"),H1202='131-CT'!$E$7),"131",""))</f>
        <v/>
      </c>
      <c r="O1202" s="39" t="str">
        <f>IF(AND($B1202&gt;='111'!$N$11,$B1202&lt;='111'!$O$11,OR($L1202=$O$7,$M1202=$O$7)),"x","")</f>
        <v/>
      </c>
      <c r="P1202" s="39" t="str">
        <f>IF(AND($L1202=$O$7,$B1202&lt;'111'!$N$11),"x","")</f>
        <v/>
      </c>
      <c r="Q1202" s="39" t="str">
        <f>IF(AND($M1202=$O$7,$B1202&lt;'111'!$N$11),"x","")</f>
        <v/>
      </c>
      <c r="R1202" s="39" t="str">
        <f>IF(ISERROR(FIND('112'!$M$9,G1202,1)),"",IF((AND(FIND('112'!$M$9,G1202,1)&gt;=1,$B1202&gt;='112'!$N$8,$B1202&lt;='112'!$O$8,OR($L1202='112'!$I$6,$M1202='112'!$I$6))),"x",""))</f>
        <v/>
      </c>
      <c r="S1202" s="39" t="str">
        <f>IF(ISERROR(FIND('112'!$M$9,G1202,1)),"",IF((AND(LEFT(G1202,2)=LEFT('112'!$M$9,2),B1202&lt;'112'!$N$8,$L1202='112'!$I$6)),"x",""))</f>
        <v/>
      </c>
      <c r="T1202" s="39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>154</v>
      </c>
      <c r="V1202" s="39" t="str">
        <f>IF(OR(TH!L1202=TH!$V$7,M1202=TH!$V$7),"x","")</f>
        <v/>
      </c>
      <c r="W1202" s="39" t="str">
        <f>IF(AND(B1202&gt;='IN-NX'!$P$3,B1202&lt;='IN-NX'!$Q$3,'IN-NX'!$D$7=D1202,OR(LEFT(L1202,2)="15",AND(LEFT(M1202,2)&lt;&gt;"15",LEFT(M1202,2)&lt;&gt;"33"))),"x","")</f>
        <v/>
      </c>
      <c r="X1202" s="39" t="str">
        <f>IF(AND(OR(LEFT(TH!L1202,2)="15",LEFT(TH!M1202,2)="15"),'152-CT'!$J$8=TH!F1202),"x","")</f>
        <v/>
      </c>
      <c r="Y1202" s="39" t="str">
        <f>IF(AND(OR(LEFT(TH!L1202,2)="15",LEFT(TH!M1202,2)="15"),TK!$E$7=TH!F1202),"x","")</f>
        <v/>
      </c>
      <c r="Z1202" s="39" t="str">
        <f>IF(AND(B1202&lt;=NKC!$N$8,B1202&gt;=NKC!$M$8),"x","")</f>
        <v/>
      </c>
      <c r="AA1202" s="883"/>
    </row>
    <row r="1203" spans="1:27" s="211" customFormat="1" ht="15.75" customHeight="1">
      <c r="A1203" s="204" t="str">
        <f>IF(B1203&lt;&gt;"",IF(AND(B1203&gt;=_TM1,B1203&lt;=_TM2,OR(TH!L1203="1111",TH!M1203="1111")),TH!D1203,""),"")</f>
        <v/>
      </c>
      <c r="B1203" s="36">
        <f t="shared" si="439"/>
        <v>6</v>
      </c>
      <c r="C1203" s="191">
        <f t="shared" si="437"/>
        <v>41429</v>
      </c>
      <c r="D1203" s="191" t="s">
        <v>1292</v>
      </c>
      <c r="E1203" s="773">
        <v>41429</v>
      </c>
      <c r="F1203" s="189" t="s">
        <v>1279</v>
      </c>
      <c r="G1203" s="40" t="s">
        <v>843</v>
      </c>
      <c r="H1203" s="7" t="s">
        <v>1284</v>
      </c>
      <c r="I1203" s="256">
        <v>120</v>
      </c>
      <c r="J1203" s="256">
        <v>14061</v>
      </c>
      <c r="K1203" s="602">
        <f t="shared" si="438"/>
        <v>1687320</v>
      </c>
      <c r="L1203" s="39" t="s">
        <v>165</v>
      </c>
      <c r="M1203" s="603" t="s">
        <v>159</v>
      </c>
      <c r="N1203" s="39" t="str">
        <f>IF(AND('331-CT'!$E$7=TH!H1203,OR(L1203="331",M1203="331")),"331",IF(AND(OR(L1203="131",M1203="131"),H1203='131-CT'!$E$7),"131",""))</f>
        <v/>
      </c>
      <c r="O1203" s="39" t="str">
        <f>IF(AND($B1203&gt;='111'!$N$11,$B1203&lt;='111'!$O$11,OR($L1203=$O$7,$M1203=$O$7)),"x","")</f>
        <v/>
      </c>
      <c r="P1203" s="39" t="str">
        <f>IF(AND($L1203=$O$7,$B1203&lt;'111'!$N$11),"x","")</f>
        <v/>
      </c>
      <c r="Q1203" s="39" t="str">
        <f>IF(AND($M1203=$O$7,$B1203&lt;'111'!$N$11),"x","")</f>
        <v/>
      </c>
      <c r="R1203" s="39" t="str">
        <f>IF(ISERROR(FIND('112'!$M$9,G1203,1)),"",IF((AND(FIND('112'!$M$9,G1203,1)&gt;=1,$B1203&gt;='112'!$N$8,$B1203&lt;='112'!$O$8,OR($L1203='112'!$I$6,$M1203='112'!$I$6))),"x",""))</f>
        <v/>
      </c>
      <c r="S1203" s="39" t="str">
        <f>IF(ISERROR(FIND('112'!$M$9,G1203,1)),"",IF((AND(LEFT(G1203,2)=LEFT('112'!$M$9,2),B1203&lt;'112'!$N$8,$L1203='112'!$I$6)),"x",""))</f>
        <v/>
      </c>
      <c r="T1203" s="39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>154</v>
      </c>
      <c r="V1203" s="39" t="str">
        <f>IF(OR(TH!L1203=TH!$V$7,M1203=TH!$V$7),"x","")</f>
        <v/>
      </c>
      <c r="W1203" s="39" t="str">
        <f>IF(AND(B1203&gt;='IN-NX'!$P$3,B1203&lt;='IN-NX'!$Q$3,'IN-NX'!$D$7=D1203,OR(LEFT(L1203,2)="15",AND(LEFT(M1203,2)&lt;&gt;"15",LEFT(M1203,2)&lt;&gt;"33"))),"x","")</f>
        <v/>
      </c>
      <c r="X1203" s="39" t="str">
        <f>IF(AND(OR(LEFT(TH!L1203,2)="15",LEFT(TH!M1203,2)="15"),'152-CT'!$J$8=TH!F1203),"x","")</f>
        <v/>
      </c>
      <c r="Y1203" s="39" t="str">
        <f>IF(AND(OR(LEFT(TH!L1203,2)="15",LEFT(TH!M1203,2)="15"),TK!$E$7=TH!F1203),"x","")</f>
        <v/>
      </c>
      <c r="Z1203" s="39" t="str">
        <f>IF(AND(B1203&lt;=NKC!$N$8,B1203&gt;=NKC!$M$8),"x","")</f>
        <v/>
      </c>
      <c r="AA1203" s="883"/>
    </row>
    <row r="1204" spans="1:27" s="211" customFormat="1" ht="15.75" customHeight="1">
      <c r="A1204" s="204" t="str">
        <f>IF(B1204&lt;&gt;"",IF(AND(B1204&gt;=_TM1,B1204&lt;=_TM2,OR(TH!L1204="1111",TH!M1204="1111")),TH!D1204,""),"")</f>
        <v/>
      </c>
      <c r="B1204" s="36">
        <f t="shared" si="439"/>
        <v>6</v>
      </c>
      <c r="C1204" s="191">
        <f t="shared" si="437"/>
        <v>41429</v>
      </c>
      <c r="D1204" s="191" t="s">
        <v>1292</v>
      </c>
      <c r="E1204" s="773">
        <v>41429</v>
      </c>
      <c r="F1204" s="189" t="s">
        <v>1226</v>
      </c>
      <c r="G1204" s="40" t="s">
        <v>843</v>
      </c>
      <c r="H1204" s="7" t="s">
        <v>1284</v>
      </c>
      <c r="I1204" s="256">
        <v>74</v>
      </c>
      <c r="J1204" s="256">
        <v>13971</v>
      </c>
      <c r="K1204" s="602">
        <f t="shared" si="438"/>
        <v>1033854</v>
      </c>
      <c r="L1204" s="39" t="s">
        <v>165</v>
      </c>
      <c r="M1204" s="603" t="s">
        <v>159</v>
      </c>
      <c r="N1204" s="39" t="str">
        <f>IF(AND('331-CT'!$E$7=TH!H1204,OR(L1204="331",M1204="331")),"331",IF(AND(OR(L1204="131",M1204="131"),H1204='131-CT'!$E$7),"131",""))</f>
        <v/>
      </c>
      <c r="O1204" s="39" t="str">
        <f>IF(AND($B1204&gt;='111'!$N$11,$B1204&lt;='111'!$O$11,OR($L1204=$O$7,$M1204=$O$7)),"x","")</f>
        <v/>
      </c>
      <c r="P1204" s="39" t="str">
        <f>IF(AND($L1204=$O$7,$B1204&lt;'111'!$N$11),"x","")</f>
        <v/>
      </c>
      <c r="Q1204" s="39" t="str">
        <f>IF(AND($M1204=$O$7,$B1204&lt;'111'!$N$11),"x","")</f>
        <v/>
      </c>
      <c r="R1204" s="39" t="str">
        <f>IF(ISERROR(FIND('112'!$M$9,G1204,1)),"",IF((AND(FIND('112'!$M$9,G1204,1)&gt;=1,$B1204&gt;='112'!$N$8,$B1204&lt;='112'!$O$8,OR($L1204='112'!$I$6,$M1204='112'!$I$6))),"x",""))</f>
        <v/>
      </c>
      <c r="S1204" s="39" t="str">
        <f>IF(ISERROR(FIND('112'!$M$9,G1204,1)),"",IF((AND(LEFT(G1204,2)=LEFT('112'!$M$9,2),B1204&lt;'112'!$N$8,$L1204='112'!$I$6)),"x",""))</f>
        <v/>
      </c>
      <c r="T1204" s="39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>154</v>
      </c>
      <c r="V1204" s="39" t="str">
        <f>IF(OR(TH!L1204=TH!$V$7,M1204=TH!$V$7),"x","")</f>
        <v/>
      </c>
      <c r="W1204" s="39" t="str">
        <f>IF(AND(B1204&gt;='IN-NX'!$P$3,B1204&lt;='IN-NX'!$Q$3,'IN-NX'!$D$7=D1204,OR(LEFT(L1204,2)="15",AND(LEFT(M1204,2)&lt;&gt;"15",LEFT(M1204,2)&lt;&gt;"33"))),"x","")</f>
        <v/>
      </c>
      <c r="X1204" s="39" t="str">
        <f>IF(AND(OR(LEFT(TH!L1204,2)="15",LEFT(TH!M1204,2)="15"),'152-CT'!$J$8=TH!F1204),"x","")</f>
        <v/>
      </c>
      <c r="Y1204" s="39" t="str">
        <f>IF(AND(OR(LEFT(TH!L1204,2)="15",LEFT(TH!M1204,2)="15"),TK!$E$7=TH!F1204),"x","")</f>
        <v/>
      </c>
      <c r="Z1204" s="39" t="str">
        <f>IF(AND(B1204&lt;=NKC!$N$8,B1204&gt;=NKC!$M$8),"x","")</f>
        <v/>
      </c>
      <c r="AA1204" s="883"/>
    </row>
    <row r="1205" spans="1:27" s="211" customFormat="1" ht="15.75" customHeight="1">
      <c r="A1205" s="204" t="str">
        <f>IF(B1205&lt;&gt;"",IF(AND(B1205&gt;=_TM1,B1205&lt;=_TM2,OR(TH!L1205="1111",TH!M1205="1111")),TH!D1205,""),"")</f>
        <v/>
      </c>
      <c r="B1205" s="36">
        <f t="shared" si="439"/>
        <v>6</v>
      </c>
      <c r="C1205" s="191">
        <f t="shared" si="437"/>
        <v>41429</v>
      </c>
      <c r="D1205" s="191" t="s">
        <v>1292</v>
      </c>
      <c r="E1205" s="773">
        <v>41429</v>
      </c>
      <c r="F1205" s="189" t="s">
        <v>1255</v>
      </c>
      <c r="G1205" s="40" t="s">
        <v>843</v>
      </c>
      <c r="H1205" s="7" t="s">
        <v>1284</v>
      </c>
      <c r="I1205" s="256">
        <v>104</v>
      </c>
      <c r="J1205" s="256">
        <v>19759</v>
      </c>
      <c r="K1205" s="602">
        <f t="shared" si="438"/>
        <v>2054936</v>
      </c>
      <c r="L1205" s="39" t="s">
        <v>165</v>
      </c>
      <c r="M1205" s="603" t="s">
        <v>159</v>
      </c>
      <c r="N1205" s="39" t="str">
        <f>IF(AND('331-CT'!$E$7=TH!H1205,OR(L1205="331",M1205="331")),"331",IF(AND(OR(L1205="131",M1205="131"),H1205='131-CT'!$E$7),"131",""))</f>
        <v/>
      </c>
      <c r="O1205" s="39" t="str">
        <f>IF(AND($B1205&gt;='111'!$N$11,$B1205&lt;='111'!$O$11,OR($L1205=$O$7,$M1205=$O$7)),"x","")</f>
        <v/>
      </c>
      <c r="P1205" s="39" t="str">
        <f>IF(AND($L1205=$O$7,$B1205&lt;'111'!$N$11),"x","")</f>
        <v/>
      </c>
      <c r="Q1205" s="39" t="str">
        <f>IF(AND($M1205=$O$7,$B1205&lt;'111'!$N$11),"x","")</f>
        <v/>
      </c>
      <c r="R1205" s="39" t="str">
        <f>IF(ISERROR(FIND('112'!$M$9,G1205,1)),"",IF((AND(FIND('112'!$M$9,G1205,1)&gt;=1,$B1205&gt;='112'!$N$8,$B1205&lt;='112'!$O$8,OR($L1205='112'!$I$6,$M1205='112'!$I$6))),"x",""))</f>
        <v/>
      </c>
      <c r="S1205" s="39" t="str">
        <f>IF(ISERROR(FIND('112'!$M$9,G1205,1)),"",IF((AND(LEFT(G1205,2)=LEFT('112'!$M$9,2),B1205&lt;'112'!$N$8,$L1205='112'!$I$6)),"x",""))</f>
        <v/>
      </c>
      <c r="T1205" s="39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>154</v>
      </c>
      <c r="V1205" s="39" t="str">
        <f>IF(OR(TH!L1205=TH!$V$7,M1205=TH!$V$7),"x","")</f>
        <v/>
      </c>
      <c r="W1205" s="39" t="str">
        <f>IF(AND(B1205&gt;='IN-NX'!$P$3,B1205&lt;='IN-NX'!$Q$3,'IN-NX'!$D$7=D1205,OR(LEFT(L1205,2)="15",AND(LEFT(M1205,2)&lt;&gt;"15",LEFT(M1205,2)&lt;&gt;"33"))),"x","")</f>
        <v/>
      </c>
      <c r="X1205" s="39" t="str">
        <f>IF(AND(OR(LEFT(TH!L1205,2)="15",LEFT(TH!M1205,2)="15"),'152-CT'!$J$8=TH!F1205),"x","")</f>
        <v/>
      </c>
      <c r="Y1205" s="39" t="str">
        <f>IF(AND(OR(LEFT(TH!L1205,2)="15",LEFT(TH!M1205,2)="15"),TK!$E$7=TH!F1205),"x","")</f>
        <v/>
      </c>
      <c r="Z1205" s="39" t="str">
        <f>IF(AND(B1205&lt;=NKC!$N$8,B1205&gt;=NKC!$M$8),"x","")</f>
        <v/>
      </c>
      <c r="AA1205" s="883"/>
    </row>
    <row r="1206" spans="1:27" s="211" customFormat="1" ht="15.75" customHeight="1">
      <c r="A1206" s="204" t="str">
        <f>IF(B1206&lt;&gt;"",IF(AND(B1206&gt;=_TM1,B1206&lt;=_TM2,OR(TH!L1206="1111",TH!M1206="1111")),TH!D1206,""),"")</f>
        <v/>
      </c>
      <c r="B1206" s="36">
        <f t="shared" si="439"/>
        <v>6</v>
      </c>
      <c r="C1206" s="191">
        <f t="shared" si="437"/>
        <v>41432</v>
      </c>
      <c r="D1206" s="191" t="s">
        <v>1292</v>
      </c>
      <c r="E1206" s="37">
        <v>41432</v>
      </c>
      <c r="F1206" s="40" t="s">
        <v>1221</v>
      </c>
      <c r="G1206" s="40" t="s">
        <v>846</v>
      </c>
      <c r="H1206" s="7" t="s">
        <v>1284</v>
      </c>
      <c r="I1206" s="256">
        <v>204</v>
      </c>
      <c r="J1206" s="256">
        <v>17574</v>
      </c>
      <c r="K1206" s="602">
        <f t="shared" si="438"/>
        <v>3585096</v>
      </c>
      <c r="L1206" s="39" t="s">
        <v>165</v>
      </c>
      <c r="M1206" s="603" t="s">
        <v>159</v>
      </c>
      <c r="N1206" s="39" t="str">
        <f>IF(AND('331-CT'!$E$7=TH!H1206,OR(L1206="331",M1206="331")),"331",IF(AND(OR(L1206="131",M1206="131"),H1206='131-CT'!$E$7),"131",""))</f>
        <v/>
      </c>
      <c r="O1206" s="39" t="str">
        <f>IF(AND($B1206&gt;='111'!$N$11,$B1206&lt;='111'!$O$11,OR($L1206=$O$7,$M1206=$O$7)),"x","")</f>
        <v/>
      </c>
      <c r="P1206" s="39" t="str">
        <f>IF(AND($L1206=$O$7,$B1206&lt;'111'!$N$11),"x","")</f>
        <v/>
      </c>
      <c r="Q1206" s="39" t="str">
        <f>IF(AND($M1206=$O$7,$B1206&lt;'111'!$N$11),"x","")</f>
        <v/>
      </c>
      <c r="R1206" s="39" t="str">
        <f>IF(ISERROR(FIND('112'!$M$9,G1206,1)),"",IF((AND(FIND('112'!$M$9,G1206,1)&gt;=1,$B1206&gt;='112'!$N$8,$B1206&lt;='112'!$O$8,OR($L1206='112'!$I$6,$M1206='112'!$I$6))),"x",""))</f>
        <v/>
      </c>
      <c r="S1206" s="39" t="str">
        <f>IF(ISERROR(FIND('112'!$M$9,G1206,1)),"",IF((AND(LEFT(G1206,2)=LEFT('112'!$M$9,2),B1206&lt;'112'!$N$8,$L1206='112'!$I$6)),"x",""))</f>
        <v/>
      </c>
      <c r="T1206" s="39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>154</v>
      </c>
      <c r="V1206" s="39" t="str">
        <f>IF(OR(TH!L1206=TH!$V$7,M1206=TH!$V$7),"x","")</f>
        <v/>
      </c>
      <c r="W1206" s="39" t="str">
        <f>IF(AND(B1206&gt;='IN-NX'!$P$3,B1206&lt;='IN-NX'!$Q$3,'IN-NX'!$D$7=D1206,OR(LEFT(L1206,2)="15",AND(LEFT(M1206,2)&lt;&gt;"15",LEFT(M1206,2)&lt;&gt;"33"))),"x","")</f>
        <v/>
      </c>
      <c r="X1206" s="39" t="str">
        <f>IF(AND(OR(LEFT(TH!L1206,2)="15",LEFT(TH!M1206,2)="15"),'152-CT'!$J$8=TH!F1206),"x","")</f>
        <v/>
      </c>
      <c r="Y1206" s="39" t="str">
        <f>IF(AND(OR(LEFT(TH!L1206,2)="15",LEFT(TH!M1206,2)="15"),TK!$E$7=TH!F1206),"x","")</f>
        <v/>
      </c>
      <c r="Z1206" s="39" t="str">
        <f>IF(AND(B1206&lt;=NKC!$N$8,B1206&gt;=NKC!$M$8),"x","")</f>
        <v/>
      </c>
      <c r="AA1206" s="883"/>
    </row>
    <row r="1207" spans="1:27" s="211" customFormat="1" ht="15.75" customHeight="1">
      <c r="A1207" s="204" t="str">
        <f>IF(B1207&lt;&gt;"",IF(AND(B1207&gt;=_TM1,B1207&lt;=_TM2,OR(TH!L1207="1111",TH!M1207="1111")),TH!D1207,""),"")</f>
        <v/>
      </c>
      <c r="B1207" s="36">
        <f t="shared" si="439"/>
        <v>6</v>
      </c>
      <c r="C1207" s="191">
        <f t="shared" si="437"/>
        <v>41433</v>
      </c>
      <c r="D1207" s="191" t="s">
        <v>1292</v>
      </c>
      <c r="E1207" s="37">
        <v>41433</v>
      </c>
      <c r="F1207" s="40" t="s">
        <v>1272</v>
      </c>
      <c r="G1207" s="40" t="s">
        <v>848</v>
      </c>
      <c r="H1207" s="7" t="s">
        <v>1284</v>
      </c>
      <c r="I1207" s="256">
        <v>100</v>
      </c>
      <c r="J1207" s="256">
        <v>5783</v>
      </c>
      <c r="K1207" s="602">
        <f t="shared" si="438"/>
        <v>578300</v>
      </c>
      <c r="L1207" s="39" t="s">
        <v>165</v>
      </c>
      <c r="M1207" s="603" t="s">
        <v>159</v>
      </c>
      <c r="N1207" s="39" t="str">
        <f>IF(AND('331-CT'!$E$7=TH!H1207,OR(L1207="331",M1207="331")),"331",IF(AND(OR(L1207="131",M1207="131"),H1207='131-CT'!$E$7),"131",""))</f>
        <v/>
      </c>
      <c r="O1207" s="39" t="str">
        <f>IF(AND($B1207&gt;='111'!$N$11,$B1207&lt;='111'!$O$11,OR($L1207=$O$7,$M1207=$O$7)),"x","")</f>
        <v/>
      </c>
      <c r="P1207" s="39" t="str">
        <f>IF(AND($L1207=$O$7,$B1207&lt;'111'!$N$11),"x","")</f>
        <v/>
      </c>
      <c r="Q1207" s="39" t="str">
        <f>IF(AND($M1207=$O$7,$B1207&lt;'111'!$N$11),"x","")</f>
        <v/>
      </c>
      <c r="R1207" s="39" t="str">
        <f>IF(ISERROR(FIND('112'!$M$9,G1207,1)),"",IF((AND(FIND('112'!$M$9,G1207,1)&gt;=1,$B1207&gt;='112'!$N$8,$B1207&lt;='112'!$O$8,OR($L1207='112'!$I$6,$M1207='112'!$I$6))),"x",""))</f>
        <v/>
      </c>
      <c r="S1207" s="39" t="str">
        <f>IF(ISERROR(FIND('112'!$M$9,G1207,1)),"",IF((AND(LEFT(G1207,2)=LEFT('112'!$M$9,2),B1207&lt;'112'!$N$8,$L1207='112'!$I$6)),"x",""))</f>
        <v/>
      </c>
      <c r="T1207" s="39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>154</v>
      </c>
      <c r="V1207" s="39" t="str">
        <f>IF(OR(TH!L1207=TH!$V$7,M1207=TH!$V$7),"x","")</f>
        <v/>
      </c>
      <c r="W1207" s="39" t="str">
        <f>IF(AND(B1207&gt;='IN-NX'!$P$3,B1207&lt;='IN-NX'!$Q$3,'IN-NX'!$D$7=D1207,OR(LEFT(L1207,2)="15",AND(LEFT(M1207,2)&lt;&gt;"15",LEFT(M1207,2)&lt;&gt;"33"))),"x","")</f>
        <v/>
      </c>
      <c r="X1207" s="39" t="str">
        <f>IF(AND(OR(LEFT(TH!L1207,2)="15",LEFT(TH!M1207,2)="15"),'152-CT'!$J$8=TH!F1207),"x","")</f>
        <v/>
      </c>
      <c r="Y1207" s="39" t="str">
        <f>IF(AND(OR(LEFT(TH!L1207,2)="15",LEFT(TH!M1207,2)="15"),TK!$E$7=TH!F1207),"x","")</f>
        <v/>
      </c>
      <c r="Z1207" s="39" t="str">
        <f>IF(AND(B1207&lt;=NKC!$N$8,B1207&gt;=NKC!$M$8),"x","")</f>
        <v/>
      </c>
      <c r="AA1207" s="883"/>
    </row>
    <row r="1208" spans="1:27" s="211" customFormat="1" ht="15.75" customHeight="1">
      <c r="A1208" s="204" t="str">
        <f>IF(B1208&lt;&gt;"",IF(AND(B1208&gt;=_TM1,B1208&lt;=_TM2,OR(TH!L1208="1111",TH!M1208="1111")),TH!D1208,""),"")</f>
        <v/>
      </c>
      <c r="B1208" s="36">
        <f t="shared" si="439"/>
        <v>6</v>
      </c>
      <c r="C1208" s="191">
        <f t="shared" si="437"/>
        <v>41433</v>
      </c>
      <c r="D1208" s="191" t="s">
        <v>1292</v>
      </c>
      <c r="E1208" s="37">
        <v>41433</v>
      </c>
      <c r="F1208" s="40" t="s">
        <v>1239</v>
      </c>
      <c r="G1208" s="40" t="s">
        <v>850</v>
      </c>
      <c r="H1208" s="7" t="s">
        <v>1284</v>
      </c>
      <c r="I1208" s="256">
        <v>222</v>
      </c>
      <c r="J1208" s="256">
        <v>13619</v>
      </c>
      <c r="K1208" s="602">
        <f t="shared" si="438"/>
        <v>3023418</v>
      </c>
      <c r="L1208" s="39" t="s">
        <v>165</v>
      </c>
      <c r="M1208" s="603" t="s">
        <v>159</v>
      </c>
      <c r="N1208" s="39" t="str">
        <f>IF(AND('331-CT'!$E$7=TH!H1208,OR(L1208="331",M1208="331")),"331",IF(AND(OR(L1208="131",M1208="131"),H1208='131-CT'!$E$7),"131",""))</f>
        <v/>
      </c>
      <c r="O1208" s="39" t="str">
        <f>IF(AND($B1208&gt;='111'!$N$11,$B1208&lt;='111'!$O$11,OR($L1208=$O$7,$M1208=$O$7)),"x","")</f>
        <v/>
      </c>
      <c r="P1208" s="39" t="str">
        <f>IF(AND($L1208=$O$7,$B1208&lt;'111'!$N$11),"x","")</f>
        <v/>
      </c>
      <c r="Q1208" s="39" t="str">
        <f>IF(AND($M1208=$O$7,$B1208&lt;'111'!$N$11),"x","")</f>
        <v/>
      </c>
      <c r="R1208" s="39" t="str">
        <f>IF(ISERROR(FIND('112'!$M$9,G1208,1)),"",IF((AND(FIND('112'!$M$9,G1208,1)&gt;=1,$B1208&gt;='112'!$N$8,$B1208&lt;='112'!$O$8,OR($L1208='112'!$I$6,$M1208='112'!$I$6))),"x",""))</f>
        <v/>
      </c>
      <c r="S1208" s="39" t="str">
        <f>IF(ISERROR(FIND('112'!$M$9,G1208,1)),"",IF((AND(LEFT(G1208,2)=LEFT('112'!$M$9,2),B1208&lt;'112'!$N$8,$L1208='112'!$I$6)),"x",""))</f>
        <v/>
      </c>
      <c r="T1208" s="39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>154</v>
      </c>
      <c r="V1208" s="39" t="str">
        <f>IF(OR(TH!L1208=TH!$V$7,M1208=TH!$V$7),"x","")</f>
        <v/>
      </c>
      <c r="W1208" s="39" t="str">
        <f>IF(AND(B1208&gt;='IN-NX'!$P$3,B1208&lt;='IN-NX'!$Q$3,'IN-NX'!$D$7=D1208,OR(LEFT(L1208,2)="15",AND(LEFT(M1208,2)&lt;&gt;"15",LEFT(M1208,2)&lt;&gt;"33"))),"x","")</f>
        <v/>
      </c>
      <c r="X1208" s="39" t="str">
        <f>IF(AND(OR(LEFT(TH!L1208,2)="15",LEFT(TH!M1208,2)="15"),'152-CT'!$J$8=TH!F1208),"x","")</f>
        <v/>
      </c>
      <c r="Y1208" s="39" t="str">
        <f>IF(AND(OR(LEFT(TH!L1208,2)="15",LEFT(TH!M1208,2)="15"),TK!$E$7=TH!F1208),"x","")</f>
        <v/>
      </c>
      <c r="Z1208" s="39" t="str">
        <f>IF(AND(B1208&lt;=NKC!$N$8,B1208&gt;=NKC!$M$8),"x","")</f>
        <v/>
      </c>
      <c r="AA1208" s="883"/>
    </row>
    <row r="1209" spans="1:27" s="211" customFormat="1" ht="15.75" customHeight="1">
      <c r="A1209" s="204" t="str">
        <f>IF(B1209&lt;&gt;"",IF(AND(B1209&gt;=_TM1,B1209&lt;=_TM2,OR(TH!L1209="1111",TH!M1209="1111")),TH!D1209,""),"")</f>
        <v/>
      </c>
      <c r="B1209" s="36">
        <f t="shared" si="439"/>
        <v>6</v>
      </c>
      <c r="C1209" s="191">
        <f t="shared" si="437"/>
        <v>41440</v>
      </c>
      <c r="D1209" s="191" t="s">
        <v>1292</v>
      </c>
      <c r="E1209" s="37">
        <v>41440</v>
      </c>
      <c r="F1209" s="40" t="s">
        <v>1247</v>
      </c>
      <c r="G1209" s="40" t="s">
        <v>852</v>
      </c>
      <c r="H1209" s="7" t="s">
        <v>1284</v>
      </c>
      <c r="I1209" s="256">
        <v>247</v>
      </c>
      <c r="J1209" s="256">
        <v>32321.481412639405</v>
      </c>
      <c r="K1209" s="602">
        <f t="shared" si="438"/>
        <v>7983406</v>
      </c>
      <c r="L1209" s="39" t="s">
        <v>165</v>
      </c>
      <c r="M1209" s="603" t="s">
        <v>159</v>
      </c>
      <c r="N1209" s="39" t="str">
        <f>IF(AND('331-CT'!$E$7=TH!H1209,OR(L1209="331",M1209="331")),"331",IF(AND(OR(L1209="131",M1209="131"),H1209='131-CT'!$E$7),"131",""))</f>
        <v/>
      </c>
      <c r="O1209" s="39" t="str">
        <f>IF(AND($B1209&gt;='111'!$N$11,$B1209&lt;='111'!$O$11,OR($L1209=$O$7,$M1209=$O$7)),"x","")</f>
        <v/>
      </c>
      <c r="P1209" s="39" t="str">
        <f>IF(AND($L1209=$O$7,$B1209&lt;'111'!$N$11),"x","")</f>
        <v/>
      </c>
      <c r="Q1209" s="39" t="str">
        <f>IF(AND($M1209=$O$7,$B1209&lt;'111'!$N$11),"x","")</f>
        <v/>
      </c>
      <c r="R1209" s="39" t="str">
        <f>IF(ISERROR(FIND('112'!$M$9,G1209,1)),"",IF((AND(FIND('112'!$M$9,G1209,1)&gt;=1,$B1209&gt;='112'!$N$8,$B1209&lt;='112'!$O$8,OR($L1209='112'!$I$6,$M1209='112'!$I$6))),"x",""))</f>
        <v/>
      </c>
      <c r="S1209" s="39" t="str">
        <f>IF(ISERROR(FIND('112'!$M$9,G1209,1)),"",IF((AND(LEFT(G1209,2)=LEFT('112'!$M$9,2),B1209&lt;'112'!$N$8,$L1209='112'!$I$6)),"x",""))</f>
        <v/>
      </c>
      <c r="T1209" s="39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>154</v>
      </c>
      <c r="V1209" s="39" t="str">
        <f>IF(OR(TH!L1209=TH!$V$7,M1209=TH!$V$7),"x","")</f>
        <v/>
      </c>
      <c r="W1209" s="39" t="str">
        <f>IF(AND(B1209&gt;='IN-NX'!$P$3,B1209&lt;='IN-NX'!$Q$3,'IN-NX'!$D$7=D1209,OR(LEFT(L1209,2)="15",AND(LEFT(M1209,2)&lt;&gt;"15",LEFT(M1209,2)&lt;&gt;"33"))),"x","")</f>
        <v/>
      </c>
      <c r="X1209" s="39" t="str">
        <f>IF(AND(OR(LEFT(TH!L1209,2)="15",LEFT(TH!M1209,2)="15"),'152-CT'!$J$8=TH!F1209),"x","")</f>
        <v/>
      </c>
      <c r="Y1209" s="39" t="str">
        <f>IF(AND(OR(LEFT(TH!L1209,2)="15",LEFT(TH!M1209,2)="15"),TK!$E$7=TH!F1209),"x","")</f>
        <v/>
      </c>
      <c r="Z1209" s="39" t="str">
        <f>IF(AND(B1209&lt;=NKC!$N$8,B1209&gt;=NKC!$M$8),"x","")</f>
        <v/>
      </c>
      <c r="AA1209" s="883"/>
    </row>
    <row r="1210" spans="1:27" s="211" customFormat="1" ht="15.75" customHeight="1">
      <c r="A1210" s="204" t="str">
        <f>IF(B1210&lt;&gt;"",IF(AND(B1210&gt;=_TM1,B1210&lt;=_TM2,OR(TH!L1210="1111",TH!M1210="1111")),TH!D1210,""),"")</f>
        <v/>
      </c>
      <c r="B1210" s="36">
        <f t="shared" si="439"/>
        <v>6</v>
      </c>
      <c r="C1210" s="191">
        <f t="shared" si="437"/>
        <v>41441</v>
      </c>
      <c r="D1210" s="191" t="s">
        <v>1292</v>
      </c>
      <c r="E1210" s="37">
        <v>41441</v>
      </c>
      <c r="F1210" s="40" t="s">
        <v>1252</v>
      </c>
      <c r="G1210" s="40" t="s">
        <v>853</v>
      </c>
      <c r="H1210" s="7" t="s">
        <v>1284</v>
      </c>
      <c r="I1210" s="256">
        <v>402</v>
      </c>
      <c r="J1210" s="256">
        <v>23149</v>
      </c>
      <c r="K1210" s="602">
        <f t="shared" si="438"/>
        <v>9305898</v>
      </c>
      <c r="L1210" s="39" t="s">
        <v>165</v>
      </c>
      <c r="M1210" s="603" t="s">
        <v>159</v>
      </c>
      <c r="N1210" s="39" t="str">
        <f>IF(AND('331-CT'!$E$7=TH!H1210,OR(L1210="331",M1210="331")),"331",IF(AND(OR(L1210="131",M1210="131"),H1210='131-CT'!$E$7),"131",""))</f>
        <v/>
      </c>
      <c r="O1210" s="39" t="str">
        <f>IF(AND($B1210&gt;='111'!$N$11,$B1210&lt;='111'!$O$11,OR($L1210=$O$7,$M1210=$O$7)),"x","")</f>
        <v/>
      </c>
      <c r="P1210" s="39" t="str">
        <f>IF(AND($L1210=$O$7,$B1210&lt;'111'!$N$11),"x","")</f>
        <v/>
      </c>
      <c r="Q1210" s="39" t="str">
        <f>IF(AND($M1210=$O$7,$B1210&lt;'111'!$N$11),"x","")</f>
        <v/>
      </c>
      <c r="R1210" s="39" t="str">
        <f>IF(ISERROR(FIND('112'!$M$9,G1210,1)),"",IF((AND(FIND('112'!$M$9,G1210,1)&gt;=1,$B1210&gt;='112'!$N$8,$B1210&lt;='112'!$O$8,OR($L1210='112'!$I$6,$M1210='112'!$I$6))),"x",""))</f>
        <v/>
      </c>
      <c r="S1210" s="39" t="str">
        <f>IF(ISERROR(FIND('112'!$M$9,G1210,1)),"",IF((AND(LEFT(G1210,2)=LEFT('112'!$M$9,2),B1210&lt;'112'!$N$8,$L1210='112'!$I$6)),"x",""))</f>
        <v/>
      </c>
      <c r="T1210" s="39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>154</v>
      </c>
      <c r="V1210" s="39" t="str">
        <f>IF(OR(TH!L1210=TH!$V$7,M1210=TH!$V$7),"x","")</f>
        <v/>
      </c>
      <c r="W1210" s="39" t="str">
        <f>IF(AND(B1210&gt;='IN-NX'!$P$3,B1210&lt;='IN-NX'!$Q$3,'IN-NX'!$D$7=D1210,OR(LEFT(L1210,2)="15",AND(LEFT(M1210,2)&lt;&gt;"15",LEFT(M1210,2)&lt;&gt;"33"))),"x","")</f>
        <v/>
      </c>
      <c r="X1210" s="39" t="str">
        <f>IF(AND(OR(LEFT(TH!L1210,2)="15",LEFT(TH!M1210,2)="15"),'152-CT'!$J$8=TH!F1210),"x","")</f>
        <v/>
      </c>
      <c r="Y1210" s="39" t="str">
        <f>IF(AND(OR(LEFT(TH!L1210,2)="15",LEFT(TH!M1210,2)="15"),TK!$E$7=TH!F1210),"x","")</f>
        <v/>
      </c>
      <c r="Z1210" s="39" t="str">
        <f>IF(AND(B1210&lt;=NKC!$N$8,B1210&gt;=NKC!$M$8),"x","")</f>
        <v/>
      </c>
      <c r="AA1210" s="883"/>
    </row>
    <row r="1211" spans="1:27" s="211" customFormat="1" ht="15.75" customHeight="1">
      <c r="A1211" s="204" t="str">
        <f>IF(B1211&lt;&gt;"",IF(AND(B1211&gt;=_TM1,B1211&lt;=_TM2,OR(TH!L1211="1111",TH!M1211="1111")),TH!D1211,""),"")</f>
        <v/>
      </c>
      <c r="B1211" s="36">
        <f t="shared" si="439"/>
        <v>6</v>
      </c>
      <c r="C1211" s="191">
        <f t="shared" si="437"/>
        <v>41442</v>
      </c>
      <c r="D1211" s="191" t="s">
        <v>1292</v>
      </c>
      <c r="E1211" s="37">
        <v>41442</v>
      </c>
      <c r="F1211" s="192" t="s">
        <v>1247</v>
      </c>
      <c r="G1211" s="40" t="s">
        <v>854</v>
      </c>
      <c r="H1211" s="7" t="s">
        <v>1284</v>
      </c>
      <c r="I1211" s="256">
        <v>248</v>
      </c>
      <c r="J1211" s="256">
        <v>32321.481412639405</v>
      </c>
      <c r="K1211" s="602">
        <f t="shared" si="438"/>
        <v>8015727</v>
      </c>
      <c r="L1211" s="39" t="s">
        <v>165</v>
      </c>
      <c r="M1211" s="603" t="s">
        <v>159</v>
      </c>
      <c r="N1211" s="39" t="str">
        <f>IF(AND('331-CT'!$E$7=TH!H1211,OR(L1211="331",M1211="331")),"331",IF(AND(OR(L1211="131",M1211="131"),H1211='131-CT'!$E$7),"131",""))</f>
        <v/>
      </c>
      <c r="O1211" s="39" t="str">
        <f>IF(AND($B1211&gt;='111'!$N$11,$B1211&lt;='111'!$O$11,OR($L1211=$O$7,$M1211=$O$7)),"x","")</f>
        <v/>
      </c>
      <c r="P1211" s="39" t="str">
        <f>IF(AND($L1211=$O$7,$B1211&lt;'111'!$N$11),"x","")</f>
        <v/>
      </c>
      <c r="Q1211" s="39" t="str">
        <f>IF(AND($M1211=$O$7,$B1211&lt;'111'!$N$11),"x","")</f>
        <v/>
      </c>
      <c r="R1211" s="39" t="str">
        <f>IF(ISERROR(FIND('112'!$M$9,G1211,1)),"",IF((AND(FIND('112'!$M$9,G1211,1)&gt;=1,$B1211&gt;='112'!$N$8,$B1211&lt;='112'!$O$8,OR($L1211='112'!$I$6,$M1211='112'!$I$6))),"x",""))</f>
        <v/>
      </c>
      <c r="S1211" s="39" t="str">
        <f>IF(ISERROR(FIND('112'!$M$9,G1211,1)),"",IF((AND(LEFT(G1211,2)=LEFT('112'!$M$9,2),B1211&lt;'112'!$N$8,$L1211='112'!$I$6)),"x",""))</f>
        <v/>
      </c>
      <c r="T1211" s="39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>154</v>
      </c>
      <c r="V1211" s="39" t="str">
        <f>IF(OR(TH!L1211=TH!$V$7,M1211=TH!$V$7),"x","")</f>
        <v/>
      </c>
      <c r="W1211" s="39" t="str">
        <f>IF(AND(B1211&gt;='IN-NX'!$P$3,B1211&lt;='IN-NX'!$Q$3,'IN-NX'!$D$7=D1211,OR(LEFT(L1211,2)="15",AND(LEFT(M1211,2)&lt;&gt;"15",LEFT(M1211,2)&lt;&gt;"33"))),"x","")</f>
        <v/>
      </c>
      <c r="X1211" s="39" t="str">
        <f>IF(AND(OR(LEFT(TH!L1211,2)="15",LEFT(TH!M1211,2)="15"),'152-CT'!$J$8=TH!F1211),"x","")</f>
        <v/>
      </c>
      <c r="Y1211" s="39" t="str">
        <f>IF(AND(OR(LEFT(TH!L1211,2)="15",LEFT(TH!M1211,2)="15"),TK!$E$7=TH!F1211),"x","")</f>
        <v/>
      </c>
      <c r="Z1211" s="39" t="str">
        <f>IF(AND(B1211&lt;=NKC!$N$8,B1211&gt;=NKC!$M$8),"x","")</f>
        <v/>
      </c>
      <c r="AA1211" s="883"/>
    </row>
    <row r="1212" spans="1:27" s="211" customFormat="1" ht="15.75" customHeight="1">
      <c r="A1212" s="204" t="str">
        <f>IF(B1212&lt;&gt;"",IF(AND(B1212&gt;=_TM1,B1212&lt;=_TM2,OR(TH!L1212="1111",TH!M1212="1111")),TH!D1212,""),"")</f>
        <v/>
      </c>
      <c r="B1212" s="36">
        <f t="shared" si="439"/>
        <v>6</v>
      </c>
      <c r="C1212" s="191">
        <f t="shared" si="437"/>
        <v>41442</v>
      </c>
      <c r="D1212" s="191" t="s">
        <v>1292</v>
      </c>
      <c r="E1212" s="37">
        <v>41442</v>
      </c>
      <c r="F1212" s="192" t="s">
        <v>1221</v>
      </c>
      <c r="G1212" s="40" t="s">
        <v>854</v>
      </c>
      <c r="H1212" s="7" t="s">
        <v>1284</v>
      </c>
      <c r="I1212" s="256">
        <v>46</v>
      </c>
      <c r="J1212" s="256">
        <v>17574</v>
      </c>
      <c r="K1212" s="602">
        <f t="shared" si="438"/>
        <v>808404</v>
      </c>
      <c r="L1212" s="39" t="s">
        <v>165</v>
      </c>
      <c r="M1212" s="603" t="s">
        <v>159</v>
      </c>
      <c r="N1212" s="39" t="str">
        <f>IF(AND('331-CT'!$E$7=TH!H1212,OR(L1212="331",M1212="331")),"331",IF(AND(OR(L1212="131",M1212="131"),H1212='131-CT'!$E$7),"131",""))</f>
        <v/>
      </c>
      <c r="O1212" s="39" t="str">
        <f>IF(AND($B1212&gt;='111'!$N$11,$B1212&lt;='111'!$O$11,OR($L1212=$O$7,$M1212=$O$7)),"x","")</f>
        <v/>
      </c>
      <c r="P1212" s="39" t="str">
        <f>IF(AND($L1212=$O$7,$B1212&lt;'111'!$N$11),"x","")</f>
        <v/>
      </c>
      <c r="Q1212" s="39" t="str">
        <f>IF(AND($M1212=$O$7,$B1212&lt;'111'!$N$11),"x","")</f>
        <v/>
      </c>
      <c r="R1212" s="39" t="str">
        <f>IF(ISERROR(FIND('112'!$M$9,G1212,1)),"",IF((AND(FIND('112'!$M$9,G1212,1)&gt;=1,$B1212&gt;='112'!$N$8,$B1212&lt;='112'!$O$8,OR($L1212='112'!$I$6,$M1212='112'!$I$6))),"x",""))</f>
        <v/>
      </c>
      <c r="S1212" s="39" t="str">
        <f>IF(ISERROR(FIND('112'!$M$9,G1212,1)),"",IF((AND(LEFT(G1212,2)=LEFT('112'!$M$9,2),B1212&lt;'112'!$N$8,$L1212='112'!$I$6)),"x",""))</f>
        <v/>
      </c>
      <c r="T1212" s="39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>154</v>
      </c>
      <c r="V1212" s="39" t="str">
        <f>IF(OR(TH!L1212=TH!$V$7,M1212=TH!$V$7),"x","")</f>
        <v/>
      </c>
      <c r="W1212" s="39" t="str">
        <f>IF(AND(B1212&gt;='IN-NX'!$P$3,B1212&lt;='IN-NX'!$Q$3,'IN-NX'!$D$7=D1212,OR(LEFT(L1212,2)="15",AND(LEFT(M1212,2)&lt;&gt;"15",LEFT(M1212,2)&lt;&gt;"33"))),"x","")</f>
        <v/>
      </c>
      <c r="X1212" s="39" t="str">
        <f>IF(AND(OR(LEFT(TH!L1212,2)="15",LEFT(TH!M1212,2)="15"),'152-CT'!$J$8=TH!F1212),"x","")</f>
        <v/>
      </c>
      <c r="Y1212" s="39" t="str">
        <f>IF(AND(OR(LEFT(TH!L1212,2)="15",LEFT(TH!M1212,2)="15"),TK!$E$7=TH!F1212),"x","")</f>
        <v/>
      </c>
      <c r="Z1212" s="39" t="str">
        <f>IF(AND(B1212&lt;=NKC!$N$8,B1212&gt;=NKC!$M$8),"x","")</f>
        <v/>
      </c>
      <c r="AA1212" s="883"/>
    </row>
    <row r="1213" spans="1:27" s="211" customFormat="1" ht="15.75" customHeight="1">
      <c r="A1213" s="204" t="str">
        <f>IF(B1213&lt;&gt;"",IF(AND(B1213&gt;=_TM1,B1213&lt;=_TM2,OR(TH!L1213="1111",TH!M1213="1111")),TH!D1213,""),"")</f>
        <v/>
      </c>
      <c r="B1213" s="36">
        <f t="shared" si="439"/>
        <v>6</v>
      </c>
      <c r="C1213" s="191">
        <f t="shared" si="437"/>
        <v>41442</v>
      </c>
      <c r="D1213" s="191" t="s">
        <v>1292</v>
      </c>
      <c r="E1213" s="37">
        <v>41442</v>
      </c>
      <c r="F1213" s="192" t="s">
        <v>1182</v>
      </c>
      <c r="G1213" s="40" t="s">
        <v>855</v>
      </c>
      <c r="H1213" s="7" t="s">
        <v>1284</v>
      </c>
      <c r="I1213" s="256">
        <v>120</v>
      </c>
      <c r="J1213" s="256">
        <v>10287</v>
      </c>
      <c r="K1213" s="602">
        <f t="shared" si="438"/>
        <v>1234440</v>
      </c>
      <c r="L1213" s="39" t="s">
        <v>165</v>
      </c>
      <c r="M1213" s="603" t="s">
        <v>159</v>
      </c>
      <c r="N1213" s="39" t="str">
        <f>IF(AND('331-CT'!$E$7=TH!H1213,OR(L1213="331",M1213="331")),"331",IF(AND(OR(L1213="131",M1213="131"),H1213='131-CT'!$E$7),"131",""))</f>
        <v/>
      </c>
      <c r="O1213" s="39" t="str">
        <f>IF(AND($B1213&gt;='111'!$N$11,$B1213&lt;='111'!$O$11,OR($L1213=$O$7,$M1213=$O$7)),"x","")</f>
        <v/>
      </c>
      <c r="P1213" s="39" t="str">
        <f>IF(AND($L1213=$O$7,$B1213&lt;'111'!$N$11),"x","")</f>
        <v/>
      </c>
      <c r="Q1213" s="39" t="str">
        <f>IF(AND($M1213=$O$7,$B1213&lt;'111'!$N$11),"x","")</f>
        <v/>
      </c>
      <c r="R1213" s="39" t="str">
        <f>IF(ISERROR(FIND('112'!$M$9,G1213,1)),"",IF((AND(FIND('112'!$M$9,G1213,1)&gt;=1,$B1213&gt;='112'!$N$8,$B1213&lt;='112'!$O$8,OR($L1213='112'!$I$6,$M1213='112'!$I$6))),"x",""))</f>
        <v/>
      </c>
      <c r="S1213" s="39" t="str">
        <f>IF(ISERROR(FIND('112'!$M$9,G1213,1)),"",IF((AND(LEFT(G1213,2)=LEFT('112'!$M$9,2),B1213&lt;'112'!$N$8,$L1213='112'!$I$6)),"x",""))</f>
        <v/>
      </c>
      <c r="T1213" s="39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>154</v>
      </c>
      <c r="V1213" s="39" t="str">
        <f>IF(OR(TH!L1213=TH!$V$7,M1213=TH!$V$7),"x","")</f>
        <v/>
      </c>
      <c r="W1213" s="39" t="str">
        <f>IF(AND(B1213&gt;='IN-NX'!$P$3,B1213&lt;='IN-NX'!$Q$3,'IN-NX'!$D$7=D1213,OR(LEFT(L1213,2)="15",AND(LEFT(M1213,2)&lt;&gt;"15",LEFT(M1213,2)&lt;&gt;"33"))),"x","")</f>
        <v/>
      </c>
      <c r="X1213" s="39" t="str">
        <f>IF(AND(OR(LEFT(TH!L1213,2)="15",LEFT(TH!M1213,2)="15"),'152-CT'!$J$8=TH!F1213),"x","")</f>
        <v/>
      </c>
      <c r="Y1213" s="39" t="str">
        <f>IF(AND(OR(LEFT(TH!L1213,2)="15",LEFT(TH!M1213,2)="15"),TK!$E$7=TH!F1213),"x","")</f>
        <v/>
      </c>
      <c r="Z1213" s="39" t="str">
        <f>IF(AND(B1213&lt;=NKC!$N$8,B1213&gt;=NKC!$M$8),"x","")</f>
        <v/>
      </c>
      <c r="AA1213" s="883"/>
    </row>
    <row r="1214" spans="1:27" s="211" customFormat="1" ht="15.75" customHeight="1">
      <c r="A1214" s="204" t="str">
        <f>IF(B1214&lt;&gt;"",IF(AND(B1214&gt;=_TM1,B1214&lt;=_TM2,OR(TH!L1214="1111",TH!M1214="1111")),TH!D1214,""),"")</f>
        <v/>
      </c>
      <c r="B1214" s="36">
        <f t="shared" si="439"/>
        <v>6</v>
      </c>
      <c r="C1214" s="191">
        <f t="shared" si="437"/>
        <v>41442</v>
      </c>
      <c r="D1214" s="191" t="s">
        <v>1292</v>
      </c>
      <c r="E1214" s="37">
        <v>41442</v>
      </c>
      <c r="F1214" s="40" t="s">
        <v>1191</v>
      </c>
      <c r="G1214" s="40" t="s">
        <v>855</v>
      </c>
      <c r="H1214" s="7" t="s">
        <v>1284</v>
      </c>
      <c r="I1214" s="256">
        <v>200</v>
      </c>
      <c r="J1214" s="256">
        <v>12563</v>
      </c>
      <c r="K1214" s="602">
        <f t="shared" si="438"/>
        <v>2512600</v>
      </c>
      <c r="L1214" s="39" t="s">
        <v>165</v>
      </c>
      <c r="M1214" s="603" t="s">
        <v>159</v>
      </c>
      <c r="N1214" s="39" t="str">
        <f>IF(AND('331-CT'!$E$7=TH!H1214,OR(L1214="331",M1214="331")),"331",IF(AND(OR(L1214="131",M1214="131"),H1214='131-CT'!$E$7),"131",""))</f>
        <v/>
      </c>
      <c r="O1214" s="39" t="str">
        <f>IF(AND($B1214&gt;='111'!$N$11,$B1214&lt;='111'!$O$11,OR($L1214=$O$7,$M1214=$O$7)),"x","")</f>
        <v/>
      </c>
      <c r="P1214" s="39" t="str">
        <f>IF(AND($L1214=$O$7,$B1214&lt;'111'!$N$11),"x","")</f>
        <v/>
      </c>
      <c r="Q1214" s="39" t="str">
        <f>IF(AND($M1214=$O$7,$B1214&lt;'111'!$N$11),"x","")</f>
        <v/>
      </c>
      <c r="R1214" s="39" t="str">
        <f>IF(ISERROR(FIND('112'!$M$9,G1214,1)),"",IF((AND(FIND('112'!$M$9,G1214,1)&gt;=1,$B1214&gt;='112'!$N$8,$B1214&lt;='112'!$O$8,OR($L1214='112'!$I$6,$M1214='112'!$I$6))),"x",""))</f>
        <v/>
      </c>
      <c r="S1214" s="39" t="str">
        <f>IF(ISERROR(FIND('112'!$M$9,G1214,1)),"",IF((AND(LEFT(G1214,2)=LEFT('112'!$M$9,2),B1214&lt;'112'!$N$8,$L1214='112'!$I$6)),"x",""))</f>
        <v/>
      </c>
      <c r="T1214" s="39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>154</v>
      </c>
      <c r="V1214" s="39" t="str">
        <f>IF(OR(TH!L1214=TH!$V$7,M1214=TH!$V$7),"x","")</f>
        <v/>
      </c>
      <c r="W1214" s="39" t="str">
        <f>IF(AND(B1214&gt;='IN-NX'!$P$3,B1214&lt;='IN-NX'!$Q$3,'IN-NX'!$D$7=D1214,OR(LEFT(L1214,2)="15",AND(LEFT(M1214,2)&lt;&gt;"15",LEFT(M1214,2)&lt;&gt;"33"))),"x","")</f>
        <v/>
      </c>
      <c r="X1214" s="39" t="str">
        <f>IF(AND(OR(LEFT(TH!L1214,2)="15",LEFT(TH!M1214,2)="15"),'152-CT'!$J$8=TH!F1214),"x","")</f>
        <v/>
      </c>
      <c r="Y1214" s="39" t="str">
        <f>IF(AND(OR(LEFT(TH!L1214,2)="15",LEFT(TH!M1214,2)="15"),TK!$E$7=TH!F1214),"x","")</f>
        <v/>
      </c>
      <c r="Z1214" s="39" t="str">
        <f>IF(AND(B1214&lt;=NKC!$N$8,B1214&gt;=NKC!$M$8),"x","")</f>
        <v/>
      </c>
      <c r="AA1214" s="883"/>
    </row>
    <row r="1215" spans="1:27" s="211" customFormat="1" ht="15.75" customHeight="1">
      <c r="A1215" s="204" t="str">
        <f>IF(B1215&lt;&gt;"",IF(AND(B1215&gt;=_TM1,B1215&lt;=_TM2,OR(TH!L1215="1111",TH!M1215="1111")),TH!D1215,""),"")</f>
        <v/>
      </c>
      <c r="B1215" s="36">
        <f t="shared" si="439"/>
        <v>6</v>
      </c>
      <c r="C1215" s="191">
        <f t="shared" si="437"/>
        <v>41442</v>
      </c>
      <c r="D1215" s="191" t="s">
        <v>1292</v>
      </c>
      <c r="E1215" s="37">
        <v>41442</v>
      </c>
      <c r="F1215" s="40" t="s">
        <v>1254</v>
      </c>
      <c r="G1215" s="40" t="s">
        <v>856</v>
      </c>
      <c r="H1215" s="7" t="s">
        <v>1284</v>
      </c>
      <c r="I1215" s="256">
        <v>112</v>
      </c>
      <c r="J1215" s="256">
        <v>18818</v>
      </c>
      <c r="K1215" s="602">
        <f t="shared" si="438"/>
        <v>2107616</v>
      </c>
      <c r="L1215" s="39" t="s">
        <v>165</v>
      </c>
      <c r="M1215" s="603" t="s">
        <v>159</v>
      </c>
      <c r="N1215" s="39" t="str">
        <f>IF(AND('331-CT'!$E$7=TH!H1215,OR(L1215="331",M1215="331")),"331",IF(AND(OR(L1215="131",M1215="131"),H1215='131-CT'!$E$7),"131",""))</f>
        <v/>
      </c>
      <c r="O1215" s="39" t="str">
        <f>IF(AND($B1215&gt;='111'!$N$11,$B1215&lt;='111'!$O$11,OR($L1215=$O$7,$M1215=$O$7)),"x","")</f>
        <v/>
      </c>
      <c r="P1215" s="39" t="str">
        <f>IF(AND($L1215=$O$7,$B1215&lt;'111'!$N$11),"x","")</f>
        <v/>
      </c>
      <c r="Q1215" s="39" t="str">
        <f>IF(AND($M1215=$O$7,$B1215&lt;'111'!$N$11),"x","")</f>
        <v/>
      </c>
      <c r="R1215" s="39" t="str">
        <f>IF(ISERROR(FIND('112'!$M$9,G1215,1)),"",IF((AND(FIND('112'!$M$9,G1215,1)&gt;=1,$B1215&gt;='112'!$N$8,$B1215&lt;='112'!$O$8,OR($L1215='112'!$I$6,$M1215='112'!$I$6))),"x",""))</f>
        <v/>
      </c>
      <c r="S1215" s="39" t="str">
        <f>IF(ISERROR(FIND('112'!$M$9,G1215,1)),"",IF((AND(LEFT(G1215,2)=LEFT('112'!$M$9,2),B1215&lt;'112'!$N$8,$L1215='112'!$I$6)),"x",""))</f>
        <v/>
      </c>
      <c r="T1215" s="39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>154</v>
      </c>
      <c r="V1215" s="39" t="str">
        <f>IF(OR(TH!L1215=TH!$V$7,M1215=TH!$V$7),"x","")</f>
        <v/>
      </c>
      <c r="W1215" s="39" t="str">
        <f>IF(AND(B1215&gt;='IN-NX'!$P$3,B1215&lt;='IN-NX'!$Q$3,'IN-NX'!$D$7=D1215,OR(LEFT(L1215,2)="15",AND(LEFT(M1215,2)&lt;&gt;"15",LEFT(M1215,2)&lt;&gt;"33"))),"x","")</f>
        <v/>
      </c>
      <c r="X1215" s="39" t="str">
        <f>IF(AND(OR(LEFT(TH!L1215,2)="15",LEFT(TH!M1215,2)="15"),'152-CT'!$J$8=TH!F1215),"x","")</f>
        <v/>
      </c>
      <c r="Y1215" s="39" t="str">
        <f>IF(AND(OR(LEFT(TH!L1215,2)="15",LEFT(TH!M1215,2)="15"),TK!$E$7=TH!F1215),"x","")</f>
        <v/>
      </c>
      <c r="Z1215" s="39" t="str">
        <f>IF(AND(B1215&lt;=NKC!$N$8,B1215&gt;=NKC!$M$8),"x","")</f>
        <v/>
      </c>
      <c r="AA1215" s="883"/>
    </row>
    <row r="1216" spans="1:27" s="211" customFormat="1" ht="15.75" customHeight="1">
      <c r="A1216" s="204" t="str">
        <f>IF(B1216&lt;&gt;"",IF(AND(B1216&gt;=_TM1,B1216&lt;=_TM2,OR(TH!L1216="1111",TH!M1216="1111")),TH!D1216,""),"")</f>
        <v/>
      </c>
      <c r="B1216" s="36">
        <f t="shared" si="439"/>
        <v>6</v>
      </c>
      <c r="C1216" s="191">
        <f t="shared" si="437"/>
        <v>41442</v>
      </c>
      <c r="D1216" s="191" t="s">
        <v>1292</v>
      </c>
      <c r="E1216" s="37">
        <v>41442</v>
      </c>
      <c r="F1216" s="40" t="s">
        <v>1271</v>
      </c>
      <c r="G1216" s="40" t="s">
        <v>856</v>
      </c>
      <c r="H1216" s="7" t="s">
        <v>1284</v>
      </c>
      <c r="I1216" s="256">
        <v>52</v>
      </c>
      <c r="J1216" s="256">
        <v>22853</v>
      </c>
      <c r="K1216" s="602">
        <f t="shared" si="438"/>
        <v>1188356</v>
      </c>
      <c r="L1216" s="39" t="s">
        <v>165</v>
      </c>
      <c r="M1216" s="603" t="s">
        <v>159</v>
      </c>
      <c r="N1216" s="39" t="str">
        <f>IF(AND('331-CT'!$E$7=TH!H1216,OR(L1216="331",M1216="331")),"331",IF(AND(OR(L1216="131",M1216="131"),H1216='131-CT'!$E$7),"131",""))</f>
        <v/>
      </c>
      <c r="O1216" s="39" t="str">
        <f>IF(AND($B1216&gt;='111'!$N$11,$B1216&lt;='111'!$O$11,OR($L1216=$O$7,$M1216=$O$7)),"x","")</f>
        <v/>
      </c>
      <c r="P1216" s="39" t="str">
        <f>IF(AND($L1216=$O$7,$B1216&lt;'111'!$N$11),"x","")</f>
        <v/>
      </c>
      <c r="Q1216" s="39" t="str">
        <f>IF(AND($M1216=$O$7,$B1216&lt;'111'!$N$11),"x","")</f>
        <v/>
      </c>
      <c r="R1216" s="39" t="str">
        <f>IF(ISERROR(FIND('112'!$M$9,G1216,1)),"",IF((AND(FIND('112'!$M$9,G1216,1)&gt;=1,$B1216&gt;='112'!$N$8,$B1216&lt;='112'!$O$8,OR($L1216='112'!$I$6,$M1216='112'!$I$6))),"x",""))</f>
        <v/>
      </c>
      <c r="S1216" s="39" t="str">
        <f>IF(ISERROR(FIND('112'!$M$9,G1216,1)),"",IF((AND(LEFT(G1216,2)=LEFT('112'!$M$9,2),B1216&lt;'112'!$N$8,$L1216='112'!$I$6)),"x",""))</f>
        <v/>
      </c>
      <c r="T1216" s="39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>154</v>
      </c>
      <c r="V1216" s="39" t="str">
        <f>IF(OR(TH!L1216=TH!$V$7,M1216=TH!$V$7),"x","")</f>
        <v/>
      </c>
      <c r="W1216" s="39" t="str">
        <f>IF(AND(B1216&gt;='IN-NX'!$P$3,B1216&lt;='IN-NX'!$Q$3,'IN-NX'!$D$7=D1216,OR(LEFT(L1216,2)="15",AND(LEFT(M1216,2)&lt;&gt;"15",LEFT(M1216,2)&lt;&gt;"33"))),"x","")</f>
        <v/>
      </c>
      <c r="X1216" s="39" t="str">
        <f>IF(AND(OR(LEFT(TH!L1216,2)="15",LEFT(TH!M1216,2)="15"),'152-CT'!$J$8=TH!F1216),"x","")</f>
        <v/>
      </c>
      <c r="Y1216" s="39" t="str">
        <f>IF(AND(OR(LEFT(TH!L1216,2)="15",LEFT(TH!M1216,2)="15"),TK!$E$7=TH!F1216),"x","")</f>
        <v/>
      </c>
      <c r="Z1216" s="39" t="str">
        <f>IF(AND(B1216&lt;=NKC!$N$8,B1216&gt;=NKC!$M$8),"x","")</f>
        <v/>
      </c>
      <c r="AA1216" s="883"/>
    </row>
    <row r="1217" spans="1:27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439"/>
        <v>6</v>
      </c>
      <c r="C1217" s="191">
        <f t="shared" si="437"/>
        <v>41442</v>
      </c>
      <c r="D1217" s="191" t="s">
        <v>1292</v>
      </c>
      <c r="E1217" s="37">
        <v>41442</v>
      </c>
      <c r="F1217" s="40" t="s">
        <v>1187</v>
      </c>
      <c r="G1217" s="40" t="s">
        <v>856</v>
      </c>
      <c r="H1217" s="7" t="s">
        <v>1284</v>
      </c>
      <c r="I1217" s="256">
        <v>150</v>
      </c>
      <c r="J1217" s="256">
        <v>14094</v>
      </c>
      <c r="K1217" s="602">
        <f t="shared" si="438"/>
        <v>2114100</v>
      </c>
      <c r="L1217" s="39" t="s">
        <v>165</v>
      </c>
      <c r="M1217" s="603" t="s">
        <v>159</v>
      </c>
      <c r="N1217" s="39" t="str">
        <f>IF(AND('331-CT'!$E$7=TH!H1217,OR(L1217="331",M1217="331")),"331",IF(AND(OR(L1217="131",M1217="131"),H1217='131-CT'!$E$7),"131",""))</f>
        <v/>
      </c>
      <c r="O1217" s="39" t="str">
        <f>IF(AND($B1217&gt;='111'!$N$11,$B1217&lt;='111'!$O$11,OR($L1217=$O$7,$M1217=$O$7)),"x","")</f>
        <v/>
      </c>
      <c r="P1217" s="39" t="str">
        <f>IF(AND($L1217=$O$7,$B1217&lt;'111'!$N$11),"x","")</f>
        <v/>
      </c>
      <c r="Q1217" s="39" t="str">
        <f>IF(AND($M1217=$O$7,$B1217&lt;'111'!$N$11),"x","")</f>
        <v/>
      </c>
      <c r="R1217" s="39" t="str">
        <f>IF(ISERROR(FIND('112'!$M$9,G1217,1)),"",IF((AND(FIND('112'!$M$9,G1217,1)&gt;=1,$B1217&gt;='112'!$N$8,$B1217&lt;='112'!$O$8,OR($L1217='112'!$I$6,$M1217='112'!$I$6))),"x",""))</f>
        <v/>
      </c>
      <c r="S1217" s="39" t="str">
        <f>IF(ISERROR(FIND('112'!$M$9,G1217,1)),"",IF((AND(LEFT(G1217,2)=LEFT('112'!$M$9,2),B1217&lt;'112'!$N$8,$L1217='112'!$I$6)),"x",""))</f>
        <v/>
      </c>
      <c r="T1217" s="39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>154</v>
      </c>
      <c r="V1217" s="39" t="str">
        <f>IF(OR(TH!L1217=TH!$V$7,M1217=TH!$V$7),"x","")</f>
        <v/>
      </c>
      <c r="W1217" s="39" t="str">
        <f>IF(AND(B1217&gt;='IN-NX'!$P$3,B1217&lt;='IN-NX'!$Q$3,'IN-NX'!$D$7=D1217,OR(LEFT(L1217,2)="15",AND(LEFT(M1217,2)&lt;&gt;"15",LEFT(M1217,2)&lt;&gt;"33"))),"x","")</f>
        <v/>
      </c>
      <c r="X1217" s="39" t="str">
        <f>IF(AND(OR(LEFT(TH!L1217,2)="15",LEFT(TH!M1217,2)="15"),'152-CT'!$J$8=TH!F1217),"x","")</f>
        <v/>
      </c>
      <c r="Y1217" s="39" t="str">
        <f>IF(AND(OR(LEFT(TH!L1217,2)="15",LEFT(TH!M1217,2)="15"),TK!$E$7=TH!F1217),"x","")</f>
        <v/>
      </c>
      <c r="Z1217" s="39" t="str">
        <f>IF(AND(B1217&lt;=NKC!$N$8,B1217&gt;=NKC!$M$8),"x","")</f>
        <v/>
      </c>
      <c r="AA1217" s="883"/>
    </row>
    <row r="1218" spans="1:27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439"/>
        <v>6</v>
      </c>
      <c r="C1218" s="191">
        <f t="shared" si="437"/>
        <v>41443</v>
      </c>
      <c r="D1218" s="191" t="s">
        <v>1292</v>
      </c>
      <c r="E1218" s="37">
        <v>41443</v>
      </c>
      <c r="F1218" s="40" t="s">
        <v>1169</v>
      </c>
      <c r="G1218" s="40" t="s">
        <v>857</v>
      </c>
      <c r="H1218" s="7" t="s">
        <v>1284</v>
      </c>
      <c r="I1218" s="256">
        <v>209</v>
      </c>
      <c r="J1218" s="256">
        <v>18314</v>
      </c>
      <c r="K1218" s="602">
        <f t="shared" si="438"/>
        <v>3827626</v>
      </c>
      <c r="L1218" s="39" t="s">
        <v>165</v>
      </c>
      <c r="M1218" s="603" t="s">
        <v>159</v>
      </c>
      <c r="N1218" s="39" t="str">
        <f>IF(AND('331-CT'!$E$7=TH!H1218,OR(L1218="331",M1218="331")),"331",IF(AND(OR(L1218="131",M1218="131"),H1218='131-CT'!$E$7),"131",""))</f>
        <v/>
      </c>
      <c r="O1218" s="39" t="str">
        <f>IF(AND($B1218&gt;='111'!$N$11,$B1218&lt;='111'!$O$11,OR($L1218=$O$7,$M1218=$O$7)),"x","")</f>
        <v/>
      </c>
      <c r="P1218" s="39" t="str">
        <f>IF(AND($L1218=$O$7,$B1218&lt;'111'!$N$11),"x","")</f>
        <v/>
      </c>
      <c r="Q1218" s="39" t="str">
        <f>IF(AND($M1218=$O$7,$B1218&lt;'111'!$N$11),"x","")</f>
        <v/>
      </c>
      <c r="R1218" s="39" t="str">
        <f>IF(ISERROR(FIND('112'!$M$9,G1218,1)),"",IF((AND(FIND('112'!$M$9,G1218,1)&gt;=1,$B1218&gt;='112'!$N$8,$B1218&lt;='112'!$O$8,OR($L1218='112'!$I$6,$M1218='112'!$I$6))),"x",""))</f>
        <v/>
      </c>
      <c r="S1218" s="39" t="str">
        <f>IF(ISERROR(FIND('112'!$M$9,G1218,1)),"",IF((AND(LEFT(G1218,2)=LEFT('112'!$M$9,2),B1218&lt;'112'!$N$8,$L1218='112'!$I$6)),"x",""))</f>
        <v/>
      </c>
      <c r="T1218" s="39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>154</v>
      </c>
      <c r="V1218" s="39" t="str">
        <f>IF(OR(TH!L1218=TH!$V$7,M1218=TH!$V$7),"x","")</f>
        <v/>
      </c>
      <c r="W1218" s="39" t="str">
        <f>IF(AND(B1218&gt;='IN-NX'!$P$3,B1218&lt;='IN-NX'!$Q$3,'IN-NX'!$D$7=D1218,OR(LEFT(L1218,2)="15",AND(LEFT(M1218,2)&lt;&gt;"15",LEFT(M1218,2)&lt;&gt;"33"))),"x","")</f>
        <v/>
      </c>
      <c r="X1218" s="39" t="str">
        <f>IF(AND(OR(LEFT(TH!L1218,2)="15",LEFT(TH!M1218,2)="15"),'152-CT'!$J$8=TH!F1218),"x","")</f>
        <v/>
      </c>
      <c r="Y1218" s="39" t="str">
        <f>IF(AND(OR(LEFT(TH!L1218,2)="15",LEFT(TH!M1218,2)="15"),TK!$E$7=TH!F1218),"x","")</f>
        <v/>
      </c>
      <c r="Z1218" s="39" t="str">
        <f>IF(AND(B1218&lt;=NKC!$N$8,B1218&gt;=NKC!$M$8),"x","")</f>
        <v/>
      </c>
      <c r="AA1218" s="883"/>
    </row>
    <row r="1219" spans="1:27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439"/>
        <v>6</v>
      </c>
      <c r="C1219" s="191">
        <f t="shared" si="437"/>
        <v>41448</v>
      </c>
      <c r="D1219" s="191" t="s">
        <v>1292</v>
      </c>
      <c r="E1219" s="37">
        <v>41448</v>
      </c>
      <c r="F1219" s="192" t="s">
        <v>1193</v>
      </c>
      <c r="G1219" s="40" t="s">
        <v>858</v>
      </c>
      <c r="H1219" s="7" t="s">
        <v>1284</v>
      </c>
      <c r="I1219" s="256">
        <v>500</v>
      </c>
      <c r="J1219" s="256">
        <v>9828</v>
      </c>
      <c r="K1219" s="602">
        <f t="shared" si="438"/>
        <v>4914000</v>
      </c>
      <c r="L1219" s="39" t="s">
        <v>165</v>
      </c>
      <c r="M1219" s="603" t="s">
        <v>159</v>
      </c>
      <c r="N1219" s="39" t="str">
        <f>IF(AND('331-CT'!$E$7=TH!H1219,OR(L1219="331",M1219="331")),"331",IF(AND(OR(L1219="131",M1219="131"),H1219='131-CT'!$E$7),"131",""))</f>
        <v/>
      </c>
      <c r="O1219" s="39" t="str">
        <f>IF(AND($B1219&gt;='111'!$N$11,$B1219&lt;='111'!$O$11,OR($L1219=$O$7,$M1219=$O$7)),"x","")</f>
        <v/>
      </c>
      <c r="P1219" s="39" t="str">
        <f>IF(AND($L1219=$O$7,$B1219&lt;'111'!$N$11),"x","")</f>
        <v/>
      </c>
      <c r="Q1219" s="39" t="str">
        <f>IF(AND($M1219=$O$7,$B1219&lt;'111'!$N$11),"x","")</f>
        <v/>
      </c>
      <c r="R1219" s="39" t="str">
        <f>IF(ISERROR(FIND('112'!$M$9,G1219,1)),"",IF((AND(FIND('112'!$M$9,G1219,1)&gt;=1,$B1219&gt;='112'!$N$8,$B1219&lt;='112'!$O$8,OR($L1219='112'!$I$6,$M1219='112'!$I$6))),"x",""))</f>
        <v/>
      </c>
      <c r="S1219" s="39" t="str">
        <f>IF(ISERROR(FIND('112'!$M$9,G1219,1)),"",IF((AND(LEFT(G1219,2)=LEFT('112'!$M$9,2),B1219&lt;'112'!$N$8,$L1219='112'!$I$6)),"x",""))</f>
        <v/>
      </c>
      <c r="T1219" s="39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>154</v>
      </c>
      <c r="V1219" s="39" t="str">
        <f>IF(OR(TH!L1219=TH!$V$7,M1219=TH!$V$7),"x","")</f>
        <v/>
      </c>
      <c r="W1219" s="39" t="str">
        <f>IF(AND(B1219&gt;='IN-NX'!$P$3,B1219&lt;='IN-NX'!$Q$3,'IN-NX'!$D$7=D1219,OR(LEFT(L1219,2)="15",AND(LEFT(M1219,2)&lt;&gt;"15",LEFT(M1219,2)&lt;&gt;"33"))),"x","")</f>
        <v/>
      </c>
      <c r="X1219" s="39" t="str">
        <f>IF(AND(OR(LEFT(TH!L1219,2)="15",LEFT(TH!M1219,2)="15"),'152-CT'!$J$8=TH!F1219),"x","")</f>
        <v/>
      </c>
      <c r="Y1219" s="39" t="str">
        <f>IF(AND(OR(LEFT(TH!L1219,2)="15",LEFT(TH!M1219,2)="15"),TK!$E$7=TH!F1219),"x","")</f>
        <v/>
      </c>
      <c r="Z1219" s="39" t="str">
        <f>IF(AND(B1219&lt;=NKC!$N$8,B1219&gt;=NKC!$M$8),"x","")</f>
        <v/>
      </c>
      <c r="AA1219" s="883"/>
    </row>
    <row r="1220" spans="1:27" s="211" customFormat="1" ht="15.75" customHeight="1">
      <c r="A1220" s="204" t="str">
        <f>IF(B1220&lt;&gt;"",IF(AND(B1220&gt;=_TM1,B1220&lt;=_TM2,OR(TH!L1220="1111",TH!M1220="1111")),TH!D1220,""),"")</f>
        <v/>
      </c>
      <c r="B1220" s="36">
        <f t="shared" si="439"/>
        <v>6</v>
      </c>
      <c r="C1220" s="191">
        <f t="shared" si="437"/>
        <v>41448</v>
      </c>
      <c r="D1220" s="191" t="s">
        <v>1292</v>
      </c>
      <c r="E1220" s="37">
        <v>41448</v>
      </c>
      <c r="F1220" s="192" t="s">
        <v>1234</v>
      </c>
      <c r="G1220" s="40" t="s">
        <v>860</v>
      </c>
      <c r="H1220" s="7" t="s">
        <v>1284</v>
      </c>
      <c r="I1220" s="256">
        <v>1480</v>
      </c>
      <c r="J1220" s="256">
        <v>18306</v>
      </c>
      <c r="K1220" s="602">
        <f t="shared" si="438"/>
        <v>27092880</v>
      </c>
      <c r="L1220" s="39" t="s">
        <v>165</v>
      </c>
      <c r="M1220" s="603" t="s">
        <v>159</v>
      </c>
      <c r="N1220" s="39" t="str">
        <f>IF(AND('331-CT'!$E$7=TH!H1220,OR(L1220="331",M1220="331")),"331",IF(AND(OR(L1220="131",M1220="131"),H1220='131-CT'!$E$7),"131",""))</f>
        <v/>
      </c>
      <c r="O1220" s="39" t="str">
        <f>IF(AND($B1220&gt;='111'!$N$11,$B1220&lt;='111'!$O$11,OR($L1220=$O$7,$M1220=$O$7)),"x","")</f>
        <v/>
      </c>
      <c r="P1220" s="39" t="str">
        <f>IF(AND($L1220=$O$7,$B1220&lt;'111'!$N$11),"x","")</f>
        <v/>
      </c>
      <c r="Q1220" s="39" t="str">
        <f>IF(AND($M1220=$O$7,$B1220&lt;'111'!$N$11),"x","")</f>
        <v/>
      </c>
      <c r="R1220" s="39" t="str">
        <f>IF(ISERROR(FIND('112'!$M$9,G1220,1)),"",IF((AND(FIND('112'!$M$9,G1220,1)&gt;=1,$B1220&gt;='112'!$N$8,$B1220&lt;='112'!$O$8,OR($L1220='112'!$I$6,$M1220='112'!$I$6))),"x",""))</f>
        <v/>
      </c>
      <c r="S1220" s="39" t="str">
        <f>IF(ISERROR(FIND('112'!$M$9,G1220,1)),"",IF((AND(LEFT(G1220,2)=LEFT('112'!$M$9,2),B1220&lt;'112'!$N$8,$L1220='112'!$I$6)),"x",""))</f>
        <v/>
      </c>
      <c r="T1220" s="39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>154</v>
      </c>
      <c r="V1220" s="39" t="str">
        <f>IF(OR(TH!L1220=TH!$V$7,M1220=TH!$V$7),"x","")</f>
        <v/>
      </c>
      <c r="W1220" s="39" t="str">
        <f>IF(AND(B1220&gt;='IN-NX'!$P$3,B1220&lt;='IN-NX'!$Q$3,'IN-NX'!$D$7=D1220,OR(LEFT(L1220,2)="15",AND(LEFT(M1220,2)&lt;&gt;"15",LEFT(M1220,2)&lt;&gt;"33"))),"x","")</f>
        <v/>
      </c>
      <c r="X1220" s="39" t="str">
        <f>IF(AND(OR(LEFT(TH!L1220,2)="15",LEFT(TH!M1220,2)="15"),'152-CT'!$J$8=TH!F1220),"x","")</f>
        <v/>
      </c>
      <c r="Y1220" s="39" t="str">
        <f>IF(AND(OR(LEFT(TH!L1220,2)="15",LEFT(TH!M1220,2)="15"),TK!$E$7=TH!F1220),"x","")</f>
        <v/>
      </c>
      <c r="Z1220" s="39" t="str">
        <f>IF(AND(B1220&lt;=NKC!$N$8,B1220&gt;=NKC!$M$8),"x","")</f>
        <v/>
      </c>
      <c r="AA1220" s="883"/>
    </row>
    <row r="1221" spans="1:27" s="211" customFormat="1" ht="15.75" customHeight="1">
      <c r="A1221" s="204" t="str">
        <f>IF(B1221&lt;&gt;"",IF(AND(B1221&gt;=_TM1,B1221&lt;=_TM2,OR(TH!L1221="1111",TH!M1221="1111")),TH!D1221,""),"")</f>
        <v/>
      </c>
      <c r="B1221" s="36">
        <f t="shared" si="439"/>
        <v>6</v>
      </c>
      <c r="C1221" s="191">
        <f t="shared" si="437"/>
        <v>41449</v>
      </c>
      <c r="D1221" s="191" t="s">
        <v>1292</v>
      </c>
      <c r="E1221" s="37">
        <v>41449</v>
      </c>
      <c r="F1221" s="192" t="s">
        <v>1241</v>
      </c>
      <c r="G1221" s="40" t="s">
        <v>861</v>
      </c>
      <c r="H1221" s="7" t="s">
        <v>1284</v>
      </c>
      <c r="I1221" s="256">
        <v>770</v>
      </c>
      <c r="J1221" s="256">
        <v>19910.059520224833</v>
      </c>
      <c r="K1221" s="602">
        <f t="shared" si="438"/>
        <v>15330746</v>
      </c>
      <c r="L1221" s="39" t="s">
        <v>165</v>
      </c>
      <c r="M1221" s="603" t="s">
        <v>159</v>
      </c>
      <c r="N1221" s="39" t="str">
        <f>IF(AND('331-CT'!$E$7=TH!H1221,OR(L1221="331",M1221="331")),"331",IF(AND(OR(L1221="131",M1221="131"),H1221='131-CT'!$E$7),"131",""))</f>
        <v/>
      </c>
      <c r="O1221" s="39" t="str">
        <f>IF(AND($B1221&gt;='111'!$N$11,$B1221&lt;='111'!$O$11,OR($L1221=$O$7,$M1221=$O$7)),"x","")</f>
        <v/>
      </c>
      <c r="P1221" s="39" t="str">
        <f>IF(AND($L1221=$O$7,$B1221&lt;'111'!$N$11),"x","")</f>
        <v/>
      </c>
      <c r="Q1221" s="39" t="str">
        <f>IF(AND($M1221=$O$7,$B1221&lt;'111'!$N$11),"x","")</f>
        <v/>
      </c>
      <c r="R1221" s="39" t="str">
        <f>IF(ISERROR(FIND('112'!$M$9,G1221,1)),"",IF((AND(FIND('112'!$M$9,G1221,1)&gt;=1,$B1221&gt;='112'!$N$8,$B1221&lt;='112'!$O$8,OR($L1221='112'!$I$6,$M1221='112'!$I$6))),"x",""))</f>
        <v/>
      </c>
      <c r="S1221" s="39" t="str">
        <f>IF(ISERROR(FIND('112'!$M$9,G1221,1)),"",IF((AND(LEFT(G1221,2)=LEFT('112'!$M$9,2),B1221&lt;'112'!$N$8,$L1221='112'!$I$6)),"x",""))</f>
        <v/>
      </c>
      <c r="T1221" s="39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>154</v>
      </c>
      <c r="V1221" s="39" t="str">
        <f>IF(OR(TH!L1221=TH!$V$7,M1221=TH!$V$7),"x","")</f>
        <v/>
      </c>
      <c r="W1221" s="39" t="str">
        <f>IF(AND(B1221&gt;='IN-NX'!$P$3,B1221&lt;='IN-NX'!$Q$3,'IN-NX'!$D$7=D1221,OR(LEFT(L1221,2)="15",AND(LEFT(M1221,2)&lt;&gt;"15",LEFT(M1221,2)&lt;&gt;"33"))),"x","")</f>
        <v/>
      </c>
      <c r="X1221" s="39" t="str">
        <f>IF(AND(OR(LEFT(TH!L1221,2)="15",LEFT(TH!M1221,2)="15"),'152-CT'!$J$8=TH!F1221),"x","")</f>
        <v/>
      </c>
      <c r="Y1221" s="39" t="str">
        <f>IF(AND(OR(LEFT(TH!L1221,2)="15",LEFT(TH!M1221,2)="15"),TK!$E$7=TH!F1221),"x","")</f>
        <v/>
      </c>
      <c r="Z1221" s="39" t="str">
        <f>IF(AND(B1221&lt;=NKC!$N$8,B1221&gt;=NKC!$M$8),"x","")</f>
        <v/>
      </c>
      <c r="AA1221" s="883"/>
    </row>
    <row r="1222" spans="1:27" s="840" customFormat="1" ht="15.75" customHeight="1">
      <c r="A1222" s="902" t="str">
        <f>IF(B1222&lt;&gt;"",IF(AND(B1222&gt;=_TM1,B1222&lt;=_TM2,OR(TH!L1222="1111",TH!M1222="1111")),TH!D1222,""),"")</f>
        <v/>
      </c>
      <c r="B1222" s="838">
        <f t="shared" si="439"/>
        <v>7</v>
      </c>
      <c r="C1222" s="903">
        <f t="shared" si="437"/>
        <v>41457</v>
      </c>
      <c r="D1222" s="191" t="s">
        <v>1292</v>
      </c>
      <c r="E1222" s="911">
        <v>41457</v>
      </c>
      <c r="F1222" s="915" t="s">
        <v>1256</v>
      </c>
      <c r="G1222" s="916" t="s">
        <v>862</v>
      </c>
      <c r="H1222" s="906" t="s">
        <v>1284</v>
      </c>
      <c r="I1222" s="914">
        <v>150</v>
      </c>
      <c r="J1222" s="914">
        <v>20992</v>
      </c>
      <c r="K1222" s="835">
        <f t="shared" si="438"/>
        <v>3148800</v>
      </c>
      <c r="L1222" s="828" t="s">
        <v>165</v>
      </c>
      <c r="M1222" s="909" t="s">
        <v>159</v>
      </c>
      <c r="N1222" s="828" t="str">
        <f>IF(AND('331-CT'!$E$7=TH!H1222,OR(L1222="331",M1222="331")),"331",IF(AND(OR(L1222="131",M1222="131"),H1222='131-CT'!$E$7),"131",""))</f>
        <v/>
      </c>
      <c r="O1222" s="828" t="str">
        <f>IF(AND($B1222&gt;='111'!$N$11,$B1222&lt;='111'!$O$11,OR($L1222=$O$7,$M1222=$O$7)),"x","")</f>
        <v/>
      </c>
      <c r="P1222" s="828" t="str">
        <f>IF(AND($L1222=$O$7,$B1222&lt;'111'!$N$11),"x","")</f>
        <v/>
      </c>
      <c r="Q1222" s="828" t="str">
        <f>IF(AND($M1222=$O$7,$B1222&lt;'111'!$N$11),"x","")</f>
        <v/>
      </c>
      <c r="R1222" s="828" t="str">
        <f>IF(ISERROR(FIND('112'!$M$9,G1222,1)),"",IF((AND(FIND('112'!$M$9,G1222,1)&gt;=1,$B1222&gt;='112'!$N$8,$B1222&lt;='112'!$O$8,OR($L1222='112'!$I$6,$M1222='112'!$I$6))),"x",""))</f>
        <v/>
      </c>
      <c r="S1222" s="828" t="str">
        <f>IF(ISERROR(FIND('112'!$M$9,G1222,1)),"",IF((AND(LEFT(G1222,2)=LEFT('112'!$M$9,2),B1222&lt;'112'!$N$8,$L1222='112'!$I$6)),"x",""))</f>
        <v/>
      </c>
      <c r="T1222" s="828" t="str">
        <f>IF(ISERROR(FIND('112'!$M$9,G1222,1)),"",IF((AND(RIGHT(G1222,2)=RIGHT('112'!$M$9,2),B1222&lt;'112'!$N$8,$M1222='112'!$I$6)),"x",""))</f>
        <v/>
      </c>
      <c r="U1222" s="828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828" t="str">
        <f>IF(OR(TH!L1222=TH!$V$7,M1222=TH!$V$7),"x","")</f>
        <v/>
      </c>
      <c r="W1222" s="828" t="str">
        <f>IF(AND(B1222&gt;='IN-NX'!$P$3,B1222&lt;='IN-NX'!$Q$3,'IN-NX'!$D$7=D1222,OR(LEFT(L1222,2)="15",AND(LEFT(M1222,2)&lt;&gt;"15",LEFT(M1222,2)&lt;&gt;"33"))),"x","")</f>
        <v/>
      </c>
      <c r="X1222" s="828" t="str">
        <f>IF(AND(OR(LEFT(TH!L1222,2)="15",LEFT(TH!M1222,2)="15"),'152-CT'!$J$8=TH!F1222),"x","")</f>
        <v/>
      </c>
      <c r="Y1222" s="828" t="str">
        <f>IF(AND(OR(LEFT(TH!L1222,2)="15",LEFT(TH!M1222,2)="15"),TK!$E$7=TH!F1222),"x","")</f>
        <v/>
      </c>
      <c r="Z1222" s="828" t="str">
        <f>IF(AND(B1222&lt;=NKC!$N$8,B1222&gt;=NKC!$M$8),"x","")</f>
        <v>x</v>
      </c>
      <c r="AA1222" s="910"/>
    </row>
    <row r="1223" spans="1:27" s="211" customFormat="1" ht="15.75" customHeight="1">
      <c r="A1223" s="204" t="str">
        <f>IF(B1223&lt;&gt;"",IF(AND(B1223&gt;=_TM1,B1223&lt;=_TM2,OR(TH!L1223="1111",TH!M1223="1111")),TH!D1223,""),"")</f>
        <v/>
      </c>
      <c r="B1223" s="36">
        <f t="shared" si="439"/>
        <v>7</v>
      </c>
      <c r="C1223" s="191">
        <f t="shared" si="437"/>
        <v>41457</v>
      </c>
      <c r="D1223" s="191" t="s">
        <v>1292</v>
      </c>
      <c r="E1223" s="191">
        <v>41457</v>
      </c>
      <c r="F1223" s="192" t="s">
        <v>1211</v>
      </c>
      <c r="G1223" s="487" t="s">
        <v>862</v>
      </c>
      <c r="H1223" s="7" t="s">
        <v>1284</v>
      </c>
      <c r="I1223" s="256">
        <v>130</v>
      </c>
      <c r="J1223" s="256">
        <v>23477</v>
      </c>
      <c r="K1223" s="602">
        <f t="shared" si="438"/>
        <v>3052010</v>
      </c>
      <c r="L1223" s="39" t="s">
        <v>165</v>
      </c>
      <c r="M1223" s="603" t="s">
        <v>159</v>
      </c>
      <c r="N1223" s="39" t="str">
        <f>IF(AND('331-CT'!$E$7=TH!H1223,OR(L1223="331",M1223="331")),"331",IF(AND(OR(L1223="131",M1223="131"),H1223='131-CT'!$E$7),"131",""))</f>
        <v/>
      </c>
      <c r="O1223" s="39" t="str">
        <f>IF(AND($B1223&gt;='111'!$N$11,$B1223&lt;='111'!$O$11,OR($L1223=$O$7,$M1223=$O$7)),"x","")</f>
        <v/>
      </c>
      <c r="P1223" s="39" t="str">
        <f>IF(AND($L1223=$O$7,$B1223&lt;'111'!$N$11),"x","")</f>
        <v/>
      </c>
      <c r="Q1223" s="39" t="str">
        <f>IF(AND($M1223=$O$7,$B1223&lt;'111'!$N$11),"x","")</f>
        <v/>
      </c>
      <c r="R1223" s="39" t="str">
        <f>IF(ISERROR(FIND('112'!$M$9,G1223,1)),"",IF((AND(FIND('112'!$M$9,G1223,1)&gt;=1,$B1223&gt;='112'!$N$8,$B1223&lt;='112'!$O$8,OR($L1223='112'!$I$6,$M1223='112'!$I$6))),"x",""))</f>
        <v/>
      </c>
      <c r="S1223" s="39" t="str">
        <f>IF(ISERROR(FIND('112'!$M$9,G1223,1)),"",IF((AND(LEFT(G1223,2)=LEFT('112'!$M$9,2),B1223&lt;'112'!$N$8,$L1223='112'!$I$6)),"x",""))</f>
        <v/>
      </c>
      <c r="T1223" s="39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39" t="str">
        <f>IF(OR(TH!L1223=TH!$V$7,M1223=TH!$V$7),"x","")</f>
        <v/>
      </c>
      <c r="W1223" s="39" t="str">
        <f>IF(AND(B1223&gt;='IN-NX'!$P$3,B1223&lt;='IN-NX'!$Q$3,'IN-NX'!$D$7=D1223,OR(LEFT(L1223,2)="15",AND(LEFT(M1223,2)&lt;&gt;"15",LEFT(M1223,2)&lt;&gt;"33"))),"x","")</f>
        <v/>
      </c>
      <c r="X1223" s="39" t="str">
        <f>IF(AND(OR(LEFT(TH!L1223,2)="15",LEFT(TH!M1223,2)="15"),'152-CT'!$J$8=TH!F1223),"x","")</f>
        <v/>
      </c>
      <c r="Y1223" s="39" t="str">
        <f>IF(AND(OR(LEFT(TH!L1223,2)="15",LEFT(TH!M1223,2)="15"),TK!$E$7=TH!F1223),"x","")</f>
        <v/>
      </c>
      <c r="Z1223" s="39" t="str">
        <f>IF(AND(B1223&lt;=NKC!$N$8,B1223&gt;=NKC!$M$8),"x","")</f>
        <v>x</v>
      </c>
      <c r="AA1223" s="883"/>
    </row>
    <row r="1224" spans="1:27" s="211" customFormat="1" ht="15.75" customHeight="1">
      <c r="A1224" s="204" t="str">
        <f>IF(B1224&lt;&gt;"",IF(AND(B1224&gt;=_TM1,B1224&lt;=_TM2,OR(TH!L1224="1111",TH!M1224="1111")),TH!D1224,""),"")</f>
        <v/>
      </c>
      <c r="B1224" s="36">
        <f t="shared" si="439"/>
        <v>7</v>
      </c>
      <c r="C1224" s="191">
        <f t="shared" si="437"/>
        <v>41460</v>
      </c>
      <c r="D1224" s="191" t="s">
        <v>1292</v>
      </c>
      <c r="E1224" s="191">
        <v>41460</v>
      </c>
      <c r="F1224" s="192" t="s">
        <v>1241</v>
      </c>
      <c r="G1224" s="487" t="s">
        <v>866</v>
      </c>
      <c r="H1224" s="7" t="s">
        <v>1284</v>
      </c>
      <c r="I1224" s="256">
        <v>144</v>
      </c>
      <c r="J1224" s="256">
        <v>19910.059393752887</v>
      </c>
      <c r="K1224" s="602">
        <f t="shared" si="438"/>
        <v>2867049</v>
      </c>
      <c r="L1224" s="39" t="s">
        <v>165</v>
      </c>
      <c r="M1224" s="603" t="s">
        <v>159</v>
      </c>
      <c r="N1224" s="39" t="str">
        <f>IF(AND('331-CT'!$E$7=TH!H1224,OR(L1224="331",M1224="331")),"331",IF(AND(OR(L1224="131",M1224="131"),H1224='131-CT'!$E$7),"131",""))</f>
        <v/>
      </c>
      <c r="O1224" s="39" t="str">
        <f>IF(AND($B1224&gt;='111'!$N$11,$B1224&lt;='111'!$O$11,OR($L1224=$O$7,$M1224=$O$7)),"x","")</f>
        <v/>
      </c>
      <c r="P1224" s="39" t="str">
        <f>IF(AND($L1224=$O$7,$B1224&lt;'111'!$N$11),"x","")</f>
        <v/>
      </c>
      <c r="Q1224" s="39" t="str">
        <f>IF(AND($M1224=$O$7,$B1224&lt;'111'!$N$11),"x","")</f>
        <v/>
      </c>
      <c r="R1224" s="39" t="str">
        <f>IF(ISERROR(FIND('112'!$M$9,G1224,1)),"",IF((AND(FIND('112'!$M$9,G1224,1)&gt;=1,$B1224&gt;='112'!$N$8,$B1224&lt;='112'!$O$8,OR($L1224='112'!$I$6,$M1224='112'!$I$6))),"x",""))</f>
        <v/>
      </c>
      <c r="S1224" s="39" t="str">
        <f>IF(ISERROR(FIND('112'!$M$9,G1224,1)),"",IF((AND(LEFT(G1224,2)=LEFT('112'!$M$9,2),B1224&lt;'112'!$N$8,$L1224='112'!$I$6)),"x",""))</f>
        <v/>
      </c>
      <c r="T1224" s="39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39" t="str">
        <f>IF(OR(TH!L1224=TH!$V$7,M1224=TH!$V$7),"x","")</f>
        <v/>
      </c>
      <c r="W1224" s="39" t="str">
        <f>IF(AND(B1224&gt;='IN-NX'!$P$3,B1224&lt;='IN-NX'!$Q$3,'IN-NX'!$D$7=D1224,OR(LEFT(L1224,2)="15",AND(LEFT(M1224,2)&lt;&gt;"15",LEFT(M1224,2)&lt;&gt;"33"))),"x","")</f>
        <v/>
      </c>
      <c r="X1224" s="39" t="str">
        <f>IF(AND(OR(LEFT(TH!L1224,2)="15",LEFT(TH!M1224,2)="15"),'152-CT'!$J$8=TH!F1224),"x","")</f>
        <v/>
      </c>
      <c r="Y1224" s="39" t="str">
        <f>IF(AND(OR(LEFT(TH!L1224,2)="15",LEFT(TH!M1224,2)="15"),TK!$E$7=TH!F1224),"x","")</f>
        <v/>
      </c>
      <c r="Z1224" s="39" t="str">
        <f>IF(AND(B1224&lt;=NKC!$N$8,B1224&gt;=NKC!$M$8),"x","")</f>
        <v>x</v>
      </c>
      <c r="AA1224" s="883"/>
    </row>
    <row r="1225" spans="1:27" s="211" customFormat="1" ht="15.75" customHeight="1">
      <c r="A1225" s="204" t="str">
        <f>IF(B1225&lt;&gt;"",IF(AND(B1225&gt;=_TM1,B1225&lt;=_TM2,OR(TH!L1225="1111",TH!M1225="1111")),TH!D1225,""),"")</f>
        <v/>
      </c>
      <c r="B1225" s="36">
        <f t="shared" si="439"/>
        <v>7</v>
      </c>
      <c r="C1225" s="191">
        <f t="shared" si="437"/>
        <v>41460</v>
      </c>
      <c r="D1225" s="191" t="s">
        <v>1292</v>
      </c>
      <c r="E1225" s="191">
        <v>41460</v>
      </c>
      <c r="F1225" s="192" t="s">
        <v>1241</v>
      </c>
      <c r="G1225" s="487" t="s">
        <v>866</v>
      </c>
      <c r="H1225" s="7" t="s">
        <v>1284</v>
      </c>
      <c r="I1225" s="256">
        <v>115</v>
      </c>
      <c r="J1225" s="256">
        <v>19910.059393752887</v>
      </c>
      <c r="K1225" s="602">
        <f t="shared" si="438"/>
        <v>2289657</v>
      </c>
      <c r="L1225" s="39" t="s">
        <v>165</v>
      </c>
      <c r="M1225" s="603" t="s">
        <v>159</v>
      </c>
      <c r="N1225" s="39" t="str">
        <f>IF(AND('331-CT'!$E$7=TH!H1225,OR(L1225="331",M1225="331")),"331",IF(AND(OR(L1225="131",M1225="131"),H1225='131-CT'!$E$7),"131",""))</f>
        <v/>
      </c>
      <c r="O1225" s="39" t="str">
        <f>IF(AND($B1225&gt;='111'!$N$11,$B1225&lt;='111'!$O$11,OR($L1225=$O$7,$M1225=$O$7)),"x","")</f>
        <v/>
      </c>
      <c r="P1225" s="39" t="str">
        <f>IF(AND($L1225=$O$7,$B1225&lt;'111'!$N$11),"x","")</f>
        <v/>
      </c>
      <c r="Q1225" s="39" t="str">
        <f>IF(AND($M1225=$O$7,$B1225&lt;'111'!$N$11),"x","")</f>
        <v/>
      </c>
      <c r="R1225" s="39" t="str">
        <f>IF(ISERROR(FIND('112'!$M$9,G1225,1)),"",IF((AND(FIND('112'!$M$9,G1225,1)&gt;=1,$B1225&gt;='112'!$N$8,$B1225&lt;='112'!$O$8,OR($L1225='112'!$I$6,$M1225='112'!$I$6))),"x",""))</f>
        <v/>
      </c>
      <c r="S1225" s="39" t="str">
        <f>IF(ISERROR(FIND('112'!$M$9,G1225,1)),"",IF((AND(LEFT(G1225,2)=LEFT('112'!$M$9,2),B1225&lt;'112'!$N$8,$L1225='112'!$I$6)),"x",""))</f>
        <v/>
      </c>
      <c r="T1225" s="39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39" t="str">
        <f>IF(OR(TH!L1225=TH!$V$7,M1225=TH!$V$7),"x","")</f>
        <v/>
      </c>
      <c r="W1225" s="39" t="str">
        <f>IF(AND(B1225&gt;='IN-NX'!$P$3,B1225&lt;='IN-NX'!$Q$3,'IN-NX'!$D$7=D1225,OR(LEFT(L1225,2)="15",AND(LEFT(M1225,2)&lt;&gt;"15",LEFT(M1225,2)&lt;&gt;"33"))),"x","")</f>
        <v/>
      </c>
      <c r="X1225" s="39" t="str">
        <f>IF(AND(OR(LEFT(TH!L1225,2)="15",LEFT(TH!M1225,2)="15"),'152-CT'!$J$8=TH!F1225),"x","")</f>
        <v/>
      </c>
      <c r="Y1225" s="39" t="str">
        <f>IF(AND(OR(LEFT(TH!L1225,2)="15",LEFT(TH!M1225,2)="15"),TK!$E$7=TH!F1225),"x","")</f>
        <v/>
      </c>
      <c r="Z1225" s="39" t="str">
        <f>IF(AND(B1225&lt;=NKC!$N$8,B1225&gt;=NKC!$M$8),"x","")</f>
        <v>x</v>
      </c>
      <c r="AA1225" s="883"/>
    </row>
    <row r="1226" spans="1:27" s="211" customFormat="1" ht="15.75" customHeight="1">
      <c r="A1226" s="204" t="str">
        <f>IF(B1226&lt;&gt;"",IF(AND(B1226&gt;=_TM1,B1226&lt;=_TM2,OR(TH!L1226="1111",TH!M1226="1111")),TH!D1226,""),"")</f>
        <v/>
      </c>
      <c r="B1226" s="36">
        <f t="shared" si="439"/>
        <v>7</v>
      </c>
      <c r="C1226" s="191">
        <f t="shared" si="437"/>
        <v>41460</v>
      </c>
      <c r="D1226" s="191" t="s">
        <v>1292</v>
      </c>
      <c r="E1226" s="191">
        <v>41460</v>
      </c>
      <c r="F1226" s="192" t="s">
        <v>697</v>
      </c>
      <c r="G1226" s="487" t="s">
        <v>868</v>
      </c>
      <c r="H1226" s="7" t="s">
        <v>1284</v>
      </c>
      <c r="I1226" s="256">
        <v>300</v>
      </c>
      <c r="J1226" s="256">
        <v>9425</v>
      </c>
      <c r="K1226" s="602">
        <f t="shared" si="438"/>
        <v>2827500</v>
      </c>
      <c r="L1226" s="39" t="s">
        <v>165</v>
      </c>
      <c r="M1226" s="603" t="s">
        <v>159</v>
      </c>
      <c r="N1226" s="39" t="str">
        <f>IF(AND('331-CT'!$E$7=TH!H1226,OR(L1226="331",M1226="331")),"331",IF(AND(OR(L1226="131",M1226="131"),H1226='131-CT'!$E$7),"131",""))</f>
        <v/>
      </c>
      <c r="O1226" s="39" t="str">
        <f>IF(AND($B1226&gt;='111'!$N$11,$B1226&lt;='111'!$O$11,OR($L1226=$O$7,$M1226=$O$7)),"x","")</f>
        <v/>
      </c>
      <c r="P1226" s="39" t="str">
        <f>IF(AND($L1226=$O$7,$B1226&lt;'111'!$N$11),"x","")</f>
        <v/>
      </c>
      <c r="Q1226" s="39" t="str">
        <f>IF(AND($M1226=$O$7,$B1226&lt;'111'!$N$11),"x","")</f>
        <v/>
      </c>
      <c r="R1226" s="39" t="str">
        <f>IF(ISERROR(FIND('112'!$M$9,G1226,1)),"",IF((AND(FIND('112'!$M$9,G1226,1)&gt;=1,$B1226&gt;='112'!$N$8,$B1226&lt;='112'!$O$8,OR($L1226='112'!$I$6,$M1226='112'!$I$6))),"x",""))</f>
        <v/>
      </c>
      <c r="S1226" s="39" t="str">
        <f>IF(ISERROR(FIND('112'!$M$9,G1226,1)),"",IF((AND(LEFT(G1226,2)=LEFT('112'!$M$9,2),B1226&lt;'112'!$N$8,$L1226='112'!$I$6)),"x",""))</f>
        <v/>
      </c>
      <c r="T1226" s="39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39" t="str">
        <f>IF(OR(TH!L1226=TH!$V$7,M1226=TH!$V$7),"x","")</f>
        <v/>
      </c>
      <c r="W1226" s="39" t="str">
        <f>IF(AND(B1226&gt;='IN-NX'!$P$3,B1226&lt;='IN-NX'!$Q$3,'IN-NX'!$D$7=D1226,OR(LEFT(L1226,2)="15",AND(LEFT(M1226,2)&lt;&gt;"15",LEFT(M1226,2)&lt;&gt;"33"))),"x","")</f>
        <v/>
      </c>
      <c r="X1226" s="39" t="str">
        <f>IF(AND(OR(LEFT(TH!L1226,2)="15",LEFT(TH!M1226,2)="15"),'152-CT'!$J$8=TH!F1226),"x","")</f>
        <v/>
      </c>
      <c r="Y1226" s="39" t="str">
        <f>IF(AND(OR(LEFT(TH!L1226,2)="15",LEFT(TH!M1226,2)="15"),TK!$E$7=TH!F1226),"x","")</f>
        <v/>
      </c>
      <c r="Z1226" s="39" t="str">
        <f>IF(AND(B1226&lt;=NKC!$N$8,B1226&gt;=NKC!$M$8),"x","")</f>
        <v>x</v>
      </c>
      <c r="AA1226" s="883"/>
    </row>
    <row r="1227" spans="1:27" s="211" customFormat="1" ht="15.75" customHeight="1">
      <c r="A1227" s="204" t="str">
        <f>IF(B1227&lt;&gt;"",IF(AND(B1227&gt;=_TM1,B1227&lt;=_TM2,OR(TH!L1227="1111",TH!M1227="1111")),TH!D1227,""),"")</f>
        <v/>
      </c>
      <c r="B1227" s="36">
        <f t="shared" si="439"/>
        <v>7</v>
      </c>
      <c r="C1227" s="191">
        <f t="shared" si="437"/>
        <v>41460</v>
      </c>
      <c r="D1227" s="191" t="s">
        <v>1292</v>
      </c>
      <c r="E1227" s="191">
        <v>41460</v>
      </c>
      <c r="F1227" s="192" t="s">
        <v>1216</v>
      </c>
      <c r="G1227" s="487" t="s">
        <v>868</v>
      </c>
      <c r="H1227" s="7" t="s">
        <v>1284</v>
      </c>
      <c r="I1227" s="256">
        <v>134</v>
      </c>
      <c r="J1227" s="256">
        <v>17376</v>
      </c>
      <c r="K1227" s="602">
        <f t="shared" si="438"/>
        <v>2328384</v>
      </c>
      <c r="L1227" s="39" t="s">
        <v>165</v>
      </c>
      <c r="M1227" s="603" t="s">
        <v>159</v>
      </c>
      <c r="N1227" s="39" t="str">
        <f>IF(AND('331-CT'!$E$7=TH!H1227,OR(L1227="331",M1227="331")),"331",IF(AND(OR(L1227="131",M1227="131"),H1227='131-CT'!$E$7),"131",""))</f>
        <v/>
      </c>
      <c r="O1227" s="39" t="str">
        <f>IF(AND($B1227&gt;='111'!$N$11,$B1227&lt;='111'!$O$11,OR($L1227=$O$7,$M1227=$O$7)),"x","")</f>
        <v/>
      </c>
      <c r="P1227" s="39" t="str">
        <f>IF(AND($L1227=$O$7,$B1227&lt;'111'!$N$11),"x","")</f>
        <v/>
      </c>
      <c r="Q1227" s="39" t="str">
        <f>IF(AND($M1227=$O$7,$B1227&lt;'111'!$N$11),"x","")</f>
        <v/>
      </c>
      <c r="R1227" s="39" t="str">
        <f>IF(ISERROR(FIND('112'!$M$9,G1227,1)),"",IF((AND(FIND('112'!$M$9,G1227,1)&gt;=1,$B1227&gt;='112'!$N$8,$B1227&lt;='112'!$O$8,OR($L1227='112'!$I$6,$M1227='112'!$I$6))),"x",""))</f>
        <v/>
      </c>
      <c r="S1227" s="39" t="str">
        <f>IF(ISERROR(FIND('112'!$M$9,G1227,1)),"",IF((AND(LEFT(G1227,2)=LEFT('112'!$M$9,2),B1227&lt;'112'!$N$8,$L1227='112'!$I$6)),"x",""))</f>
        <v/>
      </c>
      <c r="T1227" s="39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39" t="str">
        <f>IF(OR(TH!L1227=TH!$V$7,M1227=TH!$V$7),"x","")</f>
        <v/>
      </c>
      <c r="W1227" s="39" t="str">
        <f>IF(AND(B1227&gt;='IN-NX'!$P$3,B1227&lt;='IN-NX'!$Q$3,'IN-NX'!$D$7=D1227,OR(LEFT(L1227,2)="15",AND(LEFT(M1227,2)&lt;&gt;"15",LEFT(M1227,2)&lt;&gt;"33"))),"x","")</f>
        <v/>
      </c>
      <c r="X1227" s="39" t="str">
        <f>IF(AND(OR(LEFT(TH!L1227,2)="15",LEFT(TH!M1227,2)="15"),'152-CT'!$J$8=TH!F1227),"x","")</f>
        <v/>
      </c>
      <c r="Y1227" s="39" t="str">
        <f>IF(AND(OR(LEFT(TH!L1227,2)="15",LEFT(TH!M1227,2)="15"),TK!$E$7=TH!F1227),"x","")</f>
        <v/>
      </c>
      <c r="Z1227" s="39" t="str">
        <f>IF(AND(B1227&lt;=NKC!$N$8,B1227&gt;=NKC!$M$8),"x","")</f>
        <v>x</v>
      </c>
      <c r="AA1227" s="883"/>
    </row>
    <row r="1228" spans="1:27" s="211" customFormat="1" ht="15.75" customHeight="1">
      <c r="A1228" s="204" t="str">
        <f>IF(B1228&lt;&gt;"",IF(AND(B1228&gt;=_TM1,B1228&lt;=_TM2,OR(TH!L1228="1111",TH!M1228="1111")),TH!D1228,""),"")</f>
        <v/>
      </c>
      <c r="B1228" s="36">
        <f t="shared" si="439"/>
        <v>7</v>
      </c>
      <c r="C1228" s="191">
        <f t="shared" si="437"/>
        <v>41460</v>
      </c>
      <c r="D1228" s="191" t="s">
        <v>1292</v>
      </c>
      <c r="E1228" s="191">
        <v>41460</v>
      </c>
      <c r="F1228" s="192" t="s">
        <v>1172</v>
      </c>
      <c r="G1228" s="487" t="s">
        <v>868</v>
      </c>
      <c r="H1228" s="7" t="s">
        <v>1284</v>
      </c>
      <c r="I1228" s="257">
        <v>230</v>
      </c>
      <c r="J1228" s="257">
        <v>28350</v>
      </c>
      <c r="K1228" s="602">
        <f t="shared" si="438"/>
        <v>6520500</v>
      </c>
      <c r="L1228" s="39" t="s">
        <v>165</v>
      </c>
      <c r="M1228" s="603" t="s">
        <v>159</v>
      </c>
      <c r="N1228" s="39" t="str">
        <f>IF(AND('331-CT'!$E$7=TH!H1228,OR(L1228="331",M1228="331")),"331",IF(AND(OR(L1228="131",M1228="131"),H1228='131-CT'!$E$7),"131",""))</f>
        <v/>
      </c>
      <c r="O1228" s="39" t="str">
        <f>IF(AND($B1228&gt;='111'!$N$11,$B1228&lt;='111'!$O$11,OR($L1228=$O$7,$M1228=$O$7)),"x","")</f>
        <v/>
      </c>
      <c r="P1228" s="39" t="str">
        <f>IF(AND($L1228=$O$7,$B1228&lt;'111'!$N$11),"x","")</f>
        <v/>
      </c>
      <c r="Q1228" s="39" t="str">
        <f>IF(AND($M1228=$O$7,$B1228&lt;'111'!$N$11),"x","")</f>
        <v/>
      </c>
      <c r="R1228" s="39" t="str">
        <f>IF(ISERROR(FIND('112'!$M$9,G1228,1)),"",IF((AND(FIND('112'!$M$9,G1228,1)&gt;=1,$B1228&gt;='112'!$N$8,$B1228&lt;='112'!$O$8,OR($L1228='112'!$I$6,$M1228='112'!$I$6))),"x",""))</f>
        <v/>
      </c>
      <c r="S1228" s="39" t="str">
        <f>IF(ISERROR(FIND('112'!$M$9,G1228,1)),"",IF((AND(LEFT(G1228,2)=LEFT('112'!$M$9,2),B1228&lt;'112'!$N$8,$L1228='112'!$I$6)),"x",""))</f>
        <v/>
      </c>
      <c r="T1228" s="39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39" t="str">
        <f>IF(OR(TH!L1228=TH!$V$7,M1228=TH!$V$7),"x","")</f>
        <v/>
      </c>
      <c r="W1228" s="39" t="str">
        <f>IF(AND(B1228&gt;='IN-NX'!$P$3,B1228&lt;='IN-NX'!$Q$3,'IN-NX'!$D$7=D1228,OR(LEFT(L1228,2)="15",AND(LEFT(M1228,2)&lt;&gt;"15",LEFT(M1228,2)&lt;&gt;"33"))),"x","")</f>
        <v/>
      </c>
      <c r="X1228" s="39" t="str">
        <f>IF(AND(OR(LEFT(TH!L1228,2)="15",LEFT(TH!M1228,2)="15"),'152-CT'!$J$8=TH!F1228),"x","")</f>
        <v/>
      </c>
      <c r="Y1228" s="39" t="str">
        <f>IF(AND(OR(LEFT(TH!L1228,2)="15",LEFT(TH!M1228,2)="15"),TK!$E$7=TH!F1228),"x","")</f>
        <v/>
      </c>
      <c r="Z1228" s="39" t="str">
        <f>IF(AND(B1228&lt;=NKC!$N$8,B1228&gt;=NKC!$M$8),"x","")</f>
        <v>x</v>
      </c>
      <c r="AA1228" s="883"/>
    </row>
    <row r="1229" spans="1:27" s="211" customFormat="1" ht="15.75" customHeight="1">
      <c r="A1229" s="204" t="str">
        <f>IF(B1229&lt;&gt;"",IF(AND(B1229&gt;=_TM1,B1229&lt;=_TM2,OR(TH!L1229="1111",TH!M1229="1111")),TH!D1229,""),"")</f>
        <v/>
      </c>
      <c r="B1229" s="36">
        <f t="shared" si="439"/>
        <v>7</v>
      </c>
      <c r="C1229" s="191">
        <f t="shared" si="437"/>
        <v>41460</v>
      </c>
      <c r="D1229" s="191" t="s">
        <v>1292</v>
      </c>
      <c r="E1229" s="191">
        <v>41460</v>
      </c>
      <c r="F1229" s="192" t="s">
        <v>1173</v>
      </c>
      <c r="G1229" s="487" t="s">
        <v>868</v>
      </c>
      <c r="H1229" s="7" t="s">
        <v>1284</v>
      </c>
      <c r="I1229" s="256">
        <v>218</v>
      </c>
      <c r="J1229" s="256">
        <v>20910</v>
      </c>
      <c r="K1229" s="602">
        <f t="shared" si="438"/>
        <v>4558380</v>
      </c>
      <c r="L1229" s="39" t="s">
        <v>165</v>
      </c>
      <c r="M1229" s="603" t="s">
        <v>159</v>
      </c>
      <c r="N1229" s="39" t="str">
        <f>IF(AND('331-CT'!$E$7=TH!H1229,OR(L1229="331",M1229="331")),"331",IF(AND(OR(L1229="131",M1229="131"),H1229='131-CT'!$E$7),"131",""))</f>
        <v/>
      </c>
      <c r="O1229" s="39" t="str">
        <f>IF(AND($B1229&gt;='111'!$N$11,$B1229&lt;='111'!$O$11,OR($L1229=$O$7,$M1229=$O$7)),"x","")</f>
        <v/>
      </c>
      <c r="P1229" s="39" t="str">
        <f>IF(AND($L1229=$O$7,$B1229&lt;'111'!$N$11),"x","")</f>
        <v/>
      </c>
      <c r="Q1229" s="39" t="str">
        <f>IF(AND($M1229=$O$7,$B1229&lt;'111'!$N$11),"x","")</f>
        <v/>
      </c>
      <c r="R1229" s="39" t="str">
        <f>IF(ISERROR(FIND('112'!$M$9,G1229,1)),"",IF((AND(FIND('112'!$M$9,G1229,1)&gt;=1,$B1229&gt;='112'!$N$8,$B1229&lt;='112'!$O$8,OR($L1229='112'!$I$6,$M1229='112'!$I$6))),"x",""))</f>
        <v/>
      </c>
      <c r="S1229" s="39" t="str">
        <f>IF(ISERROR(FIND('112'!$M$9,G1229,1)),"",IF((AND(LEFT(G1229,2)=LEFT('112'!$M$9,2),B1229&lt;'112'!$N$8,$L1229='112'!$I$6)),"x",""))</f>
        <v/>
      </c>
      <c r="T1229" s="39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39" t="str">
        <f>IF(OR(TH!L1229=TH!$V$7,M1229=TH!$V$7),"x","")</f>
        <v/>
      </c>
      <c r="W1229" s="39" t="str">
        <f>IF(AND(B1229&gt;='IN-NX'!$P$3,B1229&lt;='IN-NX'!$Q$3,'IN-NX'!$D$7=D1229,OR(LEFT(L1229,2)="15",AND(LEFT(M1229,2)&lt;&gt;"15",LEFT(M1229,2)&lt;&gt;"33"))),"x","")</f>
        <v/>
      </c>
      <c r="X1229" s="39" t="str">
        <f>IF(AND(OR(LEFT(TH!L1229,2)="15",LEFT(TH!M1229,2)="15"),'152-CT'!$J$8=TH!F1229),"x","")</f>
        <v/>
      </c>
      <c r="Y1229" s="39" t="str">
        <f>IF(AND(OR(LEFT(TH!L1229,2)="15",LEFT(TH!M1229,2)="15"),TK!$E$7=TH!F1229),"x","")</f>
        <v/>
      </c>
      <c r="Z1229" s="39" t="str">
        <f>IF(AND(B1229&lt;=NKC!$N$8,B1229&gt;=NKC!$M$8),"x","")</f>
        <v>x</v>
      </c>
      <c r="AA1229" s="883"/>
    </row>
    <row r="1230" spans="1:27" s="211" customFormat="1" ht="15.75" customHeight="1">
      <c r="A1230" s="204" t="str">
        <f>IF(B1230&lt;&gt;"",IF(AND(B1230&gt;=_TM1,B1230&lt;=_TM2,OR(TH!L1230="1111",TH!M1230="1111")),TH!D1230,""),"")</f>
        <v/>
      </c>
      <c r="B1230" s="36">
        <f t="shared" si="439"/>
        <v>7</v>
      </c>
      <c r="C1230" s="191">
        <f t="shared" ref="C1230:C1293" si="440">E1230</f>
        <v>41472</v>
      </c>
      <c r="D1230" s="191" t="s">
        <v>1292</v>
      </c>
      <c r="E1230" s="191">
        <v>41472</v>
      </c>
      <c r="F1230" s="192" t="s">
        <v>1252</v>
      </c>
      <c r="G1230" s="487" t="s">
        <v>871</v>
      </c>
      <c r="H1230" s="7" t="s">
        <v>1284</v>
      </c>
      <c r="I1230" s="256">
        <v>343</v>
      </c>
      <c r="J1230" s="256">
        <v>23149</v>
      </c>
      <c r="K1230" s="602">
        <f t="shared" ref="K1230:K1293" si="441">ROUND(I1230*J1230,0)</f>
        <v>7940107</v>
      </c>
      <c r="L1230" s="39" t="s">
        <v>165</v>
      </c>
      <c r="M1230" s="603" t="s">
        <v>159</v>
      </c>
      <c r="N1230" s="39" t="str">
        <f>IF(AND('331-CT'!$E$7=TH!H1230,OR(L1230="331",M1230="331")),"331",IF(AND(OR(L1230="131",M1230="131"),H1230='131-CT'!$E$7),"131",""))</f>
        <v/>
      </c>
      <c r="O1230" s="39" t="str">
        <f>IF(AND($B1230&gt;='111'!$N$11,$B1230&lt;='111'!$O$11,OR($L1230=$O$7,$M1230=$O$7)),"x","")</f>
        <v/>
      </c>
      <c r="P1230" s="39" t="str">
        <f>IF(AND($L1230=$O$7,$B1230&lt;'111'!$N$11),"x","")</f>
        <v/>
      </c>
      <c r="Q1230" s="39" t="str">
        <f>IF(AND($M1230=$O$7,$B1230&lt;'111'!$N$11),"x","")</f>
        <v/>
      </c>
      <c r="R1230" s="39" t="str">
        <f>IF(ISERROR(FIND('112'!$M$9,G1230,1)),"",IF((AND(FIND('112'!$M$9,G1230,1)&gt;=1,$B1230&gt;='112'!$N$8,$B1230&lt;='112'!$O$8,OR($L1230='112'!$I$6,$M1230='112'!$I$6))),"x",""))</f>
        <v/>
      </c>
      <c r="S1230" s="39" t="str">
        <f>IF(ISERROR(FIND('112'!$M$9,G1230,1)),"",IF((AND(LEFT(G1230,2)=LEFT('112'!$M$9,2),B1230&lt;'112'!$N$8,$L1230='112'!$I$6)),"x",""))</f>
        <v/>
      </c>
      <c r="T1230" s="39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39" t="str">
        <f>IF(OR(TH!L1230=TH!$V$7,M1230=TH!$V$7),"x","")</f>
        <v/>
      </c>
      <c r="W1230" s="39" t="str">
        <f>IF(AND(B1230&gt;='IN-NX'!$P$3,B1230&lt;='IN-NX'!$Q$3,'IN-NX'!$D$7=D1230,OR(LEFT(L1230,2)="15",AND(LEFT(M1230,2)&lt;&gt;"15",LEFT(M1230,2)&lt;&gt;"33"))),"x","")</f>
        <v/>
      </c>
      <c r="X1230" s="39" t="str">
        <f>IF(AND(OR(LEFT(TH!L1230,2)="15",LEFT(TH!M1230,2)="15"),'152-CT'!$J$8=TH!F1230),"x","")</f>
        <v/>
      </c>
      <c r="Y1230" s="39" t="str">
        <f>IF(AND(OR(LEFT(TH!L1230,2)="15",LEFT(TH!M1230,2)="15"),TK!$E$7=TH!F1230),"x","")</f>
        <v/>
      </c>
      <c r="Z1230" s="39" t="str">
        <f>IF(AND(B1230&lt;=NKC!$N$8,B1230&gt;=NKC!$M$8),"x","")</f>
        <v>x</v>
      </c>
      <c r="AA1230" s="883"/>
    </row>
    <row r="1231" spans="1:27" s="211" customFormat="1" ht="15.75" customHeight="1">
      <c r="A1231" s="204" t="str">
        <f>IF(B1231&lt;&gt;"",IF(AND(B1231&gt;=_TM1,B1231&lt;=_TM2,OR(TH!L1231="1111",TH!M1231="1111")),TH!D1231,""),"")</f>
        <v/>
      </c>
      <c r="B1231" s="36">
        <f t="shared" si="439"/>
        <v>7</v>
      </c>
      <c r="C1231" s="191">
        <f t="shared" si="440"/>
        <v>41472</v>
      </c>
      <c r="D1231" s="191" t="s">
        <v>1292</v>
      </c>
      <c r="E1231" s="191">
        <v>41472</v>
      </c>
      <c r="F1231" s="192" t="s">
        <v>1234</v>
      </c>
      <c r="G1231" s="487" t="s">
        <v>872</v>
      </c>
      <c r="H1231" s="7" t="s">
        <v>1284</v>
      </c>
      <c r="I1231" s="256">
        <v>375</v>
      </c>
      <c r="J1231" s="256">
        <v>18306</v>
      </c>
      <c r="K1231" s="602">
        <f t="shared" si="441"/>
        <v>6864750</v>
      </c>
      <c r="L1231" s="39" t="s">
        <v>165</v>
      </c>
      <c r="M1231" s="603" t="s">
        <v>159</v>
      </c>
      <c r="N1231" s="39" t="str">
        <f>IF(AND('331-CT'!$E$7=TH!H1231,OR(L1231="331",M1231="331")),"331",IF(AND(OR(L1231="131",M1231="131"),H1231='131-CT'!$E$7),"131",""))</f>
        <v/>
      </c>
      <c r="O1231" s="39" t="str">
        <f>IF(AND($B1231&gt;='111'!$N$11,$B1231&lt;='111'!$O$11,OR($L1231=$O$7,$M1231=$O$7)),"x","")</f>
        <v/>
      </c>
      <c r="P1231" s="39" t="str">
        <f>IF(AND($L1231=$O$7,$B1231&lt;'111'!$N$11),"x","")</f>
        <v/>
      </c>
      <c r="Q1231" s="39" t="str">
        <f>IF(AND($M1231=$O$7,$B1231&lt;'111'!$N$11),"x","")</f>
        <v/>
      </c>
      <c r="R1231" s="39" t="str">
        <f>IF(ISERROR(FIND('112'!$M$9,G1231,1)),"",IF((AND(FIND('112'!$M$9,G1231,1)&gt;=1,$B1231&gt;='112'!$N$8,$B1231&lt;='112'!$O$8,OR($L1231='112'!$I$6,$M1231='112'!$I$6))),"x",""))</f>
        <v/>
      </c>
      <c r="S1231" s="39" t="str">
        <f>IF(ISERROR(FIND('112'!$M$9,G1231,1)),"",IF((AND(LEFT(G1231,2)=LEFT('112'!$M$9,2),B1231&lt;'112'!$N$8,$L1231='112'!$I$6)),"x",""))</f>
        <v/>
      </c>
      <c r="T1231" s="39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39" t="str">
        <f>IF(OR(TH!L1231=TH!$V$7,M1231=TH!$V$7),"x","")</f>
        <v/>
      </c>
      <c r="W1231" s="39" t="str">
        <f>IF(AND(B1231&gt;='IN-NX'!$P$3,B1231&lt;='IN-NX'!$Q$3,'IN-NX'!$D$7=D1231,OR(LEFT(L1231,2)="15",AND(LEFT(M1231,2)&lt;&gt;"15",LEFT(M1231,2)&lt;&gt;"33"))),"x","")</f>
        <v/>
      </c>
      <c r="X1231" s="39" t="str">
        <f>IF(AND(OR(LEFT(TH!L1231,2)="15",LEFT(TH!M1231,2)="15"),'152-CT'!$J$8=TH!F1231),"x","")</f>
        <v/>
      </c>
      <c r="Y1231" s="39" t="str">
        <f>IF(AND(OR(LEFT(TH!L1231,2)="15",LEFT(TH!M1231,2)="15"),TK!$E$7=TH!F1231),"x","")</f>
        <v/>
      </c>
      <c r="Z1231" s="39" t="str">
        <f>IF(AND(B1231&lt;=NKC!$N$8,B1231&gt;=NKC!$M$8),"x","")</f>
        <v>x</v>
      </c>
      <c r="AA1231" s="883"/>
    </row>
    <row r="1232" spans="1:27" s="211" customFormat="1" ht="15.75" customHeight="1">
      <c r="A1232" s="204" t="str">
        <f>IF(B1232&lt;&gt;"",IF(AND(B1232&gt;=_TM1,B1232&lt;=_TM2,OR(TH!L1232="1111",TH!M1232="1111")),TH!D1232,""),"")</f>
        <v/>
      </c>
      <c r="B1232" s="36">
        <f t="shared" si="439"/>
        <v>7</v>
      </c>
      <c r="C1232" s="191">
        <f t="shared" si="440"/>
        <v>41474</v>
      </c>
      <c r="D1232" s="191" t="s">
        <v>1292</v>
      </c>
      <c r="E1232" s="773">
        <v>41474</v>
      </c>
      <c r="F1232" s="189" t="s">
        <v>698</v>
      </c>
      <c r="G1232" s="40" t="s">
        <v>873</v>
      </c>
      <c r="H1232" s="7" t="s">
        <v>1284</v>
      </c>
      <c r="I1232" s="256">
        <v>334</v>
      </c>
      <c r="J1232" s="256">
        <v>16963</v>
      </c>
      <c r="K1232" s="602">
        <f t="shared" si="441"/>
        <v>5665642</v>
      </c>
      <c r="L1232" s="39" t="s">
        <v>165</v>
      </c>
      <c r="M1232" s="603" t="s">
        <v>159</v>
      </c>
      <c r="N1232" s="39" t="str">
        <f>IF(AND('331-CT'!$E$7=TH!H1232,OR(L1232="331",M1232="331")),"331",IF(AND(OR(L1232="131",M1232="131"),H1232='131-CT'!$E$7),"131",""))</f>
        <v/>
      </c>
      <c r="O1232" s="39" t="str">
        <f>IF(AND($B1232&gt;='111'!$N$11,$B1232&lt;='111'!$O$11,OR($L1232=$O$7,$M1232=$O$7)),"x","")</f>
        <v/>
      </c>
      <c r="P1232" s="39" t="str">
        <f>IF(AND($L1232=$O$7,$B1232&lt;'111'!$N$11),"x","")</f>
        <v/>
      </c>
      <c r="Q1232" s="39" t="str">
        <f>IF(AND($M1232=$O$7,$B1232&lt;'111'!$N$11),"x","")</f>
        <v/>
      </c>
      <c r="R1232" s="39" t="str">
        <f>IF(ISERROR(FIND('112'!$M$9,G1232,1)),"",IF((AND(FIND('112'!$M$9,G1232,1)&gt;=1,$B1232&gt;='112'!$N$8,$B1232&lt;='112'!$O$8,OR($L1232='112'!$I$6,$M1232='112'!$I$6))),"x",""))</f>
        <v/>
      </c>
      <c r="S1232" s="39" t="str">
        <f>IF(ISERROR(FIND('112'!$M$9,G1232,1)),"",IF((AND(LEFT(G1232,2)=LEFT('112'!$M$9,2),B1232&lt;'112'!$N$8,$L1232='112'!$I$6)),"x",""))</f>
        <v/>
      </c>
      <c r="T1232" s="39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39" t="str">
        <f>IF(OR(TH!L1232=TH!$V$7,M1232=TH!$V$7),"x","")</f>
        <v/>
      </c>
      <c r="W1232" s="39" t="str">
        <f>IF(AND(B1232&gt;='IN-NX'!$P$3,B1232&lt;='IN-NX'!$Q$3,'IN-NX'!$D$7=D1232,OR(LEFT(L1232,2)="15",AND(LEFT(M1232,2)&lt;&gt;"15",LEFT(M1232,2)&lt;&gt;"33"))),"x","")</f>
        <v/>
      </c>
      <c r="X1232" s="39" t="str">
        <f>IF(AND(OR(LEFT(TH!L1232,2)="15",LEFT(TH!M1232,2)="15"),'152-CT'!$J$8=TH!F1232),"x","")</f>
        <v/>
      </c>
      <c r="Y1232" s="39" t="str">
        <f>IF(AND(OR(LEFT(TH!L1232,2)="15",LEFT(TH!M1232,2)="15"),TK!$E$7=TH!F1232),"x","")</f>
        <v/>
      </c>
      <c r="Z1232" s="39" t="str">
        <f>IF(AND(B1232&lt;=NKC!$N$8,B1232&gt;=NKC!$M$8),"x","")</f>
        <v>x</v>
      </c>
      <c r="AA1232" s="883"/>
    </row>
    <row r="1233" spans="1:27" s="211" customFormat="1" ht="15.75" customHeight="1">
      <c r="A1233" s="204" t="str">
        <f>IF(B1233&lt;&gt;"",IF(AND(B1233&gt;=_TM1,B1233&lt;=_TM2,OR(TH!L1233="1111",TH!M1233="1111")),TH!D1233,""),"")</f>
        <v/>
      </c>
      <c r="B1233" s="36">
        <f t="shared" si="439"/>
        <v>7</v>
      </c>
      <c r="C1233" s="191">
        <f t="shared" si="440"/>
        <v>41474</v>
      </c>
      <c r="D1233" s="191" t="s">
        <v>1292</v>
      </c>
      <c r="E1233" s="773">
        <v>41474</v>
      </c>
      <c r="F1233" s="189" t="s">
        <v>1241</v>
      </c>
      <c r="G1233" s="40" t="s">
        <v>873</v>
      </c>
      <c r="H1233" s="7" t="s">
        <v>1284</v>
      </c>
      <c r="I1233" s="256">
        <v>500</v>
      </c>
      <c r="J1233" s="256">
        <v>19910.059213884633</v>
      </c>
      <c r="K1233" s="602">
        <f t="shared" si="441"/>
        <v>9955030</v>
      </c>
      <c r="L1233" s="39" t="s">
        <v>165</v>
      </c>
      <c r="M1233" s="603" t="s">
        <v>159</v>
      </c>
      <c r="N1233" s="39" t="str">
        <f>IF(AND('331-CT'!$E$7=TH!H1233,OR(L1233="331",M1233="331")),"331",IF(AND(OR(L1233="131",M1233="131"),H1233='131-CT'!$E$7),"131",""))</f>
        <v/>
      </c>
      <c r="O1233" s="39" t="str">
        <f>IF(AND($B1233&gt;='111'!$N$11,$B1233&lt;='111'!$O$11,OR($L1233=$O$7,$M1233=$O$7)),"x","")</f>
        <v/>
      </c>
      <c r="P1233" s="39" t="str">
        <f>IF(AND($L1233=$O$7,$B1233&lt;'111'!$N$11),"x","")</f>
        <v/>
      </c>
      <c r="Q1233" s="39" t="str">
        <f>IF(AND($M1233=$O$7,$B1233&lt;'111'!$N$11),"x","")</f>
        <v/>
      </c>
      <c r="R1233" s="39" t="str">
        <f>IF(ISERROR(FIND('112'!$M$9,G1233,1)),"",IF((AND(FIND('112'!$M$9,G1233,1)&gt;=1,$B1233&gt;='112'!$N$8,$B1233&lt;='112'!$O$8,OR($L1233='112'!$I$6,$M1233='112'!$I$6))),"x",""))</f>
        <v/>
      </c>
      <c r="S1233" s="39" t="str">
        <f>IF(ISERROR(FIND('112'!$M$9,G1233,1)),"",IF((AND(LEFT(G1233,2)=LEFT('112'!$M$9,2),B1233&lt;'112'!$N$8,$L1233='112'!$I$6)),"x",""))</f>
        <v/>
      </c>
      <c r="T1233" s="39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39" t="str">
        <f>IF(OR(TH!L1233=TH!$V$7,M1233=TH!$V$7),"x","")</f>
        <v/>
      </c>
      <c r="W1233" s="39" t="str">
        <f>IF(AND(B1233&gt;='IN-NX'!$P$3,B1233&lt;='IN-NX'!$Q$3,'IN-NX'!$D$7=D1233,OR(LEFT(L1233,2)="15",AND(LEFT(M1233,2)&lt;&gt;"15",LEFT(M1233,2)&lt;&gt;"33"))),"x","")</f>
        <v/>
      </c>
      <c r="X1233" s="39" t="str">
        <f>IF(AND(OR(LEFT(TH!L1233,2)="15",LEFT(TH!M1233,2)="15"),'152-CT'!$J$8=TH!F1233),"x","")</f>
        <v/>
      </c>
      <c r="Y1233" s="39" t="str">
        <f>IF(AND(OR(LEFT(TH!L1233,2)="15",LEFT(TH!M1233,2)="15"),TK!$E$7=TH!F1233),"x","")</f>
        <v/>
      </c>
      <c r="Z1233" s="39" t="str">
        <f>IF(AND(B1233&lt;=NKC!$N$8,B1233&gt;=NKC!$M$8),"x","")</f>
        <v>x</v>
      </c>
      <c r="AA1233" s="883"/>
    </row>
    <row r="1234" spans="1:27" s="211" customFormat="1" ht="15.75" customHeight="1">
      <c r="A1234" s="204" t="str">
        <f>IF(B1234&lt;&gt;"",IF(AND(B1234&gt;=_TM1,B1234&lt;=_TM2,OR(TH!L1234="1111",TH!M1234="1111")),TH!D1234,""),"")</f>
        <v/>
      </c>
      <c r="B1234" s="36">
        <f t="shared" si="439"/>
        <v>7</v>
      </c>
      <c r="C1234" s="191">
        <f t="shared" si="440"/>
        <v>41474</v>
      </c>
      <c r="D1234" s="191" t="s">
        <v>1292</v>
      </c>
      <c r="E1234" s="773">
        <v>41474</v>
      </c>
      <c r="F1234" s="189" t="s">
        <v>636</v>
      </c>
      <c r="G1234" s="40" t="s">
        <v>876</v>
      </c>
      <c r="H1234" s="7" t="s">
        <v>1284</v>
      </c>
      <c r="I1234" s="256">
        <v>50</v>
      </c>
      <c r="J1234" s="256">
        <v>36234</v>
      </c>
      <c r="K1234" s="602">
        <f t="shared" si="441"/>
        <v>1811700</v>
      </c>
      <c r="L1234" s="39" t="s">
        <v>165</v>
      </c>
      <c r="M1234" s="603" t="s">
        <v>159</v>
      </c>
      <c r="N1234" s="39" t="str">
        <f>IF(AND('331-CT'!$E$7=TH!H1234,OR(L1234="331",M1234="331")),"331",IF(AND(OR(L1234="131",M1234="131"),H1234='131-CT'!$E$7),"131",""))</f>
        <v/>
      </c>
      <c r="O1234" s="39" t="str">
        <f>IF(AND($B1234&gt;='111'!$N$11,$B1234&lt;='111'!$O$11,OR($L1234=$O$7,$M1234=$O$7)),"x","")</f>
        <v/>
      </c>
      <c r="P1234" s="39" t="str">
        <f>IF(AND($L1234=$O$7,$B1234&lt;'111'!$N$11),"x","")</f>
        <v/>
      </c>
      <c r="Q1234" s="39" t="str">
        <f>IF(AND($M1234=$O$7,$B1234&lt;'111'!$N$11),"x","")</f>
        <v/>
      </c>
      <c r="R1234" s="39" t="str">
        <f>IF(ISERROR(FIND('112'!$M$9,G1234,1)),"",IF((AND(FIND('112'!$M$9,G1234,1)&gt;=1,$B1234&gt;='112'!$N$8,$B1234&lt;='112'!$O$8,OR($L1234='112'!$I$6,$M1234='112'!$I$6))),"x",""))</f>
        <v/>
      </c>
      <c r="S1234" s="39" t="str">
        <f>IF(ISERROR(FIND('112'!$M$9,G1234,1)),"",IF((AND(LEFT(G1234,2)=LEFT('112'!$M$9,2),B1234&lt;'112'!$N$8,$L1234='112'!$I$6)),"x",""))</f>
        <v/>
      </c>
      <c r="T1234" s="39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39" t="str">
        <f>IF(OR(TH!L1234=TH!$V$7,M1234=TH!$V$7),"x","")</f>
        <v/>
      </c>
      <c r="W1234" s="39" t="str">
        <f>IF(AND(B1234&gt;='IN-NX'!$P$3,B1234&lt;='IN-NX'!$Q$3,'IN-NX'!$D$7=D1234,OR(LEFT(L1234,2)="15",AND(LEFT(M1234,2)&lt;&gt;"15",LEFT(M1234,2)&lt;&gt;"33"))),"x","")</f>
        <v/>
      </c>
      <c r="X1234" s="39" t="str">
        <f>IF(AND(OR(LEFT(TH!L1234,2)="15",LEFT(TH!M1234,2)="15"),'152-CT'!$J$8=TH!F1234),"x","")</f>
        <v/>
      </c>
      <c r="Y1234" s="39" t="str">
        <f>IF(AND(OR(LEFT(TH!L1234,2)="15",LEFT(TH!M1234,2)="15"),TK!$E$7=TH!F1234),"x","")</f>
        <v/>
      </c>
      <c r="Z1234" s="39" t="str">
        <f>IF(AND(B1234&lt;=NKC!$N$8,B1234&gt;=NKC!$M$8),"x","")</f>
        <v>x</v>
      </c>
      <c r="AA1234" s="883"/>
    </row>
    <row r="1235" spans="1:27" s="211" customFormat="1" ht="15.75" customHeight="1">
      <c r="A1235" s="204" t="str">
        <f>IF(B1235&lt;&gt;"",IF(AND(B1235&gt;=_TM1,B1235&lt;=_TM2,OR(TH!L1235="1111",TH!M1235="1111")),TH!D1235,""),"")</f>
        <v/>
      </c>
      <c r="B1235" s="36">
        <f t="shared" si="439"/>
        <v>7</v>
      </c>
      <c r="C1235" s="191">
        <f t="shared" si="440"/>
        <v>41474</v>
      </c>
      <c r="D1235" s="191" t="s">
        <v>1292</v>
      </c>
      <c r="E1235" s="773">
        <v>41474</v>
      </c>
      <c r="F1235" s="297" t="s">
        <v>1265</v>
      </c>
      <c r="G1235" s="40" t="s">
        <v>876</v>
      </c>
      <c r="H1235" s="7" t="s">
        <v>1284</v>
      </c>
      <c r="I1235" s="256">
        <v>50</v>
      </c>
      <c r="J1235" s="256">
        <v>39995</v>
      </c>
      <c r="K1235" s="602">
        <f t="shared" si="441"/>
        <v>1999750</v>
      </c>
      <c r="L1235" s="39" t="s">
        <v>165</v>
      </c>
      <c r="M1235" s="603" t="s">
        <v>159</v>
      </c>
      <c r="N1235" s="39" t="str">
        <f>IF(AND('331-CT'!$E$7=TH!H1235,OR(L1235="331",M1235="331")),"331",IF(AND(OR(L1235="131",M1235="131"),H1235='131-CT'!$E$7),"131",""))</f>
        <v/>
      </c>
      <c r="O1235" s="39" t="str">
        <f>IF(AND($B1235&gt;='111'!$N$11,$B1235&lt;='111'!$O$11,OR($L1235=$O$7,$M1235=$O$7)),"x","")</f>
        <v/>
      </c>
      <c r="P1235" s="39" t="str">
        <f>IF(AND($L1235=$O$7,$B1235&lt;'111'!$N$11),"x","")</f>
        <v/>
      </c>
      <c r="Q1235" s="39" t="str">
        <f>IF(AND($M1235=$O$7,$B1235&lt;'111'!$N$11),"x","")</f>
        <v/>
      </c>
      <c r="R1235" s="39" t="str">
        <f>IF(ISERROR(FIND('112'!$M$9,G1235,1)),"",IF((AND(FIND('112'!$M$9,G1235,1)&gt;=1,$B1235&gt;='112'!$N$8,$B1235&lt;='112'!$O$8,OR($L1235='112'!$I$6,$M1235='112'!$I$6))),"x",""))</f>
        <v/>
      </c>
      <c r="S1235" s="39" t="str">
        <f>IF(ISERROR(FIND('112'!$M$9,G1235,1)),"",IF((AND(LEFT(G1235,2)=LEFT('112'!$M$9,2),B1235&lt;'112'!$N$8,$L1235='112'!$I$6)),"x",""))</f>
        <v/>
      </c>
      <c r="T1235" s="39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39" t="str">
        <f>IF(OR(TH!L1235=TH!$V$7,M1235=TH!$V$7),"x","")</f>
        <v/>
      </c>
      <c r="W1235" s="39" t="str">
        <f>IF(AND(B1235&gt;='IN-NX'!$P$3,B1235&lt;='IN-NX'!$Q$3,'IN-NX'!$D$7=D1235,OR(LEFT(L1235,2)="15",AND(LEFT(M1235,2)&lt;&gt;"15",LEFT(M1235,2)&lt;&gt;"33"))),"x","")</f>
        <v/>
      </c>
      <c r="X1235" s="39" t="str">
        <f>IF(AND(OR(LEFT(TH!L1235,2)="15",LEFT(TH!M1235,2)="15"),'152-CT'!$J$8=TH!F1235),"x","")</f>
        <v/>
      </c>
      <c r="Y1235" s="39" t="str">
        <f>IF(AND(OR(LEFT(TH!L1235,2)="15",LEFT(TH!M1235,2)="15"),TK!$E$7=TH!F1235),"x","")</f>
        <v/>
      </c>
      <c r="Z1235" s="39" t="str">
        <f>IF(AND(B1235&lt;=NKC!$N$8,B1235&gt;=NKC!$M$8),"x","")</f>
        <v>x</v>
      </c>
      <c r="AA1235" s="883"/>
    </row>
    <row r="1236" spans="1:27" s="211" customFormat="1" ht="15.75" customHeight="1">
      <c r="A1236" s="204" t="str">
        <f>IF(B1236&lt;&gt;"",IF(AND(B1236&gt;=_TM1,B1236&lt;=_TM2,OR(TH!L1236="1111",TH!M1236="1111")),TH!D1236,""),"")</f>
        <v/>
      </c>
      <c r="B1236" s="36">
        <f t="shared" si="439"/>
        <v>7</v>
      </c>
      <c r="C1236" s="191">
        <f t="shared" si="440"/>
        <v>41474</v>
      </c>
      <c r="D1236" s="191" t="s">
        <v>1292</v>
      </c>
      <c r="E1236" s="773">
        <v>41474</v>
      </c>
      <c r="F1236" s="189" t="s">
        <v>606</v>
      </c>
      <c r="G1236" s="40" t="s">
        <v>876</v>
      </c>
      <c r="H1236" s="7" t="s">
        <v>1284</v>
      </c>
      <c r="I1236" s="256">
        <v>25</v>
      </c>
      <c r="J1236" s="256">
        <v>38966</v>
      </c>
      <c r="K1236" s="602">
        <f t="shared" si="441"/>
        <v>974150</v>
      </c>
      <c r="L1236" s="39" t="s">
        <v>165</v>
      </c>
      <c r="M1236" s="603" t="s">
        <v>159</v>
      </c>
      <c r="N1236" s="39" t="str">
        <f>IF(AND('331-CT'!$E$7=TH!H1236,OR(L1236="331",M1236="331")),"331",IF(AND(OR(L1236="131",M1236="131"),H1236='131-CT'!$E$7),"131",""))</f>
        <v/>
      </c>
      <c r="O1236" s="39" t="str">
        <f>IF(AND($B1236&gt;='111'!$N$11,$B1236&lt;='111'!$O$11,OR($L1236=$O$7,$M1236=$O$7)),"x","")</f>
        <v/>
      </c>
      <c r="P1236" s="39" t="str">
        <f>IF(AND($L1236=$O$7,$B1236&lt;'111'!$N$11),"x","")</f>
        <v/>
      </c>
      <c r="Q1236" s="39" t="str">
        <f>IF(AND($M1236=$O$7,$B1236&lt;'111'!$N$11),"x","")</f>
        <v/>
      </c>
      <c r="R1236" s="39" t="str">
        <f>IF(ISERROR(FIND('112'!$M$9,G1236,1)),"",IF((AND(FIND('112'!$M$9,G1236,1)&gt;=1,$B1236&gt;='112'!$N$8,$B1236&lt;='112'!$O$8,OR($L1236='112'!$I$6,$M1236='112'!$I$6))),"x",""))</f>
        <v/>
      </c>
      <c r="S1236" s="39" t="str">
        <f>IF(ISERROR(FIND('112'!$M$9,G1236,1)),"",IF((AND(LEFT(G1236,2)=LEFT('112'!$M$9,2),B1236&lt;'112'!$N$8,$L1236='112'!$I$6)),"x",""))</f>
        <v/>
      </c>
      <c r="T1236" s="39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39" t="str">
        <f>IF(OR(TH!L1236=TH!$V$7,M1236=TH!$V$7),"x","")</f>
        <v/>
      </c>
      <c r="W1236" s="39" t="str">
        <f>IF(AND(B1236&gt;='IN-NX'!$P$3,B1236&lt;='IN-NX'!$Q$3,'IN-NX'!$D$7=D1236,OR(LEFT(L1236,2)="15",AND(LEFT(M1236,2)&lt;&gt;"15",LEFT(M1236,2)&lt;&gt;"33"))),"x","")</f>
        <v/>
      </c>
      <c r="X1236" s="39" t="str">
        <f>IF(AND(OR(LEFT(TH!L1236,2)="15",LEFT(TH!M1236,2)="15"),'152-CT'!$J$8=TH!F1236),"x","")</f>
        <v/>
      </c>
      <c r="Y1236" s="39" t="str">
        <f>IF(AND(OR(LEFT(TH!L1236,2)="15",LEFT(TH!M1236,2)="15"),TK!$E$7=TH!F1236),"x","")</f>
        <v/>
      </c>
      <c r="Z1236" s="39" t="str">
        <f>IF(AND(B1236&lt;=NKC!$N$8,B1236&gt;=NKC!$M$8),"x","")</f>
        <v>x</v>
      </c>
      <c r="AA1236" s="883"/>
    </row>
    <row r="1237" spans="1:27" s="211" customFormat="1" ht="15.75" customHeight="1">
      <c r="A1237" s="204" t="str">
        <f>IF(B1237&lt;&gt;"",IF(AND(B1237&gt;=_TM1,B1237&lt;=_TM2,OR(TH!L1237="1111",TH!M1237="1111")),TH!D1237,""),"")</f>
        <v/>
      </c>
      <c r="B1237" s="36">
        <f t="shared" si="439"/>
        <v>7</v>
      </c>
      <c r="C1237" s="191">
        <f t="shared" si="440"/>
        <v>41474</v>
      </c>
      <c r="D1237" s="191" t="s">
        <v>1292</v>
      </c>
      <c r="E1237" s="773">
        <v>41474</v>
      </c>
      <c r="F1237" s="297" t="s">
        <v>606</v>
      </c>
      <c r="G1237" s="40" t="s">
        <v>876</v>
      </c>
      <c r="H1237" s="7" t="s">
        <v>1284</v>
      </c>
      <c r="I1237" s="256">
        <v>27</v>
      </c>
      <c r="J1237" s="256">
        <v>38966</v>
      </c>
      <c r="K1237" s="602">
        <f t="shared" si="441"/>
        <v>1052082</v>
      </c>
      <c r="L1237" s="39" t="s">
        <v>165</v>
      </c>
      <c r="M1237" s="603" t="s">
        <v>159</v>
      </c>
      <c r="N1237" s="39" t="str">
        <f>IF(AND('331-CT'!$E$7=TH!H1237,OR(L1237="331",M1237="331")),"331",IF(AND(OR(L1237="131",M1237="131"),H1237='131-CT'!$E$7),"131",""))</f>
        <v/>
      </c>
      <c r="O1237" s="39" t="str">
        <f>IF(AND($B1237&gt;='111'!$N$11,$B1237&lt;='111'!$O$11,OR($L1237=$O$7,$M1237=$O$7)),"x","")</f>
        <v/>
      </c>
      <c r="P1237" s="39" t="str">
        <f>IF(AND($L1237=$O$7,$B1237&lt;'111'!$N$11),"x","")</f>
        <v/>
      </c>
      <c r="Q1237" s="39" t="str">
        <f>IF(AND($M1237=$O$7,$B1237&lt;'111'!$N$11),"x","")</f>
        <v/>
      </c>
      <c r="R1237" s="39" t="str">
        <f>IF(ISERROR(FIND('112'!$M$9,G1237,1)),"",IF((AND(FIND('112'!$M$9,G1237,1)&gt;=1,$B1237&gt;='112'!$N$8,$B1237&lt;='112'!$O$8,OR($L1237='112'!$I$6,$M1237='112'!$I$6))),"x",""))</f>
        <v/>
      </c>
      <c r="S1237" s="39" t="str">
        <f>IF(ISERROR(FIND('112'!$M$9,G1237,1)),"",IF((AND(LEFT(G1237,2)=LEFT('112'!$M$9,2),B1237&lt;'112'!$N$8,$L1237='112'!$I$6)),"x",""))</f>
        <v/>
      </c>
      <c r="T1237" s="39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39" t="str">
        <f>IF(OR(TH!L1237=TH!$V$7,M1237=TH!$V$7),"x","")</f>
        <v/>
      </c>
      <c r="W1237" s="39" t="str">
        <f>IF(AND(B1237&gt;='IN-NX'!$P$3,B1237&lt;='IN-NX'!$Q$3,'IN-NX'!$D$7=D1237,OR(LEFT(L1237,2)="15",AND(LEFT(M1237,2)&lt;&gt;"15",LEFT(M1237,2)&lt;&gt;"33"))),"x","")</f>
        <v/>
      </c>
      <c r="X1237" s="39" t="str">
        <f>IF(AND(OR(LEFT(TH!L1237,2)="15",LEFT(TH!M1237,2)="15"),'152-CT'!$J$8=TH!F1237),"x","")</f>
        <v/>
      </c>
      <c r="Y1237" s="39" t="str">
        <f>IF(AND(OR(LEFT(TH!L1237,2)="15",LEFT(TH!M1237,2)="15"),TK!$E$7=TH!F1237),"x","")</f>
        <v/>
      </c>
      <c r="Z1237" s="39" t="str">
        <f>IF(AND(B1237&lt;=NKC!$N$8,B1237&gt;=NKC!$M$8),"x","")</f>
        <v>x</v>
      </c>
      <c r="AA1237" s="883"/>
    </row>
    <row r="1238" spans="1:27" s="211" customFormat="1" ht="15.75" customHeight="1">
      <c r="A1238" s="204" t="str">
        <f>IF(B1238&lt;&gt;"",IF(AND(B1238&gt;=_TM1,B1238&lt;=_TM2,OR(TH!L1238="1111",TH!M1238="1111")),TH!D1238,""),"")</f>
        <v/>
      </c>
      <c r="B1238" s="36">
        <f t="shared" si="439"/>
        <v>7</v>
      </c>
      <c r="C1238" s="191">
        <f t="shared" si="440"/>
        <v>41474</v>
      </c>
      <c r="D1238" s="191" t="s">
        <v>1292</v>
      </c>
      <c r="E1238" s="37">
        <v>41474</v>
      </c>
      <c r="F1238" s="40" t="s">
        <v>606</v>
      </c>
      <c r="G1238" s="40" t="s">
        <v>876</v>
      </c>
      <c r="H1238" s="7" t="s">
        <v>1284</v>
      </c>
      <c r="I1238" s="256">
        <v>28</v>
      </c>
      <c r="J1238" s="256">
        <v>38966</v>
      </c>
      <c r="K1238" s="602">
        <f t="shared" si="441"/>
        <v>1091048</v>
      </c>
      <c r="L1238" s="39" t="s">
        <v>165</v>
      </c>
      <c r="M1238" s="603" t="s">
        <v>159</v>
      </c>
      <c r="N1238" s="39" t="str">
        <f>IF(AND('331-CT'!$E$7=TH!H1238,OR(L1238="331",M1238="331")),"331",IF(AND(OR(L1238="131",M1238="131"),H1238='131-CT'!$E$7),"131",""))</f>
        <v/>
      </c>
      <c r="O1238" s="39" t="str">
        <f>IF(AND($B1238&gt;='111'!$N$11,$B1238&lt;='111'!$O$11,OR($L1238=$O$7,$M1238=$O$7)),"x","")</f>
        <v/>
      </c>
      <c r="P1238" s="39" t="str">
        <f>IF(AND($L1238=$O$7,$B1238&lt;'111'!$N$11),"x","")</f>
        <v/>
      </c>
      <c r="Q1238" s="39" t="str">
        <f>IF(AND($M1238=$O$7,$B1238&lt;'111'!$N$11),"x","")</f>
        <v/>
      </c>
      <c r="R1238" s="39" t="str">
        <f>IF(ISERROR(FIND('112'!$M$9,G1238,1)),"",IF((AND(FIND('112'!$M$9,G1238,1)&gt;=1,$B1238&gt;='112'!$N$8,$B1238&lt;='112'!$O$8,OR($L1238='112'!$I$6,$M1238='112'!$I$6))),"x",""))</f>
        <v/>
      </c>
      <c r="S1238" s="39" t="str">
        <f>IF(ISERROR(FIND('112'!$M$9,G1238,1)),"",IF((AND(LEFT(G1238,2)=LEFT('112'!$M$9,2),B1238&lt;'112'!$N$8,$L1238='112'!$I$6)),"x",""))</f>
        <v/>
      </c>
      <c r="T1238" s="39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39" t="str">
        <f>IF(OR(TH!L1238=TH!$V$7,M1238=TH!$V$7),"x","")</f>
        <v/>
      </c>
      <c r="W1238" s="39" t="str">
        <f>IF(AND(B1238&gt;='IN-NX'!$P$3,B1238&lt;='IN-NX'!$Q$3,'IN-NX'!$D$7=D1238,OR(LEFT(L1238,2)="15",AND(LEFT(M1238,2)&lt;&gt;"15",LEFT(M1238,2)&lt;&gt;"33"))),"x","")</f>
        <v/>
      </c>
      <c r="X1238" s="39" t="str">
        <f>IF(AND(OR(LEFT(TH!L1238,2)="15",LEFT(TH!M1238,2)="15"),'152-CT'!$J$8=TH!F1238),"x","")</f>
        <v/>
      </c>
      <c r="Y1238" s="39" t="str">
        <f>IF(AND(OR(LEFT(TH!L1238,2)="15",LEFT(TH!M1238,2)="15"),TK!$E$7=TH!F1238),"x","")</f>
        <v/>
      </c>
      <c r="Z1238" s="39" t="str">
        <f>IF(AND(B1238&lt;=NKC!$N$8,B1238&gt;=NKC!$M$8),"x","")</f>
        <v>x</v>
      </c>
      <c r="AA1238" s="883"/>
    </row>
    <row r="1239" spans="1:27" s="211" customFormat="1" ht="15.75" customHeight="1">
      <c r="A1239" s="204" t="str">
        <f>IF(B1239&lt;&gt;"",IF(AND(B1239&gt;=_TM1,B1239&lt;=_TM2,OR(TH!L1239="1111",TH!M1239="1111")),TH!D1239,""),"")</f>
        <v/>
      </c>
      <c r="B1239" s="36">
        <f t="shared" si="439"/>
        <v>7</v>
      </c>
      <c r="C1239" s="191">
        <f t="shared" si="440"/>
        <v>41474</v>
      </c>
      <c r="D1239" s="191" t="s">
        <v>1292</v>
      </c>
      <c r="E1239" s="37">
        <v>41474</v>
      </c>
      <c r="F1239" s="40" t="s">
        <v>606</v>
      </c>
      <c r="G1239" s="40" t="s">
        <v>876</v>
      </c>
      <c r="H1239" s="7" t="s">
        <v>1284</v>
      </c>
      <c r="I1239" s="256">
        <v>30</v>
      </c>
      <c r="J1239" s="256">
        <v>38966</v>
      </c>
      <c r="K1239" s="602">
        <f t="shared" si="441"/>
        <v>1168980</v>
      </c>
      <c r="L1239" s="39" t="s">
        <v>165</v>
      </c>
      <c r="M1239" s="603" t="s">
        <v>159</v>
      </c>
      <c r="N1239" s="39" t="str">
        <f>IF(AND('331-CT'!$E$7=TH!H1239,OR(L1239="331",M1239="331")),"331",IF(AND(OR(L1239="131",M1239="131"),H1239='131-CT'!$E$7),"131",""))</f>
        <v/>
      </c>
      <c r="O1239" s="39" t="str">
        <f>IF(AND($B1239&gt;='111'!$N$11,$B1239&lt;='111'!$O$11,OR($L1239=$O$7,$M1239=$O$7)),"x","")</f>
        <v/>
      </c>
      <c r="P1239" s="39" t="str">
        <f>IF(AND($L1239=$O$7,$B1239&lt;'111'!$N$11),"x","")</f>
        <v/>
      </c>
      <c r="Q1239" s="39" t="str">
        <f>IF(AND($M1239=$O$7,$B1239&lt;'111'!$N$11),"x","")</f>
        <v/>
      </c>
      <c r="R1239" s="39" t="str">
        <f>IF(ISERROR(FIND('112'!$M$9,G1239,1)),"",IF((AND(FIND('112'!$M$9,G1239,1)&gt;=1,$B1239&gt;='112'!$N$8,$B1239&lt;='112'!$O$8,OR($L1239='112'!$I$6,$M1239='112'!$I$6))),"x",""))</f>
        <v/>
      </c>
      <c r="S1239" s="39" t="str">
        <f>IF(ISERROR(FIND('112'!$M$9,G1239,1)),"",IF((AND(LEFT(G1239,2)=LEFT('112'!$M$9,2),B1239&lt;'112'!$N$8,$L1239='112'!$I$6)),"x",""))</f>
        <v/>
      </c>
      <c r="T1239" s="39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39" t="str">
        <f>IF(OR(TH!L1239=TH!$V$7,M1239=TH!$V$7),"x","")</f>
        <v/>
      </c>
      <c r="W1239" s="39" t="str">
        <f>IF(AND(B1239&gt;='IN-NX'!$P$3,B1239&lt;='IN-NX'!$Q$3,'IN-NX'!$D$7=D1239,OR(LEFT(L1239,2)="15",AND(LEFT(M1239,2)&lt;&gt;"15",LEFT(M1239,2)&lt;&gt;"33"))),"x","")</f>
        <v/>
      </c>
      <c r="X1239" s="39" t="str">
        <f>IF(AND(OR(LEFT(TH!L1239,2)="15",LEFT(TH!M1239,2)="15"),'152-CT'!$J$8=TH!F1239),"x","")</f>
        <v/>
      </c>
      <c r="Y1239" s="39" t="str">
        <f>IF(AND(OR(LEFT(TH!L1239,2)="15",LEFT(TH!M1239,2)="15"),TK!$E$7=TH!F1239),"x","")</f>
        <v/>
      </c>
      <c r="Z1239" s="39" t="str">
        <f>IF(AND(B1239&lt;=NKC!$N$8,B1239&gt;=NKC!$M$8),"x","")</f>
        <v>x</v>
      </c>
      <c r="AA1239" s="883"/>
    </row>
    <row r="1240" spans="1:27" s="211" customFormat="1" ht="15.75" customHeight="1">
      <c r="A1240" s="204" t="str">
        <f>IF(B1240&lt;&gt;"",IF(AND(B1240&gt;=_TM1,B1240&lt;=_TM2,OR(TH!L1240="1111",TH!M1240="1111")),TH!D1240,""),"")</f>
        <v/>
      </c>
      <c r="B1240" s="36">
        <f t="shared" si="439"/>
        <v>7</v>
      </c>
      <c r="C1240" s="191">
        <f t="shared" si="440"/>
        <v>41476</v>
      </c>
      <c r="D1240" s="191" t="s">
        <v>1292</v>
      </c>
      <c r="E1240" s="37">
        <v>41476</v>
      </c>
      <c r="F1240" s="40" t="s">
        <v>1278</v>
      </c>
      <c r="G1240" s="40" t="s">
        <v>884</v>
      </c>
      <c r="H1240" s="7" t="s">
        <v>1284</v>
      </c>
      <c r="I1240" s="256">
        <v>130</v>
      </c>
      <c r="J1240" s="256">
        <v>13381</v>
      </c>
      <c r="K1240" s="602">
        <f t="shared" si="441"/>
        <v>1739530</v>
      </c>
      <c r="L1240" s="39" t="s">
        <v>165</v>
      </c>
      <c r="M1240" s="603" t="s">
        <v>159</v>
      </c>
      <c r="N1240" s="39" t="str">
        <f>IF(AND('331-CT'!$E$7=TH!H1240,OR(L1240="331",M1240="331")),"331",IF(AND(OR(L1240="131",M1240="131"),H1240='131-CT'!$E$7),"131",""))</f>
        <v/>
      </c>
      <c r="O1240" s="39" t="str">
        <f>IF(AND($B1240&gt;='111'!$N$11,$B1240&lt;='111'!$O$11,OR($L1240=$O$7,$M1240=$O$7)),"x","")</f>
        <v/>
      </c>
      <c r="P1240" s="39" t="str">
        <f>IF(AND($L1240=$O$7,$B1240&lt;'111'!$N$11),"x","")</f>
        <v/>
      </c>
      <c r="Q1240" s="39" t="str">
        <f>IF(AND($M1240=$O$7,$B1240&lt;'111'!$N$11),"x","")</f>
        <v/>
      </c>
      <c r="R1240" s="39" t="str">
        <f>IF(ISERROR(FIND('112'!$M$9,G1240,1)),"",IF((AND(FIND('112'!$M$9,G1240,1)&gt;=1,$B1240&gt;='112'!$N$8,$B1240&lt;='112'!$O$8,OR($L1240='112'!$I$6,$M1240='112'!$I$6))),"x",""))</f>
        <v/>
      </c>
      <c r="S1240" s="39" t="str">
        <f>IF(ISERROR(FIND('112'!$M$9,G1240,1)),"",IF((AND(LEFT(G1240,2)=LEFT('112'!$M$9,2),B1240&lt;'112'!$N$8,$L1240='112'!$I$6)),"x",""))</f>
        <v/>
      </c>
      <c r="T1240" s="39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39" t="str">
        <f>IF(OR(TH!L1240=TH!$V$7,M1240=TH!$V$7),"x","")</f>
        <v/>
      </c>
      <c r="W1240" s="39" t="str">
        <f>IF(AND(B1240&gt;='IN-NX'!$P$3,B1240&lt;='IN-NX'!$Q$3,'IN-NX'!$D$7=D1240,OR(LEFT(L1240,2)="15",AND(LEFT(M1240,2)&lt;&gt;"15",LEFT(M1240,2)&lt;&gt;"33"))),"x","")</f>
        <v/>
      </c>
      <c r="X1240" s="39" t="str">
        <f>IF(AND(OR(LEFT(TH!L1240,2)="15",LEFT(TH!M1240,2)="15"),'152-CT'!$J$8=TH!F1240),"x","")</f>
        <v/>
      </c>
      <c r="Y1240" s="39" t="str">
        <f>IF(AND(OR(LEFT(TH!L1240,2)="15",LEFT(TH!M1240,2)="15"),TK!$E$7=TH!F1240),"x","")</f>
        <v/>
      </c>
      <c r="Z1240" s="39" t="str">
        <f>IF(AND(B1240&lt;=NKC!$N$8,B1240&gt;=NKC!$M$8),"x","")</f>
        <v>x</v>
      </c>
      <c r="AA1240" s="883"/>
    </row>
    <row r="1241" spans="1:27" s="211" customFormat="1" ht="15.75" customHeight="1">
      <c r="A1241" s="204" t="str">
        <f>IF(B1241&lt;&gt;"",IF(AND(B1241&gt;=_TM1,B1241&lt;=_TM2,OR(TH!L1241="1111",TH!M1241="1111")),TH!D1241,""),"")</f>
        <v/>
      </c>
      <c r="B1241" s="36">
        <f t="shared" si="439"/>
        <v>7</v>
      </c>
      <c r="C1241" s="191">
        <f t="shared" si="440"/>
        <v>41476</v>
      </c>
      <c r="D1241" s="191" t="s">
        <v>1292</v>
      </c>
      <c r="E1241" s="37">
        <v>41476</v>
      </c>
      <c r="F1241" s="40" t="s">
        <v>615</v>
      </c>
      <c r="G1241" s="40" t="s">
        <v>884</v>
      </c>
      <c r="H1241" s="7" t="s">
        <v>1284</v>
      </c>
      <c r="I1241" s="256">
        <v>101</v>
      </c>
      <c r="J1241" s="256">
        <v>9324</v>
      </c>
      <c r="K1241" s="602">
        <f t="shared" si="441"/>
        <v>941724</v>
      </c>
      <c r="L1241" s="39" t="s">
        <v>165</v>
      </c>
      <c r="M1241" s="603" t="s">
        <v>159</v>
      </c>
      <c r="N1241" s="39" t="str">
        <f>IF(AND('331-CT'!$E$7=TH!H1241,OR(L1241="331",M1241="331")),"331",IF(AND(OR(L1241="131",M1241="131"),H1241='131-CT'!$E$7),"131",""))</f>
        <v/>
      </c>
      <c r="O1241" s="39" t="str">
        <f>IF(AND($B1241&gt;='111'!$N$11,$B1241&lt;='111'!$O$11,OR($L1241=$O$7,$M1241=$O$7)),"x","")</f>
        <v/>
      </c>
      <c r="P1241" s="39" t="str">
        <f>IF(AND($L1241=$O$7,$B1241&lt;'111'!$N$11),"x","")</f>
        <v/>
      </c>
      <c r="Q1241" s="39" t="str">
        <f>IF(AND($M1241=$O$7,$B1241&lt;'111'!$N$11),"x","")</f>
        <v/>
      </c>
      <c r="R1241" s="39" t="str">
        <f>IF(ISERROR(FIND('112'!$M$9,G1241,1)),"",IF((AND(FIND('112'!$M$9,G1241,1)&gt;=1,$B1241&gt;='112'!$N$8,$B1241&lt;='112'!$O$8,OR($L1241='112'!$I$6,$M1241='112'!$I$6))),"x",""))</f>
        <v/>
      </c>
      <c r="S1241" s="39" t="str">
        <f>IF(ISERROR(FIND('112'!$M$9,G1241,1)),"",IF((AND(LEFT(G1241,2)=LEFT('112'!$M$9,2),B1241&lt;'112'!$N$8,$L1241='112'!$I$6)),"x",""))</f>
        <v/>
      </c>
      <c r="T1241" s="39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39" t="str">
        <f>IF(OR(TH!L1241=TH!$V$7,M1241=TH!$V$7),"x","")</f>
        <v/>
      </c>
      <c r="W1241" s="39" t="str">
        <f>IF(AND(B1241&gt;='IN-NX'!$P$3,B1241&lt;='IN-NX'!$Q$3,'IN-NX'!$D$7=D1241,OR(LEFT(L1241,2)="15",AND(LEFT(M1241,2)&lt;&gt;"15",LEFT(M1241,2)&lt;&gt;"33"))),"x","")</f>
        <v/>
      </c>
      <c r="X1241" s="39" t="str">
        <f>IF(AND(OR(LEFT(TH!L1241,2)="15",LEFT(TH!M1241,2)="15"),'152-CT'!$J$8=TH!F1241),"x","")</f>
        <v/>
      </c>
      <c r="Y1241" s="39" t="str">
        <f>IF(AND(OR(LEFT(TH!L1241,2)="15",LEFT(TH!M1241,2)="15"),TK!$E$7=TH!F1241),"x","")</f>
        <v/>
      </c>
      <c r="Z1241" s="39" t="str">
        <f>IF(AND(B1241&lt;=NKC!$N$8,B1241&gt;=NKC!$M$8),"x","")</f>
        <v>x</v>
      </c>
      <c r="AA1241" s="883"/>
    </row>
    <row r="1242" spans="1:27" s="211" customFormat="1" ht="15.75" customHeight="1">
      <c r="A1242" s="204" t="str">
        <f>IF(B1242&lt;&gt;"",IF(AND(B1242&gt;=_TM1,B1242&lt;=_TM2,OR(TH!L1242="1111",TH!M1242="1111")),TH!D1242,""),"")</f>
        <v/>
      </c>
      <c r="B1242" s="36">
        <f t="shared" si="439"/>
        <v>7</v>
      </c>
      <c r="C1242" s="191">
        <f t="shared" si="440"/>
        <v>41476</v>
      </c>
      <c r="D1242" s="191" t="s">
        <v>1292</v>
      </c>
      <c r="E1242" s="37">
        <v>41476</v>
      </c>
      <c r="F1242" s="40" t="s">
        <v>1234</v>
      </c>
      <c r="G1242" s="40" t="s">
        <v>884</v>
      </c>
      <c r="H1242" s="7" t="s">
        <v>1284</v>
      </c>
      <c r="I1242" s="256">
        <v>49</v>
      </c>
      <c r="J1242" s="256">
        <v>18306</v>
      </c>
      <c r="K1242" s="602">
        <f t="shared" si="441"/>
        <v>896994</v>
      </c>
      <c r="L1242" s="39" t="s">
        <v>165</v>
      </c>
      <c r="M1242" s="603" t="s">
        <v>159</v>
      </c>
      <c r="N1242" s="39" t="str">
        <f>IF(AND('331-CT'!$E$7=TH!H1242,OR(L1242="331",M1242="331")),"331",IF(AND(OR(L1242="131",M1242="131"),H1242='131-CT'!$E$7),"131",""))</f>
        <v/>
      </c>
      <c r="O1242" s="39" t="str">
        <f>IF(AND($B1242&gt;='111'!$N$11,$B1242&lt;='111'!$O$11,OR($L1242=$O$7,$M1242=$O$7)),"x","")</f>
        <v/>
      </c>
      <c r="P1242" s="39" t="str">
        <f>IF(AND($L1242=$O$7,$B1242&lt;'111'!$N$11),"x","")</f>
        <v/>
      </c>
      <c r="Q1242" s="39" t="str">
        <f>IF(AND($M1242=$O$7,$B1242&lt;'111'!$N$11),"x","")</f>
        <v/>
      </c>
      <c r="R1242" s="39" t="str">
        <f>IF(ISERROR(FIND('112'!$M$9,G1242,1)),"",IF((AND(FIND('112'!$M$9,G1242,1)&gt;=1,$B1242&gt;='112'!$N$8,$B1242&lt;='112'!$O$8,OR($L1242='112'!$I$6,$M1242='112'!$I$6))),"x",""))</f>
        <v/>
      </c>
      <c r="S1242" s="39" t="str">
        <f>IF(ISERROR(FIND('112'!$M$9,G1242,1)),"",IF((AND(LEFT(G1242,2)=LEFT('112'!$M$9,2),B1242&lt;'112'!$N$8,$L1242='112'!$I$6)),"x",""))</f>
        <v/>
      </c>
      <c r="T1242" s="39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39" t="str">
        <f>IF(OR(TH!L1242=TH!$V$7,M1242=TH!$V$7),"x","")</f>
        <v/>
      </c>
      <c r="W1242" s="39" t="str">
        <f>IF(AND(B1242&gt;='IN-NX'!$P$3,B1242&lt;='IN-NX'!$Q$3,'IN-NX'!$D$7=D1242,OR(LEFT(L1242,2)="15",AND(LEFT(M1242,2)&lt;&gt;"15",LEFT(M1242,2)&lt;&gt;"33"))),"x","")</f>
        <v/>
      </c>
      <c r="X1242" s="39" t="str">
        <f>IF(AND(OR(LEFT(TH!L1242,2)="15",LEFT(TH!M1242,2)="15"),'152-CT'!$J$8=TH!F1242),"x","")</f>
        <v/>
      </c>
      <c r="Y1242" s="39" t="str">
        <f>IF(AND(OR(LEFT(TH!L1242,2)="15",LEFT(TH!M1242,2)="15"),TK!$E$7=TH!F1242),"x","")</f>
        <v/>
      </c>
      <c r="Z1242" s="39" t="str">
        <f>IF(AND(B1242&lt;=NKC!$N$8,B1242&gt;=NKC!$M$8),"x","")</f>
        <v>x</v>
      </c>
      <c r="AA1242" s="883"/>
    </row>
    <row r="1243" spans="1:27" s="211" customFormat="1" ht="15.75" customHeight="1">
      <c r="A1243" s="204" t="str">
        <f>IF(B1243&lt;&gt;"",IF(AND(B1243&gt;=_TM1,B1243&lt;=_TM2,OR(TH!L1243="1111",TH!M1243="1111")),TH!D1243,""),"")</f>
        <v/>
      </c>
      <c r="B1243" s="36">
        <f t="shared" si="439"/>
        <v>7</v>
      </c>
      <c r="C1243" s="191">
        <f t="shared" si="440"/>
        <v>41477</v>
      </c>
      <c r="D1243" s="191" t="s">
        <v>1292</v>
      </c>
      <c r="E1243" s="37">
        <v>41477</v>
      </c>
      <c r="F1243" s="40" t="s">
        <v>1252</v>
      </c>
      <c r="G1243" s="40" t="s">
        <v>886</v>
      </c>
      <c r="H1243" s="7" t="s">
        <v>1284</v>
      </c>
      <c r="I1243" s="256">
        <v>50</v>
      </c>
      <c r="J1243" s="256">
        <v>23149</v>
      </c>
      <c r="K1243" s="602">
        <f t="shared" si="441"/>
        <v>1157450</v>
      </c>
      <c r="L1243" s="39" t="s">
        <v>165</v>
      </c>
      <c r="M1243" s="603" t="s">
        <v>159</v>
      </c>
      <c r="N1243" s="39" t="str">
        <f>IF(AND('331-CT'!$E$7=TH!H1243,OR(L1243="331",M1243="331")),"331",IF(AND(OR(L1243="131",M1243="131"),H1243='131-CT'!$E$7),"131",""))</f>
        <v/>
      </c>
      <c r="O1243" s="39" t="str">
        <f>IF(AND($B1243&gt;='111'!$N$11,$B1243&lt;='111'!$O$11,OR($L1243=$O$7,$M1243=$O$7)),"x","")</f>
        <v/>
      </c>
      <c r="P1243" s="39" t="str">
        <f>IF(AND($L1243=$O$7,$B1243&lt;'111'!$N$11),"x","")</f>
        <v/>
      </c>
      <c r="Q1243" s="39" t="str">
        <f>IF(AND($M1243=$O$7,$B1243&lt;'111'!$N$11),"x","")</f>
        <v/>
      </c>
      <c r="R1243" s="39" t="str">
        <f>IF(ISERROR(FIND('112'!$M$9,G1243,1)),"",IF((AND(FIND('112'!$M$9,G1243,1)&gt;=1,$B1243&gt;='112'!$N$8,$B1243&lt;='112'!$O$8,OR($L1243='112'!$I$6,$M1243='112'!$I$6))),"x",""))</f>
        <v/>
      </c>
      <c r="S1243" s="39" t="str">
        <f>IF(ISERROR(FIND('112'!$M$9,G1243,1)),"",IF((AND(LEFT(G1243,2)=LEFT('112'!$M$9,2),B1243&lt;'112'!$N$8,$L1243='112'!$I$6)),"x",""))</f>
        <v/>
      </c>
      <c r="T1243" s="39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39" t="str">
        <f>IF(OR(TH!L1243=TH!$V$7,M1243=TH!$V$7),"x","")</f>
        <v/>
      </c>
      <c r="W1243" s="39" t="str">
        <f>IF(AND(B1243&gt;='IN-NX'!$P$3,B1243&lt;='IN-NX'!$Q$3,'IN-NX'!$D$7=D1243,OR(LEFT(L1243,2)="15",AND(LEFT(M1243,2)&lt;&gt;"15",LEFT(M1243,2)&lt;&gt;"33"))),"x","")</f>
        <v/>
      </c>
      <c r="X1243" s="39" t="str">
        <f>IF(AND(OR(LEFT(TH!L1243,2)="15",LEFT(TH!M1243,2)="15"),'152-CT'!$J$8=TH!F1243),"x","")</f>
        <v/>
      </c>
      <c r="Y1243" s="39" t="str">
        <f>IF(AND(OR(LEFT(TH!L1243,2)="15",LEFT(TH!M1243,2)="15"),TK!$E$7=TH!F1243),"x","")</f>
        <v/>
      </c>
      <c r="Z1243" s="39" t="str">
        <f>IF(AND(B1243&lt;=NKC!$N$8,B1243&gt;=NKC!$M$8),"x","")</f>
        <v>x</v>
      </c>
      <c r="AA1243" s="883"/>
    </row>
    <row r="1244" spans="1:27" s="211" customFormat="1" ht="15.75" customHeight="1">
      <c r="A1244" s="204" t="str">
        <f>IF(B1244&lt;&gt;"",IF(AND(B1244&gt;=_TM1,B1244&lt;=_TM2,OR(TH!L1244="1111",TH!M1244="1111")),TH!D1244,""),"")</f>
        <v/>
      </c>
      <c r="B1244" s="36">
        <f t="shared" si="439"/>
        <v>7</v>
      </c>
      <c r="C1244" s="191">
        <f t="shared" si="440"/>
        <v>41477</v>
      </c>
      <c r="D1244" s="191" t="s">
        <v>1292</v>
      </c>
      <c r="E1244" s="37">
        <v>41477</v>
      </c>
      <c r="F1244" s="40" t="s">
        <v>656</v>
      </c>
      <c r="G1244" s="40" t="s">
        <v>886</v>
      </c>
      <c r="H1244" s="7" t="s">
        <v>1284</v>
      </c>
      <c r="I1244" s="256">
        <v>250</v>
      </c>
      <c r="J1244" s="256">
        <v>13832</v>
      </c>
      <c r="K1244" s="602">
        <f t="shared" si="441"/>
        <v>3458000</v>
      </c>
      <c r="L1244" s="39" t="s">
        <v>165</v>
      </c>
      <c r="M1244" s="603" t="s">
        <v>159</v>
      </c>
      <c r="N1244" s="39" t="str">
        <f>IF(AND('331-CT'!$E$7=TH!H1244,OR(L1244="331",M1244="331")),"331",IF(AND(OR(L1244="131",M1244="131"),H1244='131-CT'!$E$7),"131",""))</f>
        <v/>
      </c>
      <c r="O1244" s="39" t="str">
        <f>IF(AND($B1244&gt;='111'!$N$11,$B1244&lt;='111'!$O$11,OR($L1244=$O$7,$M1244=$O$7)),"x","")</f>
        <v/>
      </c>
      <c r="P1244" s="39" t="str">
        <f>IF(AND($L1244=$O$7,$B1244&lt;'111'!$N$11),"x","")</f>
        <v/>
      </c>
      <c r="Q1244" s="39" t="str">
        <f>IF(AND($M1244=$O$7,$B1244&lt;'111'!$N$11),"x","")</f>
        <v/>
      </c>
      <c r="R1244" s="39" t="str">
        <f>IF(ISERROR(FIND('112'!$M$9,G1244,1)),"",IF((AND(FIND('112'!$M$9,G1244,1)&gt;=1,$B1244&gt;='112'!$N$8,$B1244&lt;='112'!$O$8,OR($L1244='112'!$I$6,$M1244='112'!$I$6))),"x",""))</f>
        <v/>
      </c>
      <c r="S1244" s="39" t="str">
        <f>IF(ISERROR(FIND('112'!$M$9,G1244,1)),"",IF((AND(LEFT(G1244,2)=LEFT('112'!$M$9,2),B1244&lt;'112'!$N$8,$L1244='112'!$I$6)),"x",""))</f>
        <v/>
      </c>
      <c r="T1244" s="39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39" t="str">
        <f>IF(OR(TH!L1244=TH!$V$7,M1244=TH!$V$7),"x","")</f>
        <v/>
      </c>
      <c r="W1244" s="39" t="str">
        <f>IF(AND(B1244&gt;='IN-NX'!$P$3,B1244&lt;='IN-NX'!$Q$3,'IN-NX'!$D$7=D1244,OR(LEFT(L1244,2)="15",AND(LEFT(M1244,2)&lt;&gt;"15",LEFT(M1244,2)&lt;&gt;"33"))),"x","")</f>
        <v/>
      </c>
      <c r="X1244" s="39" t="str">
        <f>IF(AND(OR(LEFT(TH!L1244,2)="15",LEFT(TH!M1244,2)="15"),'152-CT'!$J$8=TH!F1244),"x","")</f>
        <v/>
      </c>
      <c r="Y1244" s="39" t="str">
        <f>IF(AND(OR(LEFT(TH!L1244,2)="15",LEFT(TH!M1244,2)="15"),TK!$E$7=TH!F1244),"x","")</f>
        <v/>
      </c>
      <c r="Z1244" s="39" t="str">
        <f>IF(AND(B1244&lt;=NKC!$N$8,B1244&gt;=NKC!$M$8),"x","")</f>
        <v>x</v>
      </c>
      <c r="AA1244" s="883"/>
    </row>
    <row r="1245" spans="1:27" s="211" customFormat="1" ht="15.75" customHeight="1">
      <c r="A1245" s="204" t="str">
        <f>IF(B1245&lt;&gt;"",IF(AND(B1245&gt;=_TM1,B1245&lt;=_TM2,OR(TH!L1245="1111",TH!M1245="1111")),TH!D1245,""),"")</f>
        <v/>
      </c>
      <c r="B1245" s="36">
        <f t="shared" si="439"/>
        <v>7</v>
      </c>
      <c r="C1245" s="191">
        <f t="shared" si="440"/>
        <v>41477</v>
      </c>
      <c r="D1245" s="191" t="s">
        <v>1292</v>
      </c>
      <c r="E1245" s="37">
        <v>41477</v>
      </c>
      <c r="F1245" s="40" t="s">
        <v>1256</v>
      </c>
      <c r="G1245" s="40" t="s">
        <v>886</v>
      </c>
      <c r="H1245" s="7" t="s">
        <v>1284</v>
      </c>
      <c r="I1245" s="256">
        <v>150</v>
      </c>
      <c r="J1245" s="256">
        <v>20992</v>
      </c>
      <c r="K1245" s="602">
        <f t="shared" si="441"/>
        <v>3148800</v>
      </c>
      <c r="L1245" s="39" t="s">
        <v>165</v>
      </c>
      <c r="M1245" s="603" t="s">
        <v>159</v>
      </c>
      <c r="N1245" s="39" t="str">
        <f>IF(AND('331-CT'!$E$7=TH!H1245,OR(L1245="331",M1245="331")),"331",IF(AND(OR(L1245="131",M1245="131"),H1245='131-CT'!$E$7),"131",""))</f>
        <v/>
      </c>
      <c r="O1245" s="39" t="str">
        <f>IF(AND($B1245&gt;='111'!$N$11,$B1245&lt;='111'!$O$11,OR($L1245=$O$7,$M1245=$O$7)),"x","")</f>
        <v/>
      </c>
      <c r="P1245" s="39" t="str">
        <f>IF(AND($L1245=$O$7,$B1245&lt;'111'!$N$11),"x","")</f>
        <v/>
      </c>
      <c r="Q1245" s="39" t="str">
        <f>IF(AND($M1245=$O$7,$B1245&lt;'111'!$N$11),"x","")</f>
        <v/>
      </c>
      <c r="R1245" s="39" t="str">
        <f>IF(ISERROR(FIND('112'!$M$9,G1245,1)),"",IF((AND(FIND('112'!$M$9,G1245,1)&gt;=1,$B1245&gt;='112'!$N$8,$B1245&lt;='112'!$O$8,OR($L1245='112'!$I$6,$M1245='112'!$I$6))),"x",""))</f>
        <v/>
      </c>
      <c r="S1245" s="39" t="str">
        <f>IF(ISERROR(FIND('112'!$M$9,G1245,1)),"",IF((AND(LEFT(G1245,2)=LEFT('112'!$M$9,2),B1245&lt;'112'!$N$8,$L1245='112'!$I$6)),"x",""))</f>
        <v/>
      </c>
      <c r="T1245" s="39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39" t="str">
        <f>IF(OR(TH!L1245=TH!$V$7,M1245=TH!$V$7),"x","")</f>
        <v/>
      </c>
      <c r="W1245" s="39" t="str">
        <f>IF(AND(B1245&gt;='IN-NX'!$P$3,B1245&lt;='IN-NX'!$Q$3,'IN-NX'!$D$7=D1245,OR(LEFT(L1245,2)="15",AND(LEFT(M1245,2)&lt;&gt;"15",LEFT(M1245,2)&lt;&gt;"33"))),"x","")</f>
        <v/>
      </c>
      <c r="X1245" s="39" t="str">
        <f>IF(AND(OR(LEFT(TH!L1245,2)="15",LEFT(TH!M1245,2)="15"),'152-CT'!$J$8=TH!F1245),"x","")</f>
        <v/>
      </c>
      <c r="Y1245" s="39" t="str">
        <f>IF(AND(OR(LEFT(TH!L1245,2)="15",LEFT(TH!M1245,2)="15"),TK!$E$7=TH!F1245),"x","")</f>
        <v/>
      </c>
      <c r="Z1245" s="39" t="str">
        <f>IF(AND(B1245&lt;=NKC!$N$8,B1245&gt;=NKC!$M$8),"x","")</f>
        <v>x</v>
      </c>
      <c r="AA1245" s="883"/>
    </row>
    <row r="1246" spans="1:27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439"/>
        <v>7</v>
      </c>
      <c r="C1246" s="191">
        <f t="shared" si="440"/>
        <v>41477</v>
      </c>
      <c r="D1246" s="191" t="s">
        <v>1292</v>
      </c>
      <c r="E1246" s="37">
        <v>41477</v>
      </c>
      <c r="F1246" s="40" t="s">
        <v>677</v>
      </c>
      <c r="G1246" s="40" t="s">
        <v>886</v>
      </c>
      <c r="H1246" s="7" t="s">
        <v>1284</v>
      </c>
      <c r="I1246" s="256">
        <v>500</v>
      </c>
      <c r="J1246" s="256">
        <v>11722</v>
      </c>
      <c r="K1246" s="602">
        <f t="shared" si="441"/>
        <v>5861000</v>
      </c>
      <c r="L1246" s="39" t="s">
        <v>165</v>
      </c>
      <c r="M1246" s="603" t="s">
        <v>159</v>
      </c>
      <c r="N1246" s="39" t="str">
        <f>IF(AND('331-CT'!$E$7=TH!H1246,OR(L1246="331",M1246="331")),"331",IF(AND(OR(L1246="131",M1246="131"),H1246='131-CT'!$E$7),"131",""))</f>
        <v/>
      </c>
      <c r="O1246" s="39" t="str">
        <f>IF(AND($B1246&gt;='111'!$N$11,$B1246&lt;='111'!$O$11,OR($L1246=$O$7,$M1246=$O$7)),"x","")</f>
        <v/>
      </c>
      <c r="P1246" s="39" t="str">
        <f>IF(AND($L1246=$O$7,$B1246&lt;'111'!$N$11),"x","")</f>
        <v/>
      </c>
      <c r="Q1246" s="39" t="str">
        <f>IF(AND($M1246=$O$7,$B1246&lt;'111'!$N$11),"x","")</f>
        <v/>
      </c>
      <c r="R1246" s="39" t="str">
        <f>IF(ISERROR(FIND('112'!$M$9,G1246,1)),"",IF((AND(FIND('112'!$M$9,G1246,1)&gt;=1,$B1246&gt;='112'!$N$8,$B1246&lt;='112'!$O$8,OR($L1246='112'!$I$6,$M1246='112'!$I$6))),"x",""))</f>
        <v/>
      </c>
      <c r="S1246" s="39" t="str">
        <f>IF(ISERROR(FIND('112'!$M$9,G1246,1)),"",IF((AND(LEFT(G1246,2)=LEFT('112'!$M$9,2),B1246&lt;'112'!$N$8,$L1246='112'!$I$6)),"x",""))</f>
        <v/>
      </c>
      <c r="T1246" s="39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39" t="str">
        <f>IF(OR(TH!L1246=TH!$V$7,M1246=TH!$V$7),"x","")</f>
        <v/>
      </c>
      <c r="W1246" s="39" t="str">
        <f>IF(AND(B1246&gt;='IN-NX'!$P$3,B1246&lt;='IN-NX'!$Q$3,'IN-NX'!$D$7=D1246,OR(LEFT(L1246,2)="15",AND(LEFT(M1246,2)&lt;&gt;"15",LEFT(M1246,2)&lt;&gt;"33"))),"x","")</f>
        <v/>
      </c>
      <c r="X1246" s="39" t="str">
        <f>IF(AND(OR(LEFT(TH!L1246,2)="15",LEFT(TH!M1246,2)="15"),'152-CT'!$J$8=TH!F1246),"x","")</f>
        <v/>
      </c>
      <c r="Y1246" s="39" t="str">
        <f>IF(AND(OR(LEFT(TH!L1246,2)="15",LEFT(TH!M1246,2)="15"),TK!$E$7=TH!F1246),"x","")</f>
        <v/>
      </c>
      <c r="Z1246" s="39" t="str">
        <f>IF(AND(B1246&lt;=NKC!$N$8,B1246&gt;=NKC!$M$8),"x","")</f>
        <v>x</v>
      </c>
      <c r="AA1246" s="883"/>
    </row>
    <row r="1247" spans="1:27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439"/>
        <v>7</v>
      </c>
      <c r="C1247" s="191">
        <f t="shared" si="440"/>
        <v>41478</v>
      </c>
      <c r="D1247" s="191" t="s">
        <v>1292</v>
      </c>
      <c r="E1247" s="37">
        <v>41478</v>
      </c>
      <c r="F1247" s="40" t="s">
        <v>713</v>
      </c>
      <c r="G1247" s="40" t="s">
        <v>888</v>
      </c>
      <c r="H1247" s="7" t="s">
        <v>1284</v>
      </c>
      <c r="I1247" s="256">
        <v>780</v>
      </c>
      <c r="J1247" s="256">
        <v>20635.247863247863</v>
      </c>
      <c r="K1247" s="602">
        <f t="shared" si="441"/>
        <v>16095493</v>
      </c>
      <c r="L1247" s="39" t="s">
        <v>165</v>
      </c>
      <c r="M1247" s="603" t="s">
        <v>159</v>
      </c>
      <c r="N1247" s="39" t="str">
        <f>IF(AND('331-CT'!$E$7=TH!H1247,OR(L1247="331",M1247="331")),"331",IF(AND(OR(L1247="131",M1247="131"),H1247='131-CT'!$E$7),"131",""))</f>
        <v/>
      </c>
      <c r="O1247" s="39" t="str">
        <f>IF(AND($B1247&gt;='111'!$N$11,$B1247&lt;='111'!$O$11,OR($L1247=$O$7,$M1247=$O$7)),"x","")</f>
        <v/>
      </c>
      <c r="P1247" s="39" t="str">
        <f>IF(AND($L1247=$O$7,$B1247&lt;'111'!$N$11),"x","")</f>
        <v/>
      </c>
      <c r="Q1247" s="39" t="str">
        <f>IF(AND($M1247=$O$7,$B1247&lt;'111'!$N$11),"x","")</f>
        <v/>
      </c>
      <c r="R1247" s="39" t="str">
        <f>IF(ISERROR(FIND('112'!$M$9,G1247,1)),"",IF((AND(FIND('112'!$M$9,G1247,1)&gt;=1,$B1247&gt;='112'!$N$8,$B1247&lt;='112'!$O$8,OR($L1247='112'!$I$6,$M1247='112'!$I$6))),"x",""))</f>
        <v/>
      </c>
      <c r="S1247" s="39" t="str">
        <f>IF(ISERROR(FIND('112'!$M$9,G1247,1)),"",IF((AND(LEFT(G1247,2)=LEFT('112'!$M$9,2),B1247&lt;'112'!$N$8,$L1247='112'!$I$6)),"x",""))</f>
        <v/>
      </c>
      <c r="T1247" s="39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39" t="str">
        <f>IF(OR(TH!L1247=TH!$V$7,M1247=TH!$V$7),"x","")</f>
        <v/>
      </c>
      <c r="W1247" s="39" t="str">
        <f>IF(AND(B1247&gt;='IN-NX'!$P$3,B1247&lt;='IN-NX'!$Q$3,'IN-NX'!$D$7=D1247,OR(LEFT(L1247,2)="15",AND(LEFT(M1247,2)&lt;&gt;"15",LEFT(M1247,2)&lt;&gt;"33"))),"x","")</f>
        <v/>
      </c>
      <c r="X1247" s="39" t="str">
        <f>IF(AND(OR(LEFT(TH!L1247,2)="15",LEFT(TH!M1247,2)="15"),'152-CT'!$J$8=TH!F1247),"x","")</f>
        <v/>
      </c>
      <c r="Y1247" s="39" t="str">
        <f>IF(AND(OR(LEFT(TH!L1247,2)="15",LEFT(TH!M1247,2)="15"),TK!$E$7=TH!F1247),"x","")</f>
        <v/>
      </c>
      <c r="Z1247" s="39" t="str">
        <f>IF(AND(B1247&lt;=NKC!$N$8,B1247&gt;=NKC!$M$8),"x","")</f>
        <v>x</v>
      </c>
      <c r="AA1247" s="883"/>
    </row>
    <row r="1248" spans="1:27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439"/>
        <v>7</v>
      </c>
      <c r="C1248" s="191">
        <f t="shared" si="440"/>
        <v>41481</v>
      </c>
      <c r="D1248" s="191" t="s">
        <v>1292</v>
      </c>
      <c r="E1248" s="37">
        <v>41481</v>
      </c>
      <c r="F1248" s="40" t="s">
        <v>650</v>
      </c>
      <c r="G1248" s="40" t="s">
        <v>889</v>
      </c>
      <c r="H1248" s="7" t="s">
        <v>1284</v>
      </c>
      <c r="I1248" s="256">
        <v>500</v>
      </c>
      <c r="J1248" s="256">
        <v>8462.418420401089</v>
      </c>
      <c r="K1248" s="602">
        <f t="shared" si="441"/>
        <v>4231209</v>
      </c>
      <c r="L1248" s="39" t="s">
        <v>165</v>
      </c>
      <c r="M1248" s="603" t="s">
        <v>159</v>
      </c>
      <c r="N1248" s="39" t="str">
        <f>IF(AND('331-CT'!$E$7=TH!H1248,OR(L1248="331",M1248="331")),"331",IF(AND(OR(L1248="131",M1248="131"),H1248='131-CT'!$E$7),"131",""))</f>
        <v/>
      </c>
      <c r="O1248" s="39" t="str">
        <f>IF(AND($B1248&gt;='111'!$N$11,$B1248&lt;='111'!$O$11,OR($L1248=$O$7,$M1248=$O$7)),"x","")</f>
        <v/>
      </c>
      <c r="P1248" s="39" t="str">
        <f>IF(AND($L1248=$O$7,$B1248&lt;'111'!$N$11),"x","")</f>
        <v/>
      </c>
      <c r="Q1248" s="39" t="str">
        <f>IF(AND($M1248=$O$7,$B1248&lt;'111'!$N$11),"x","")</f>
        <v/>
      </c>
      <c r="R1248" s="39" t="str">
        <f>IF(ISERROR(FIND('112'!$M$9,G1248,1)),"",IF((AND(FIND('112'!$M$9,G1248,1)&gt;=1,$B1248&gt;='112'!$N$8,$B1248&lt;='112'!$O$8,OR($L1248='112'!$I$6,$M1248='112'!$I$6))),"x",""))</f>
        <v/>
      </c>
      <c r="S1248" s="39" t="str">
        <f>IF(ISERROR(FIND('112'!$M$9,G1248,1)),"",IF((AND(LEFT(G1248,2)=LEFT('112'!$M$9,2),B1248&lt;'112'!$N$8,$L1248='112'!$I$6)),"x",""))</f>
        <v/>
      </c>
      <c r="T1248" s="39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39" t="str">
        <f>IF(OR(TH!L1248=TH!$V$7,M1248=TH!$V$7),"x","")</f>
        <v/>
      </c>
      <c r="W1248" s="39" t="str">
        <f>IF(AND(B1248&gt;='IN-NX'!$P$3,B1248&lt;='IN-NX'!$Q$3,'IN-NX'!$D$7=D1248,OR(LEFT(L1248,2)="15",AND(LEFT(M1248,2)&lt;&gt;"15",LEFT(M1248,2)&lt;&gt;"33"))),"x","")</f>
        <v/>
      </c>
      <c r="X1248" s="39" t="str">
        <f>IF(AND(OR(LEFT(TH!L1248,2)="15",LEFT(TH!M1248,2)="15"),'152-CT'!$J$8=TH!F1248),"x","")</f>
        <v/>
      </c>
      <c r="Y1248" s="39" t="str">
        <f>IF(AND(OR(LEFT(TH!L1248,2)="15",LEFT(TH!M1248,2)="15"),TK!$E$7=TH!F1248),"x","")</f>
        <v/>
      </c>
      <c r="Z1248" s="39" t="str">
        <f>IF(AND(B1248&lt;=NKC!$N$8,B1248&gt;=NKC!$M$8),"x","")</f>
        <v>x</v>
      </c>
      <c r="AA1248" s="883"/>
    </row>
    <row r="1249" spans="1:27" s="211" customFormat="1" ht="15.75" customHeight="1">
      <c r="A1249" s="204" t="str">
        <f>IF(B1249&lt;&gt;"",IF(AND(B1249&gt;=_TM1,B1249&lt;=_TM2,OR(TH!L1249="1111",TH!M1249="1111")),TH!D1249,""),"")</f>
        <v/>
      </c>
      <c r="B1249" s="36">
        <f t="shared" si="439"/>
        <v>7</v>
      </c>
      <c r="C1249" s="191">
        <f t="shared" si="440"/>
        <v>41484</v>
      </c>
      <c r="D1249" s="191" t="s">
        <v>1292</v>
      </c>
      <c r="E1249" s="37">
        <v>41484</v>
      </c>
      <c r="F1249" s="40" t="s">
        <v>1167</v>
      </c>
      <c r="G1249" s="40" t="s">
        <v>890</v>
      </c>
      <c r="H1249" s="7" t="s">
        <v>1284</v>
      </c>
      <c r="I1249" s="256">
        <v>100</v>
      </c>
      <c r="J1249" s="256">
        <v>11780</v>
      </c>
      <c r="K1249" s="602">
        <f t="shared" si="441"/>
        <v>1178000</v>
      </c>
      <c r="L1249" s="39" t="s">
        <v>165</v>
      </c>
      <c r="M1249" s="603" t="s">
        <v>159</v>
      </c>
      <c r="N1249" s="39" t="str">
        <f>IF(AND('331-CT'!$E$7=TH!H1249,OR(L1249="331",M1249="331")),"331",IF(AND(OR(L1249="131",M1249="131"),H1249='131-CT'!$E$7),"131",""))</f>
        <v/>
      </c>
      <c r="O1249" s="39" t="str">
        <f>IF(AND($B1249&gt;='111'!$N$11,$B1249&lt;='111'!$O$11,OR($L1249=$O$7,$M1249=$O$7)),"x","")</f>
        <v/>
      </c>
      <c r="P1249" s="39" t="str">
        <f>IF(AND($L1249=$O$7,$B1249&lt;'111'!$N$11),"x","")</f>
        <v/>
      </c>
      <c r="Q1249" s="39" t="str">
        <f>IF(AND($M1249=$O$7,$B1249&lt;'111'!$N$11),"x","")</f>
        <v/>
      </c>
      <c r="R1249" s="39" t="str">
        <f>IF(ISERROR(FIND('112'!$M$9,G1249,1)),"",IF((AND(FIND('112'!$M$9,G1249,1)&gt;=1,$B1249&gt;='112'!$N$8,$B1249&lt;='112'!$O$8,OR($L1249='112'!$I$6,$M1249='112'!$I$6))),"x",""))</f>
        <v/>
      </c>
      <c r="S1249" s="39" t="str">
        <f>IF(ISERROR(FIND('112'!$M$9,G1249,1)),"",IF((AND(LEFT(G1249,2)=LEFT('112'!$M$9,2),B1249&lt;'112'!$N$8,$L1249='112'!$I$6)),"x",""))</f>
        <v/>
      </c>
      <c r="T1249" s="39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39" t="str">
        <f>IF(OR(TH!L1249=TH!$V$7,M1249=TH!$V$7),"x","")</f>
        <v/>
      </c>
      <c r="W1249" s="39" t="str">
        <f>IF(AND(B1249&gt;='IN-NX'!$P$3,B1249&lt;='IN-NX'!$Q$3,'IN-NX'!$D$7=D1249,OR(LEFT(L1249,2)="15",AND(LEFT(M1249,2)&lt;&gt;"15",LEFT(M1249,2)&lt;&gt;"33"))),"x","")</f>
        <v/>
      </c>
      <c r="X1249" s="39" t="str">
        <f>IF(AND(OR(LEFT(TH!L1249,2)="15",LEFT(TH!M1249,2)="15"),'152-CT'!$J$8=TH!F1249),"x","")</f>
        <v/>
      </c>
      <c r="Y1249" s="39" t="str">
        <f>IF(AND(OR(LEFT(TH!L1249,2)="15",LEFT(TH!M1249,2)="15"),TK!$E$7=TH!F1249),"x","")</f>
        <v/>
      </c>
      <c r="Z1249" s="39" t="str">
        <f>IF(AND(B1249&lt;=NKC!$N$8,B1249&gt;=NKC!$M$8),"x","")</f>
        <v>x</v>
      </c>
      <c r="AA1249" s="883"/>
    </row>
    <row r="1250" spans="1:27" s="211" customFormat="1" ht="15.75" customHeight="1">
      <c r="A1250" s="204" t="str">
        <f>IF(B1250&lt;&gt;"",IF(AND(B1250&gt;=_TM1,B1250&lt;=_TM2,OR(TH!L1250="1111",TH!M1250="1111")),TH!D1250,""),"")</f>
        <v/>
      </c>
      <c r="B1250" s="36">
        <f t="shared" si="439"/>
        <v>7</v>
      </c>
      <c r="C1250" s="191">
        <f t="shared" si="440"/>
        <v>41484</v>
      </c>
      <c r="D1250" s="191" t="s">
        <v>1292</v>
      </c>
      <c r="E1250" s="37">
        <v>41484</v>
      </c>
      <c r="F1250" s="40" t="s">
        <v>1241</v>
      </c>
      <c r="G1250" s="40" t="s">
        <v>891</v>
      </c>
      <c r="H1250" s="7" t="s">
        <v>1284</v>
      </c>
      <c r="I1250" s="256">
        <v>200</v>
      </c>
      <c r="J1250" s="256">
        <v>19910.059393752887</v>
      </c>
      <c r="K1250" s="602">
        <f t="shared" si="441"/>
        <v>3982012</v>
      </c>
      <c r="L1250" s="39" t="s">
        <v>165</v>
      </c>
      <c r="M1250" s="603" t="s">
        <v>159</v>
      </c>
      <c r="N1250" s="39" t="str">
        <f>IF(AND('331-CT'!$E$7=TH!H1250,OR(L1250="331",M1250="331")),"331",IF(AND(OR(L1250="131",M1250="131"),H1250='131-CT'!$E$7),"131",""))</f>
        <v/>
      </c>
      <c r="O1250" s="39" t="str">
        <f>IF(AND($B1250&gt;='111'!$N$11,$B1250&lt;='111'!$O$11,OR($L1250=$O$7,$M1250=$O$7)),"x","")</f>
        <v/>
      </c>
      <c r="P1250" s="39" t="str">
        <f>IF(AND($L1250=$O$7,$B1250&lt;'111'!$N$11),"x","")</f>
        <v/>
      </c>
      <c r="Q1250" s="39" t="str">
        <f>IF(AND($M1250=$O$7,$B1250&lt;'111'!$N$11),"x","")</f>
        <v/>
      </c>
      <c r="R1250" s="39" t="str">
        <f>IF(ISERROR(FIND('112'!$M$9,G1250,1)),"",IF((AND(FIND('112'!$M$9,G1250,1)&gt;=1,$B1250&gt;='112'!$N$8,$B1250&lt;='112'!$O$8,OR($L1250='112'!$I$6,$M1250='112'!$I$6))),"x",""))</f>
        <v/>
      </c>
      <c r="S1250" s="39" t="str">
        <f>IF(ISERROR(FIND('112'!$M$9,G1250,1)),"",IF((AND(LEFT(G1250,2)=LEFT('112'!$M$9,2),B1250&lt;'112'!$N$8,$L1250='112'!$I$6)),"x",""))</f>
        <v/>
      </c>
      <c r="T1250" s="39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39" t="str">
        <f>IF(OR(TH!L1250=TH!$V$7,M1250=TH!$V$7),"x","")</f>
        <v/>
      </c>
      <c r="W1250" s="39" t="str">
        <f>IF(AND(B1250&gt;='IN-NX'!$P$3,B1250&lt;='IN-NX'!$Q$3,'IN-NX'!$D$7=D1250,OR(LEFT(L1250,2)="15",AND(LEFT(M1250,2)&lt;&gt;"15",LEFT(M1250,2)&lt;&gt;"33"))),"x","")</f>
        <v/>
      </c>
      <c r="X1250" s="39" t="str">
        <f>IF(AND(OR(LEFT(TH!L1250,2)="15",LEFT(TH!M1250,2)="15"),'152-CT'!$J$8=TH!F1250),"x","")</f>
        <v/>
      </c>
      <c r="Y1250" s="39" t="str">
        <f>IF(AND(OR(LEFT(TH!L1250,2)="15",LEFT(TH!M1250,2)="15"),TK!$E$7=TH!F1250),"x","")</f>
        <v/>
      </c>
      <c r="Z1250" s="39" t="str">
        <f>IF(AND(B1250&lt;=NKC!$N$8,B1250&gt;=NKC!$M$8),"x","")</f>
        <v>x</v>
      </c>
      <c r="AA1250" s="883"/>
    </row>
    <row r="1251" spans="1:27" s="211" customFormat="1" ht="15.75" customHeight="1">
      <c r="A1251" s="204" t="str">
        <f>IF(B1251&lt;&gt;"",IF(AND(B1251&gt;=_TM1,B1251&lt;=_TM2,OR(TH!L1251="1111",TH!M1251="1111")),TH!D1251,""),"")</f>
        <v/>
      </c>
      <c r="B1251" s="36">
        <f t="shared" si="439"/>
        <v>7</v>
      </c>
      <c r="C1251" s="191">
        <f t="shared" si="440"/>
        <v>41485</v>
      </c>
      <c r="D1251" s="191" t="s">
        <v>1292</v>
      </c>
      <c r="E1251" s="37">
        <v>41485</v>
      </c>
      <c r="F1251" s="40" t="s">
        <v>1207</v>
      </c>
      <c r="G1251" s="40" t="s">
        <v>892</v>
      </c>
      <c r="H1251" s="7" t="s">
        <v>1284</v>
      </c>
      <c r="I1251" s="256">
        <v>200</v>
      </c>
      <c r="J1251" s="256">
        <v>18402</v>
      </c>
      <c r="K1251" s="602">
        <f t="shared" si="441"/>
        <v>3680400</v>
      </c>
      <c r="L1251" s="39" t="s">
        <v>165</v>
      </c>
      <c r="M1251" s="603" t="s">
        <v>159</v>
      </c>
      <c r="N1251" s="39" t="str">
        <f>IF(AND('331-CT'!$E$7=TH!H1251,OR(L1251="331",M1251="331")),"331",IF(AND(OR(L1251="131",M1251="131"),H1251='131-CT'!$E$7),"131",""))</f>
        <v/>
      </c>
      <c r="O1251" s="39" t="str">
        <f>IF(AND($B1251&gt;='111'!$N$11,$B1251&lt;='111'!$O$11,OR($L1251=$O$7,$M1251=$O$7)),"x","")</f>
        <v/>
      </c>
      <c r="P1251" s="39" t="str">
        <f>IF(AND($L1251=$O$7,$B1251&lt;'111'!$N$11),"x","")</f>
        <v/>
      </c>
      <c r="Q1251" s="39" t="str">
        <f>IF(AND($M1251=$O$7,$B1251&lt;'111'!$N$11),"x","")</f>
        <v/>
      </c>
      <c r="R1251" s="39" t="str">
        <f>IF(ISERROR(FIND('112'!$M$9,G1251,1)),"",IF((AND(FIND('112'!$M$9,G1251,1)&gt;=1,$B1251&gt;='112'!$N$8,$B1251&lt;='112'!$O$8,OR($L1251='112'!$I$6,$M1251='112'!$I$6))),"x",""))</f>
        <v/>
      </c>
      <c r="S1251" s="39" t="str">
        <f>IF(ISERROR(FIND('112'!$M$9,G1251,1)),"",IF((AND(LEFT(G1251,2)=LEFT('112'!$M$9,2),B1251&lt;'112'!$N$8,$L1251='112'!$I$6)),"x",""))</f>
        <v/>
      </c>
      <c r="T1251" s="39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39" t="str">
        <f>IF(OR(TH!L1251=TH!$V$7,M1251=TH!$V$7),"x","")</f>
        <v/>
      </c>
      <c r="W1251" s="39" t="str">
        <f>IF(AND(B1251&gt;='IN-NX'!$P$3,B1251&lt;='IN-NX'!$Q$3,'IN-NX'!$D$7=D1251,OR(LEFT(L1251,2)="15",AND(LEFT(M1251,2)&lt;&gt;"15",LEFT(M1251,2)&lt;&gt;"33"))),"x","")</f>
        <v/>
      </c>
      <c r="X1251" s="39" t="str">
        <f>IF(AND(OR(LEFT(TH!L1251,2)="15",LEFT(TH!M1251,2)="15"),'152-CT'!$J$8=TH!F1251),"x","")</f>
        <v/>
      </c>
      <c r="Y1251" s="39" t="str">
        <f>IF(AND(OR(LEFT(TH!L1251,2)="15",LEFT(TH!M1251,2)="15"),TK!$E$7=TH!F1251),"x","")</f>
        <v/>
      </c>
      <c r="Z1251" s="39" t="str">
        <f>IF(AND(B1251&lt;=NKC!$N$8,B1251&gt;=NKC!$M$8),"x","")</f>
        <v>x</v>
      </c>
      <c r="AA1251" s="883"/>
    </row>
    <row r="1252" spans="1:27" s="211" customFormat="1" ht="15.75" customHeight="1">
      <c r="A1252" s="204" t="str">
        <f>IF(B1252&lt;&gt;"",IF(AND(B1252&gt;=_TM1,B1252&lt;=_TM2,OR(TH!L1252="1111",TH!M1252="1111")),TH!D1252,""),"")</f>
        <v/>
      </c>
      <c r="B1252" s="36">
        <f t="shared" si="439"/>
        <v>7</v>
      </c>
      <c r="C1252" s="191">
        <f t="shared" si="440"/>
        <v>41485</v>
      </c>
      <c r="D1252" s="191" t="s">
        <v>1292</v>
      </c>
      <c r="E1252" s="37">
        <v>41485</v>
      </c>
      <c r="F1252" s="40" t="s">
        <v>1241</v>
      </c>
      <c r="G1252" s="40" t="s">
        <v>893</v>
      </c>
      <c r="H1252" s="7" t="s">
        <v>1284</v>
      </c>
      <c r="I1252" s="256">
        <v>469</v>
      </c>
      <c r="J1252" s="256">
        <v>19910.059351276741</v>
      </c>
      <c r="K1252" s="602">
        <f t="shared" si="441"/>
        <v>9337818</v>
      </c>
      <c r="L1252" s="39" t="s">
        <v>165</v>
      </c>
      <c r="M1252" s="603" t="s">
        <v>159</v>
      </c>
      <c r="N1252" s="39" t="str">
        <f>IF(AND('331-CT'!$E$7=TH!H1252,OR(L1252="331",M1252="331")),"331",IF(AND(OR(L1252="131",M1252="131"),H1252='131-CT'!$E$7),"131",""))</f>
        <v/>
      </c>
      <c r="O1252" s="39" t="str">
        <f>IF(AND($B1252&gt;='111'!$N$11,$B1252&lt;='111'!$O$11,OR($L1252=$O$7,$M1252=$O$7)),"x","")</f>
        <v/>
      </c>
      <c r="P1252" s="39" t="str">
        <f>IF(AND($L1252=$O$7,$B1252&lt;'111'!$N$11),"x","")</f>
        <v/>
      </c>
      <c r="Q1252" s="39" t="str">
        <f>IF(AND($M1252=$O$7,$B1252&lt;'111'!$N$11),"x","")</f>
        <v/>
      </c>
      <c r="R1252" s="39" t="str">
        <f>IF(ISERROR(FIND('112'!$M$9,G1252,1)),"",IF((AND(FIND('112'!$M$9,G1252,1)&gt;=1,$B1252&gt;='112'!$N$8,$B1252&lt;='112'!$O$8,OR($L1252='112'!$I$6,$M1252='112'!$I$6))),"x",""))</f>
        <v/>
      </c>
      <c r="S1252" s="39" t="str">
        <f>IF(ISERROR(FIND('112'!$M$9,G1252,1)),"",IF((AND(LEFT(G1252,2)=LEFT('112'!$M$9,2),B1252&lt;'112'!$N$8,$L1252='112'!$I$6)),"x",""))</f>
        <v/>
      </c>
      <c r="T1252" s="39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39" t="str">
        <f>IF(OR(TH!L1252=TH!$V$7,M1252=TH!$V$7),"x","")</f>
        <v/>
      </c>
      <c r="W1252" s="39" t="str">
        <f>IF(AND(B1252&gt;='IN-NX'!$P$3,B1252&lt;='IN-NX'!$Q$3,'IN-NX'!$D$7=D1252,OR(LEFT(L1252,2)="15",AND(LEFT(M1252,2)&lt;&gt;"15",LEFT(M1252,2)&lt;&gt;"33"))),"x","")</f>
        <v/>
      </c>
      <c r="X1252" s="39" t="str">
        <f>IF(AND(OR(LEFT(TH!L1252,2)="15",LEFT(TH!M1252,2)="15"),'152-CT'!$J$8=TH!F1252),"x","")</f>
        <v/>
      </c>
      <c r="Y1252" s="39" t="str">
        <f>IF(AND(OR(LEFT(TH!L1252,2)="15",LEFT(TH!M1252,2)="15"),TK!$E$7=TH!F1252),"x","")</f>
        <v/>
      </c>
      <c r="Z1252" s="39" t="str">
        <f>IF(AND(B1252&lt;=NKC!$N$8,B1252&gt;=NKC!$M$8),"x","")</f>
        <v>x</v>
      </c>
      <c r="AA1252" s="883"/>
    </row>
    <row r="1253" spans="1:27" s="211" customFormat="1" ht="15.75" customHeight="1">
      <c r="A1253" s="204" t="str">
        <f>IF(B1253&lt;&gt;"",IF(AND(B1253&gt;=_TM1,B1253&lt;=_TM2,OR(TH!L1253="1111",TH!M1253="1111")),TH!D1253,""),"")</f>
        <v/>
      </c>
      <c r="B1253" s="36">
        <f t="shared" si="439"/>
        <v>7</v>
      </c>
      <c r="C1253" s="191">
        <f t="shared" si="440"/>
        <v>41486</v>
      </c>
      <c r="D1253" s="191" t="s">
        <v>1292</v>
      </c>
      <c r="E1253" s="37">
        <v>41486</v>
      </c>
      <c r="F1253" s="40" t="s">
        <v>1241</v>
      </c>
      <c r="G1253" s="40" t="s">
        <v>895</v>
      </c>
      <c r="H1253" s="7" t="s">
        <v>1284</v>
      </c>
      <c r="I1253" s="256">
        <v>468</v>
      </c>
      <c r="J1253" s="256">
        <v>19910.059351276741</v>
      </c>
      <c r="K1253" s="602">
        <f t="shared" si="441"/>
        <v>9317908</v>
      </c>
      <c r="L1253" s="39" t="s">
        <v>165</v>
      </c>
      <c r="M1253" s="603" t="s">
        <v>159</v>
      </c>
      <c r="N1253" s="39" t="str">
        <f>IF(AND('331-CT'!$E$7=TH!H1253,OR(L1253="331",M1253="331")),"331",IF(AND(OR(L1253="131",M1253="131"),H1253='131-CT'!$E$7),"131",""))</f>
        <v/>
      </c>
      <c r="O1253" s="39" t="str">
        <f>IF(AND($B1253&gt;='111'!$N$11,$B1253&lt;='111'!$O$11,OR($L1253=$O$7,$M1253=$O$7)),"x","")</f>
        <v/>
      </c>
      <c r="P1253" s="39" t="str">
        <f>IF(AND($L1253=$O$7,$B1253&lt;'111'!$N$11),"x","")</f>
        <v/>
      </c>
      <c r="Q1253" s="39" t="str">
        <f>IF(AND($M1253=$O$7,$B1253&lt;'111'!$N$11),"x","")</f>
        <v/>
      </c>
      <c r="R1253" s="39" t="str">
        <f>IF(ISERROR(FIND('112'!$M$9,G1253,1)),"",IF((AND(FIND('112'!$M$9,G1253,1)&gt;=1,$B1253&gt;='112'!$N$8,$B1253&lt;='112'!$O$8,OR($L1253='112'!$I$6,$M1253='112'!$I$6))),"x",""))</f>
        <v/>
      </c>
      <c r="S1253" s="39" t="str">
        <f>IF(ISERROR(FIND('112'!$M$9,G1253,1)),"",IF((AND(LEFT(G1253,2)=LEFT('112'!$M$9,2),B1253&lt;'112'!$N$8,$L1253='112'!$I$6)),"x",""))</f>
        <v/>
      </c>
      <c r="T1253" s="39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39" t="str">
        <f>IF(OR(TH!L1253=TH!$V$7,M1253=TH!$V$7),"x","")</f>
        <v/>
      </c>
      <c r="W1253" s="39" t="str">
        <f>IF(AND(B1253&gt;='IN-NX'!$P$3,B1253&lt;='IN-NX'!$Q$3,'IN-NX'!$D$7=D1253,OR(LEFT(L1253,2)="15",AND(LEFT(M1253,2)&lt;&gt;"15",LEFT(M1253,2)&lt;&gt;"33"))),"x","")</f>
        <v/>
      </c>
      <c r="X1253" s="39" t="str">
        <f>IF(AND(OR(LEFT(TH!L1253,2)="15",LEFT(TH!M1253,2)="15"),'152-CT'!$J$8=TH!F1253),"x","")</f>
        <v/>
      </c>
      <c r="Y1253" s="39" t="str">
        <f>IF(AND(OR(LEFT(TH!L1253,2)="15",LEFT(TH!M1253,2)="15"),TK!$E$7=TH!F1253),"x","")</f>
        <v/>
      </c>
      <c r="Z1253" s="39" t="str">
        <f>IF(AND(B1253&lt;=NKC!$N$8,B1253&gt;=NKC!$M$8),"x","")</f>
        <v>x</v>
      </c>
      <c r="AA1253" s="883"/>
    </row>
    <row r="1254" spans="1:27" s="211" customFormat="1" ht="15.75" customHeight="1">
      <c r="A1254" s="204" t="str">
        <f>IF(B1254&lt;&gt;"",IF(AND(B1254&gt;=_TM1,B1254&lt;=_TM2,OR(TH!L1254="1111",TH!M1254="1111")),TH!D1254,""),"")</f>
        <v/>
      </c>
      <c r="B1254" s="36">
        <f t="shared" si="439"/>
        <v>8</v>
      </c>
      <c r="C1254" s="191">
        <f t="shared" si="440"/>
        <v>41489</v>
      </c>
      <c r="D1254" s="191" t="s">
        <v>1292</v>
      </c>
      <c r="E1254" s="191">
        <v>41489</v>
      </c>
      <c r="F1254" s="192" t="s">
        <v>1241</v>
      </c>
      <c r="G1254" s="487" t="s">
        <v>896</v>
      </c>
      <c r="H1254" s="7" t="s">
        <v>1284</v>
      </c>
      <c r="I1254" s="256">
        <v>472</v>
      </c>
      <c r="J1254" s="256">
        <v>19910.059351276741</v>
      </c>
      <c r="K1254" s="602">
        <f t="shared" si="441"/>
        <v>9397548</v>
      </c>
      <c r="L1254" s="39" t="s">
        <v>165</v>
      </c>
      <c r="M1254" s="603" t="s">
        <v>159</v>
      </c>
      <c r="N1254" s="39" t="str">
        <f>IF(AND('331-CT'!$E$7=TH!H1254,OR(L1254="331",M1254="331")),"331",IF(AND(OR(L1254="131",M1254="131"),H1254='131-CT'!$E$7),"131",""))</f>
        <v/>
      </c>
      <c r="O1254" s="39" t="str">
        <f>IF(AND($B1254&gt;='111'!$N$11,$B1254&lt;='111'!$O$11,OR($L1254=$O$7,$M1254=$O$7)),"x","")</f>
        <v/>
      </c>
      <c r="P1254" s="39" t="str">
        <f>IF(AND($L1254=$O$7,$B1254&lt;'111'!$N$11),"x","")</f>
        <v/>
      </c>
      <c r="Q1254" s="39" t="str">
        <f>IF(AND($M1254=$O$7,$B1254&lt;'111'!$N$11),"x","")</f>
        <v/>
      </c>
      <c r="R1254" s="39" t="str">
        <f>IF(ISERROR(FIND('112'!$M$9,G1254,1)),"",IF((AND(FIND('112'!$M$9,G1254,1)&gt;=1,$B1254&gt;='112'!$N$8,$B1254&lt;='112'!$O$8,OR($L1254='112'!$I$6,$M1254='112'!$I$6))),"x",""))</f>
        <v/>
      </c>
      <c r="S1254" s="39" t="str">
        <f>IF(ISERROR(FIND('112'!$M$9,G1254,1)),"",IF((AND(LEFT(G1254,2)=LEFT('112'!$M$9,2),B1254&lt;'112'!$N$8,$L1254='112'!$I$6)),"x",""))</f>
        <v/>
      </c>
      <c r="T1254" s="39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39" t="str">
        <f>IF(OR(TH!L1254=TH!$V$7,M1254=TH!$V$7),"x","")</f>
        <v/>
      </c>
      <c r="W1254" s="39" t="str">
        <f>IF(AND(B1254&gt;='IN-NX'!$P$3,B1254&lt;='IN-NX'!$Q$3,'IN-NX'!$D$7=D1254,OR(LEFT(L1254,2)="15",AND(LEFT(M1254,2)&lt;&gt;"15",LEFT(M1254,2)&lt;&gt;"33"))),"x","")</f>
        <v/>
      </c>
      <c r="X1254" s="39" t="str">
        <f>IF(AND(OR(LEFT(TH!L1254,2)="15",LEFT(TH!M1254,2)="15"),'152-CT'!$J$8=TH!F1254),"x","")</f>
        <v/>
      </c>
      <c r="Y1254" s="39" t="str">
        <f>IF(AND(OR(LEFT(TH!L1254,2)="15",LEFT(TH!M1254,2)="15"),TK!$E$7=TH!F1254),"x","")</f>
        <v/>
      </c>
      <c r="Z1254" s="39" t="str">
        <f>IF(AND(B1254&lt;=NKC!$N$8,B1254&gt;=NKC!$M$8),"x","")</f>
        <v>x</v>
      </c>
      <c r="AA1254" s="883"/>
    </row>
    <row r="1255" spans="1:27" s="211" customFormat="1" ht="15.75" customHeight="1">
      <c r="A1255" s="204" t="str">
        <f>IF(B1255&lt;&gt;"",IF(AND(B1255&gt;=_TM1,B1255&lt;=_TM2,OR(TH!L1255="1111",TH!M1255="1111")),TH!D1255,""),"")</f>
        <v/>
      </c>
      <c r="B1255" s="36">
        <f t="shared" si="439"/>
        <v>8</v>
      </c>
      <c r="C1255" s="191">
        <f t="shared" si="440"/>
        <v>41489</v>
      </c>
      <c r="D1255" s="191" t="s">
        <v>1292</v>
      </c>
      <c r="E1255" s="191">
        <v>41489</v>
      </c>
      <c r="F1255" s="192" t="s">
        <v>677</v>
      </c>
      <c r="G1255" s="487" t="s">
        <v>898</v>
      </c>
      <c r="H1255" s="7" t="s">
        <v>1284</v>
      </c>
      <c r="I1255" s="256">
        <v>505</v>
      </c>
      <c r="J1255" s="256">
        <v>11722</v>
      </c>
      <c r="K1255" s="602">
        <f t="shared" si="441"/>
        <v>5919610</v>
      </c>
      <c r="L1255" s="39" t="s">
        <v>165</v>
      </c>
      <c r="M1255" s="603" t="s">
        <v>159</v>
      </c>
      <c r="N1255" s="39" t="str">
        <f>IF(AND('331-CT'!$E$7=TH!H1255,OR(L1255="331",M1255="331")),"331",IF(AND(OR(L1255="131",M1255="131"),H1255='131-CT'!$E$7),"131",""))</f>
        <v/>
      </c>
      <c r="O1255" s="39" t="str">
        <f>IF(AND($B1255&gt;='111'!$N$11,$B1255&lt;='111'!$O$11,OR($L1255=$O$7,$M1255=$O$7)),"x","")</f>
        <v/>
      </c>
      <c r="P1255" s="39" t="str">
        <f>IF(AND($L1255=$O$7,$B1255&lt;'111'!$N$11),"x","")</f>
        <v/>
      </c>
      <c r="Q1255" s="39" t="str">
        <f>IF(AND($M1255=$O$7,$B1255&lt;'111'!$N$11),"x","")</f>
        <v/>
      </c>
      <c r="R1255" s="39" t="str">
        <f>IF(ISERROR(FIND('112'!$M$9,G1255,1)),"",IF((AND(FIND('112'!$M$9,G1255,1)&gt;=1,$B1255&gt;='112'!$N$8,$B1255&lt;='112'!$O$8,OR($L1255='112'!$I$6,$M1255='112'!$I$6))),"x",""))</f>
        <v/>
      </c>
      <c r="S1255" s="39" t="str">
        <f>IF(ISERROR(FIND('112'!$M$9,G1255,1)),"",IF((AND(LEFT(G1255,2)=LEFT('112'!$M$9,2),B1255&lt;'112'!$N$8,$L1255='112'!$I$6)),"x",""))</f>
        <v/>
      </c>
      <c r="T1255" s="39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39" t="str">
        <f>IF(OR(TH!L1255=TH!$V$7,M1255=TH!$V$7),"x","")</f>
        <v/>
      </c>
      <c r="W1255" s="39" t="str">
        <f>IF(AND(B1255&gt;='IN-NX'!$P$3,B1255&lt;='IN-NX'!$Q$3,'IN-NX'!$D$7=D1255,OR(LEFT(L1255,2)="15",AND(LEFT(M1255,2)&lt;&gt;"15",LEFT(M1255,2)&lt;&gt;"33"))),"x","")</f>
        <v/>
      </c>
      <c r="X1255" s="39" t="str">
        <f>IF(AND(OR(LEFT(TH!L1255,2)="15",LEFT(TH!M1255,2)="15"),'152-CT'!$J$8=TH!F1255),"x","")</f>
        <v/>
      </c>
      <c r="Y1255" s="39" t="str">
        <f>IF(AND(OR(LEFT(TH!L1255,2)="15",LEFT(TH!M1255,2)="15"),TK!$E$7=TH!F1255),"x","")</f>
        <v/>
      </c>
      <c r="Z1255" s="39" t="str">
        <f>IF(AND(B1255&lt;=NKC!$N$8,B1255&gt;=NKC!$M$8),"x","")</f>
        <v>x</v>
      </c>
      <c r="AA1255" s="883"/>
    </row>
    <row r="1256" spans="1:27" s="211" customFormat="1" ht="15.75" customHeight="1">
      <c r="A1256" s="204" t="str">
        <f>IF(B1256&lt;&gt;"",IF(AND(B1256&gt;=_TM1,B1256&lt;=_TM2,OR(TH!L1256="1111",TH!M1256="1111")),TH!D1256,""),"")</f>
        <v/>
      </c>
      <c r="B1256" s="36">
        <f t="shared" ref="B1256:B1319" si="442">IF(C1256&lt;&gt;"",MONTH(C1256),"")</f>
        <v>8</v>
      </c>
      <c r="C1256" s="191">
        <f t="shared" si="440"/>
        <v>41489</v>
      </c>
      <c r="D1256" s="191" t="s">
        <v>1292</v>
      </c>
      <c r="E1256" s="773">
        <v>41489</v>
      </c>
      <c r="F1256" s="297" t="s">
        <v>1212</v>
      </c>
      <c r="G1256" s="40" t="s">
        <v>898</v>
      </c>
      <c r="H1256" s="7" t="s">
        <v>1284</v>
      </c>
      <c r="I1256" s="256">
        <v>200</v>
      </c>
      <c r="J1256" s="256">
        <v>15618</v>
      </c>
      <c r="K1256" s="602">
        <f t="shared" si="441"/>
        <v>3123600</v>
      </c>
      <c r="L1256" s="39" t="s">
        <v>165</v>
      </c>
      <c r="M1256" s="603" t="s">
        <v>159</v>
      </c>
      <c r="N1256" s="39" t="str">
        <f>IF(AND('331-CT'!$E$7=TH!H1256,OR(L1256="331",M1256="331")),"331",IF(AND(OR(L1256="131",M1256="131"),H1256='131-CT'!$E$7),"131",""))</f>
        <v/>
      </c>
      <c r="O1256" s="39" t="str">
        <f>IF(AND($B1256&gt;='111'!$N$11,$B1256&lt;='111'!$O$11,OR($L1256=$O$7,$M1256=$O$7)),"x","")</f>
        <v/>
      </c>
      <c r="P1256" s="39" t="str">
        <f>IF(AND($L1256=$O$7,$B1256&lt;'111'!$N$11),"x","")</f>
        <v/>
      </c>
      <c r="Q1256" s="39" t="str">
        <f>IF(AND($M1256=$O$7,$B1256&lt;'111'!$N$11),"x","")</f>
        <v/>
      </c>
      <c r="R1256" s="39" t="str">
        <f>IF(ISERROR(FIND('112'!$M$9,G1256,1)),"",IF((AND(FIND('112'!$M$9,G1256,1)&gt;=1,$B1256&gt;='112'!$N$8,$B1256&lt;='112'!$O$8,OR($L1256='112'!$I$6,$M1256='112'!$I$6))),"x",""))</f>
        <v/>
      </c>
      <c r="S1256" s="39" t="str">
        <f>IF(ISERROR(FIND('112'!$M$9,G1256,1)),"",IF((AND(LEFT(G1256,2)=LEFT('112'!$M$9,2),B1256&lt;'112'!$N$8,$L1256='112'!$I$6)),"x",""))</f>
        <v/>
      </c>
      <c r="T1256" s="39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39" t="str">
        <f>IF(OR(TH!L1256=TH!$V$7,M1256=TH!$V$7),"x","")</f>
        <v/>
      </c>
      <c r="W1256" s="39" t="str">
        <f>IF(AND(B1256&gt;='IN-NX'!$P$3,B1256&lt;='IN-NX'!$Q$3,'IN-NX'!$D$7=D1256,OR(LEFT(L1256,2)="15",AND(LEFT(M1256,2)&lt;&gt;"15",LEFT(M1256,2)&lt;&gt;"33"))),"x","")</f>
        <v/>
      </c>
      <c r="X1256" s="39" t="str">
        <f>IF(AND(OR(LEFT(TH!L1256,2)="15",LEFT(TH!M1256,2)="15"),'152-CT'!$J$8=TH!F1256),"x","")</f>
        <v/>
      </c>
      <c r="Y1256" s="39" t="str">
        <f>IF(AND(OR(LEFT(TH!L1256,2)="15",LEFT(TH!M1256,2)="15"),TK!$E$7=TH!F1256),"x","")</f>
        <v/>
      </c>
      <c r="Z1256" s="39" t="str">
        <f>IF(AND(B1256&lt;=NKC!$N$8,B1256&gt;=NKC!$M$8),"x","")</f>
        <v>x</v>
      </c>
      <c r="AA1256" s="883"/>
    </row>
    <row r="1257" spans="1:27" s="211" customFormat="1" ht="15.75" customHeight="1">
      <c r="A1257" s="204" t="str">
        <f>IF(B1257&lt;&gt;"",IF(AND(B1257&gt;=_TM1,B1257&lt;=_TM2,OR(TH!L1257="1111",TH!M1257="1111")),TH!D1257,""),"")</f>
        <v/>
      </c>
      <c r="B1257" s="36">
        <f t="shared" si="442"/>
        <v>8</v>
      </c>
      <c r="C1257" s="191">
        <f t="shared" si="440"/>
        <v>41489</v>
      </c>
      <c r="D1257" s="191" t="s">
        <v>1292</v>
      </c>
      <c r="E1257" s="773">
        <v>41489</v>
      </c>
      <c r="F1257" s="40" t="s">
        <v>1233</v>
      </c>
      <c r="G1257" s="40" t="s">
        <v>899</v>
      </c>
      <c r="H1257" s="7" t="s">
        <v>1284</v>
      </c>
      <c r="I1257" s="256">
        <v>350</v>
      </c>
      <c r="J1257" s="256">
        <v>15665</v>
      </c>
      <c r="K1257" s="602">
        <f t="shared" si="441"/>
        <v>5482750</v>
      </c>
      <c r="L1257" s="39" t="s">
        <v>165</v>
      </c>
      <c r="M1257" s="603" t="s">
        <v>159</v>
      </c>
      <c r="N1257" s="39" t="str">
        <f>IF(AND('331-CT'!$E$7=TH!H1257,OR(L1257="331",M1257="331")),"331",IF(AND(OR(L1257="131",M1257="131"),H1257='131-CT'!$E$7),"131",""))</f>
        <v/>
      </c>
      <c r="O1257" s="39" t="str">
        <f>IF(AND($B1257&gt;='111'!$N$11,$B1257&lt;='111'!$O$11,OR($L1257=$O$7,$M1257=$O$7)),"x","")</f>
        <v/>
      </c>
      <c r="P1257" s="39" t="str">
        <f>IF(AND($L1257=$O$7,$B1257&lt;'111'!$N$11),"x","")</f>
        <v/>
      </c>
      <c r="Q1257" s="39" t="str">
        <f>IF(AND($M1257=$O$7,$B1257&lt;'111'!$N$11),"x","")</f>
        <v/>
      </c>
      <c r="R1257" s="39" t="str">
        <f>IF(ISERROR(FIND('112'!$M$9,G1257,1)),"",IF((AND(FIND('112'!$M$9,G1257,1)&gt;=1,$B1257&gt;='112'!$N$8,$B1257&lt;='112'!$O$8,OR($L1257='112'!$I$6,$M1257='112'!$I$6))),"x",""))</f>
        <v/>
      </c>
      <c r="S1257" s="39" t="str">
        <f>IF(ISERROR(FIND('112'!$M$9,G1257,1)),"",IF((AND(LEFT(G1257,2)=LEFT('112'!$M$9,2),B1257&lt;'112'!$N$8,$L1257='112'!$I$6)),"x",""))</f>
        <v/>
      </c>
      <c r="T1257" s="39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39" t="str">
        <f>IF(OR(TH!L1257=TH!$V$7,M1257=TH!$V$7),"x","")</f>
        <v/>
      </c>
      <c r="W1257" s="39" t="str">
        <f>IF(AND(B1257&gt;='IN-NX'!$P$3,B1257&lt;='IN-NX'!$Q$3,'IN-NX'!$D$7=D1257,OR(LEFT(L1257,2)="15",AND(LEFT(M1257,2)&lt;&gt;"15",LEFT(M1257,2)&lt;&gt;"33"))),"x","")</f>
        <v/>
      </c>
      <c r="X1257" s="39" t="str">
        <f>IF(AND(OR(LEFT(TH!L1257,2)="15",LEFT(TH!M1257,2)="15"),'152-CT'!$J$8=TH!F1257),"x","")</f>
        <v/>
      </c>
      <c r="Y1257" s="39" t="str">
        <f>IF(AND(OR(LEFT(TH!L1257,2)="15",LEFT(TH!M1257,2)="15"),TK!$E$7=TH!F1257),"x","")</f>
        <v/>
      </c>
      <c r="Z1257" s="39" t="str">
        <f>IF(AND(B1257&lt;=NKC!$N$8,B1257&gt;=NKC!$M$8),"x","")</f>
        <v>x</v>
      </c>
      <c r="AA1257" s="883"/>
    </row>
    <row r="1258" spans="1:27" s="211" customFormat="1" ht="15.75" customHeight="1">
      <c r="A1258" s="204" t="str">
        <f>IF(B1258&lt;&gt;"",IF(AND(B1258&gt;=_TM1,B1258&lt;=_TM2,OR(TH!L1258="1111",TH!M1258="1111")),TH!D1258,""),"")</f>
        <v/>
      </c>
      <c r="B1258" s="36">
        <f t="shared" si="442"/>
        <v>8</v>
      </c>
      <c r="C1258" s="191">
        <f t="shared" si="440"/>
        <v>41489</v>
      </c>
      <c r="D1258" s="191" t="s">
        <v>1292</v>
      </c>
      <c r="E1258" s="773">
        <v>41489</v>
      </c>
      <c r="F1258" s="189" t="s">
        <v>1225</v>
      </c>
      <c r="G1258" s="40" t="s">
        <v>899</v>
      </c>
      <c r="H1258" s="7" t="s">
        <v>1284</v>
      </c>
      <c r="I1258" s="256">
        <v>340</v>
      </c>
      <c r="J1258" s="256">
        <v>15889</v>
      </c>
      <c r="K1258" s="602">
        <f t="shared" si="441"/>
        <v>5402260</v>
      </c>
      <c r="L1258" s="39" t="s">
        <v>165</v>
      </c>
      <c r="M1258" s="603" t="s">
        <v>159</v>
      </c>
      <c r="N1258" s="39" t="str">
        <f>IF(AND('331-CT'!$E$7=TH!H1258,OR(L1258="331",M1258="331")),"331",IF(AND(OR(L1258="131",M1258="131"),H1258='131-CT'!$E$7),"131",""))</f>
        <v/>
      </c>
      <c r="O1258" s="39" t="str">
        <f>IF(AND($B1258&gt;='111'!$N$11,$B1258&lt;='111'!$O$11,OR($L1258=$O$7,$M1258=$O$7)),"x","")</f>
        <v/>
      </c>
      <c r="P1258" s="39" t="str">
        <f>IF(AND($L1258=$O$7,$B1258&lt;'111'!$N$11),"x","")</f>
        <v/>
      </c>
      <c r="Q1258" s="39" t="str">
        <f>IF(AND($M1258=$O$7,$B1258&lt;'111'!$N$11),"x","")</f>
        <v/>
      </c>
      <c r="R1258" s="39" t="str">
        <f>IF(ISERROR(FIND('112'!$M$9,G1258,1)),"",IF((AND(FIND('112'!$M$9,G1258,1)&gt;=1,$B1258&gt;='112'!$N$8,$B1258&lt;='112'!$O$8,OR($L1258='112'!$I$6,$M1258='112'!$I$6))),"x",""))</f>
        <v/>
      </c>
      <c r="S1258" s="39" t="str">
        <f>IF(ISERROR(FIND('112'!$M$9,G1258,1)),"",IF((AND(LEFT(G1258,2)=LEFT('112'!$M$9,2),B1258&lt;'112'!$N$8,$L1258='112'!$I$6)),"x",""))</f>
        <v/>
      </c>
      <c r="T1258" s="39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39" t="str">
        <f>IF(OR(TH!L1258=TH!$V$7,M1258=TH!$V$7),"x","")</f>
        <v/>
      </c>
      <c r="W1258" s="39" t="str">
        <f>IF(AND(B1258&gt;='IN-NX'!$P$3,B1258&lt;='IN-NX'!$Q$3,'IN-NX'!$D$7=D1258,OR(LEFT(L1258,2)="15",AND(LEFT(M1258,2)&lt;&gt;"15",LEFT(M1258,2)&lt;&gt;"33"))),"x","")</f>
        <v/>
      </c>
      <c r="X1258" s="39" t="str">
        <f>IF(AND(OR(LEFT(TH!L1258,2)="15",LEFT(TH!M1258,2)="15"),'152-CT'!$J$8=TH!F1258),"x","")</f>
        <v/>
      </c>
      <c r="Y1258" s="39" t="str">
        <f>IF(AND(OR(LEFT(TH!L1258,2)="15",LEFT(TH!M1258,2)="15"),TK!$E$7=TH!F1258),"x","")</f>
        <v/>
      </c>
      <c r="Z1258" s="39" t="str">
        <f>IF(AND(B1258&lt;=NKC!$N$8,B1258&gt;=NKC!$M$8),"x","")</f>
        <v>x</v>
      </c>
      <c r="AA1258" s="883"/>
    </row>
    <row r="1259" spans="1:27" s="211" customFormat="1" ht="15.75" customHeight="1">
      <c r="A1259" s="204" t="str">
        <f>IF(B1259&lt;&gt;"",IF(AND(B1259&gt;=_TM1,B1259&lt;=_TM2,OR(TH!L1259="1111",TH!M1259="1111")),TH!D1259,""),"")</f>
        <v/>
      </c>
      <c r="B1259" s="36">
        <f t="shared" si="442"/>
        <v>8</v>
      </c>
      <c r="C1259" s="191">
        <f t="shared" si="440"/>
        <v>41492</v>
      </c>
      <c r="D1259" s="191" t="s">
        <v>1292</v>
      </c>
      <c r="E1259" s="773">
        <v>41492</v>
      </c>
      <c r="F1259" s="189" t="s">
        <v>650</v>
      </c>
      <c r="G1259" s="40" t="s">
        <v>900</v>
      </c>
      <c r="H1259" s="7" t="s">
        <v>1284</v>
      </c>
      <c r="I1259" s="256">
        <v>1000</v>
      </c>
      <c r="J1259" s="256">
        <v>8462.418420401089</v>
      </c>
      <c r="K1259" s="602">
        <f t="shared" si="441"/>
        <v>8462418</v>
      </c>
      <c r="L1259" s="39" t="s">
        <v>165</v>
      </c>
      <c r="M1259" s="603" t="s">
        <v>159</v>
      </c>
      <c r="N1259" s="39" t="str">
        <f>IF(AND('331-CT'!$E$7=TH!H1259,OR(L1259="331",M1259="331")),"331",IF(AND(OR(L1259="131",M1259="131"),H1259='131-CT'!$E$7),"131",""))</f>
        <v/>
      </c>
      <c r="O1259" s="39" t="str">
        <f>IF(AND($B1259&gt;='111'!$N$11,$B1259&lt;='111'!$O$11,OR($L1259=$O$7,$M1259=$O$7)),"x","")</f>
        <v/>
      </c>
      <c r="P1259" s="39" t="str">
        <f>IF(AND($L1259=$O$7,$B1259&lt;'111'!$N$11),"x","")</f>
        <v/>
      </c>
      <c r="Q1259" s="39" t="str">
        <f>IF(AND($M1259=$O$7,$B1259&lt;'111'!$N$11),"x","")</f>
        <v/>
      </c>
      <c r="R1259" s="39" t="str">
        <f>IF(ISERROR(FIND('112'!$M$9,G1259,1)),"",IF((AND(FIND('112'!$M$9,G1259,1)&gt;=1,$B1259&gt;='112'!$N$8,$B1259&lt;='112'!$O$8,OR($L1259='112'!$I$6,$M1259='112'!$I$6))),"x",""))</f>
        <v/>
      </c>
      <c r="S1259" s="39" t="str">
        <f>IF(ISERROR(FIND('112'!$M$9,G1259,1)),"",IF((AND(LEFT(G1259,2)=LEFT('112'!$M$9,2),B1259&lt;'112'!$N$8,$L1259='112'!$I$6)),"x",""))</f>
        <v/>
      </c>
      <c r="T1259" s="39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39" t="str">
        <f>IF(OR(TH!L1259=TH!$V$7,M1259=TH!$V$7),"x","")</f>
        <v/>
      </c>
      <c r="W1259" s="39" t="str">
        <f>IF(AND(B1259&gt;='IN-NX'!$P$3,B1259&lt;='IN-NX'!$Q$3,'IN-NX'!$D$7=D1259,OR(LEFT(L1259,2)="15",AND(LEFT(M1259,2)&lt;&gt;"15",LEFT(M1259,2)&lt;&gt;"33"))),"x","")</f>
        <v/>
      </c>
      <c r="X1259" s="39" t="str">
        <f>IF(AND(OR(LEFT(TH!L1259,2)="15",LEFT(TH!M1259,2)="15"),'152-CT'!$J$8=TH!F1259),"x","")</f>
        <v/>
      </c>
      <c r="Y1259" s="39" t="str">
        <f>IF(AND(OR(LEFT(TH!L1259,2)="15",LEFT(TH!M1259,2)="15"),TK!$E$7=TH!F1259),"x","")</f>
        <v/>
      </c>
      <c r="Z1259" s="39" t="str">
        <f>IF(AND(B1259&lt;=NKC!$N$8,B1259&gt;=NKC!$M$8),"x","")</f>
        <v>x</v>
      </c>
      <c r="AA1259" s="883"/>
    </row>
    <row r="1260" spans="1:27" s="211" customFormat="1" ht="15.75" customHeight="1">
      <c r="A1260" s="204" t="str">
        <f>IF(B1260&lt;&gt;"",IF(AND(B1260&gt;=_TM1,B1260&lt;=_TM2,OR(TH!L1260="1111",TH!M1260="1111")),TH!D1260,""),"")</f>
        <v/>
      </c>
      <c r="B1260" s="36">
        <f t="shared" si="442"/>
        <v>8</v>
      </c>
      <c r="C1260" s="191">
        <f t="shared" si="440"/>
        <v>41492</v>
      </c>
      <c r="D1260" s="191" t="s">
        <v>1292</v>
      </c>
      <c r="E1260" s="773">
        <v>41492</v>
      </c>
      <c r="F1260" s="40" t="s">
        <v>1241</v>
      </c>
      <c r="G1260" s="40" t="s">
        <v>901</v>
      </c>
      <c r="H1260" s="7" t="s">
        <v>1284</v>
      </c>
      <c r="I1260" s="256">
        <v>455</v>
      </c>
      <c r="J1260" s="256">
        <v>19910.059351276741</v>
      </c>
      <c r="K1260" s="602">
        <f t="shared" si="441"/>
        <v>9059077</v>
      </c>
      <c r="L1260" s="39" t="s">
        <v>165</v>
      </c>
      <c r="M1260" s="603" t="s">
        <v>159</v>
      </c>
      <c r="N1260" s="39" t="str">
        <f>IF(AND('331-CT'!$E$7=TH!H1260,OR(L1260="331",M1260="331")),"331",IF(AND(OR(L1260="131",M1260="131"),H1260='131-CT'!$E$7),"131",""))</f>
        <v/>
      </c>
      <c r="O1260" s="39" t="str">
        <f>IF(AND($B1260&gt;='111'!$N$11,$B1260&lt;='111'!$O$11,OR($L1260=$O$7,$M1260=$O$7)),"x","")</f>
        <v/>
      </c>
      <c r="P1260" s="39" t="str">
        <f>IF(AND($L1260=$O$7,$B1260&lt;'111'!$N$11),"x","")</f>
        <v/>
      </c>
      <c r="Q1260" s="39" t="str">
        <f>IF(AND($M1260=$O$7,$B1260&lt;'111'!$N$11),"x","")</f>
        <v/>
      </c>
      <c r="R1260" s="39" t="str">
        <f>IF(ISERROR(FIND('112'!$M$9,G1260,1)),"",IF((AND(FIND('112'!$M$9,G1260,1)&gt;=1,$B1260&gt;='112'!$N$8,$B1260&lt;='112'!$O$8,OR($L1260='112'!$I$6,$M1260='112'!$I$6))),"x",""))</f>
        <v/>
      </c>
      <c r="S1260" s="39" t="str">
        <f>IF(ISERROR(FIND('112'!$M$9,G1260,1)),"",IF((AND(LEFT(G1260,2)=LEFT('112'!$M$9,2),B1260&lt;'112'!$N$8,$L1260='112'!$I$6)),"x",""))</f>
        <v/>
      </c>
      <c r="T1260" s="39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39" t="str">
        <f>IF(OR(TH!L1260=TH!$V$7,M1260=TH!$V$7),"x","")</f>
        <v/>
      </c>
      <c r="W1260" s="39" t="str">
        <f>IF(AND(B1260&gt;='IN-NX'!$P$3,B1260&lt;='IN-NX'!$Q$3,'IN-NX'!$D$7=D1260,OR(LEFT(L1260,2)="15",AND(LEFT(M1260,2)&lt;&gt;"15",LEFT(M1260,2)&lt;&gt;"33"))),"x","")</f>
        <v/>
      </c>
      <c r="X1260" s="39" t="str">
        <f>IF(AND(OR(LEFT(TH!L1260,2)="15",LEFT(TH!M1260,2)="15"),'152-CT'!$J$8=TH!F1260),"x","")</f>
        <v/>
      </c>
      <c r="Y1260" s="39" t="str">
        <f>IF(AND(OR(LEFT(TH!L1260,2)="15",LEFT(TH!M1260,2)="15"),TK!$E$7=TH!F1260),"x","")</f>
        <v/>
      </c>
      <c r="Z1260" s="39" t="str">
        <f>IF(AND(B1260&lt;=NKC!$N$8,B1260&gt;=NKC!$M$8),"x","")</f>
        <v>x</v>
      </c>
      <c r="AA1260" s="883"/>
    </row>
    <row r="1261" spans="1:27" s="211" customFormat="1" ht="15.75" customHeight="1">
      <c r="A1261" s="204" t="str">
        <f>IF(B1261&lt;&gt;"",IF(AND(B1261&gt;=_TM1,B1261&lt;=_TM2,OR(TH!L1261="1111",TH!M1261="1111")),TH!D1261,""),"")</f>
        <v/>
      </c>
      <c r="B1261" s="36">
        <f t="shared" si="442"/>
        <v>8</v>
      </c>
      <c r="C1261" s="191">
        <f t="shared" si="440"/>
        <v>41493</v>
      </c>
      <c r="D1261" s="191" t="s">
        <v>1292</v>
      </c>
      <c r="E1261" s="773">
        <v>41493</v>
      </c>
      <c r="F1261" s="189" t="s">
        <v>600</v>
      </c>
      <c r="G1261" s="40" t="s">
        <v>902</v>
      </c>
      <c r="H1261" s="7" t="s">
        <v>1284</v>
      </c>
      <c r="I1261" s="256">
        <v>512</v>
      </c>
      <c r="J1261" s="256">
        <v>21888</v>
      </c>
      <c r="K1261" s="602">
        <f t="shared" si="441"/>
        <v>11206656</v>
      </c>
      <c r="L1261" s="39" t="s">
        <v>165</v>
      </c>
      <c r="M1261" s="603" t="s">
        <v>159</v>
      </c>
      <c r="N1261" s="39" t="str">
        <f>IF(AND('331-CT'!$E$7=TH!H1261,OR(L1261="331",M1261="331")),"331",IF(AND(OR(L1261="131",M1261="131"),H1261='131-CT'!$E$7),"131",""))</f>
        <v/>
      </c>
      <c r="O1261" s="39" t="str">
        <f>IF(AND($B1261&gt;='111'!$N$11,$B1261&lt;='111'!$O$11,OR($L1261=$O$7,$M1261=$O$7)),"x","")</f>
        <v/>
      </c>
      <c r="P1261" s="39" t="str">
        <f>IF(AND($L1261=$O$7,$B1261&lt;'111'!$N$11),"x","")</f>
        <v/>
      </c>
      <c r="Q1261" s="39" t="str">
        <f>IF(AND($M1261=$O$7,$B1261&lt;'111'!$N$11),"x","")</f>
        <v/>
      </c>
      <c r="R1261" s="39" t="str">
        <f>IF(ISERROR(FIND('112'!$M$9,G1261,1)),"",IF((AND(FIND('112'!$M$9,G1261,1)&gt;=1,$B1261&gt;='112'!$N$8,$B1261&lt;='112'!$O$8,OR($L1261='112'!$I$6,$M1261='112'!$I$6))),"x",""))</f>
        <v/>
      </c>
      <c r="S1261" s="39" t="str">
        <f>IF(ISERROR(FIND('112'!$M$9,G1261,1)),"",IF((AND(LEFT(G1261,2)=LEFT('112'!$M$9,2),B1261&lt;'112'!$N$8,$L1261='112'!$I$6)),"x",""))</f>
        <v/>
      </c>
      <c r="T1261" s="39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39" t="str">
        <f>IF(OR(TH!L1261=TH!$V$7,M1261=TH!$V$7),"x","")</f>
        <v/>
      </c>
      <c r="W1261" s="39" t="str">
        <f>IF(AND(B1261&gt;='IN-NX'!$P$3,B1261&lt;='IN-NX'!$Q$3,'IN-NX'!$D$7=D1261,OR(LEFT(L1261,2)="15",AND(LEFT(M1261,2)&lt;&gt;"15",LEFT(M1261,2)&lt;&gt;"33"))),"x","")</f>
        <v/>
      </c>
      <c r="X1261" s="39" t="str">
        <f>IF(AND(OR(LEFT(TH!L1261,2)="15",LEFT(TH!M1261,2)="15"),'152-CT'!$J$8=TH!F1261),"x","")</f>
        <v/>
      </c>
      <c r="Y1261" s="39" t="str">
        <f>IF(AND(OR(LEFT(TH!L1261,2)="15",LEFT(TH!M1261,2)="15"),TK!$E$7=TH!F1261),"x","")</f>
        <v/>
      </c>
      <c r="Z1261" s="39" t="str">
        <f>IF(AND(B1261&lt;=NKC!$N$8,B1261&gt;=NKC!$M$8),"x","")</f>
        <v>x</v>
      </c>
      <c r="AA1261" s="883"/>
    </row>
    <row r="1262" spans="1:27" s="211" customFormat="1" ht="15.75" customHeight="1">
      <c r="A1262" s="204" t="str">
        <f>IF(B1262&lt;&gt;"",IF(AND(B1262&gt;=_TM1,B1262&lt;=_TM2,OR(TH!L1262="1111",TH!M1262="1111")),TH!D1262,""),"")</f>
        <v/>
      </c>
      <c r="B1262" s="36">
        <f t="shared" si="442"/>
        <v>8</v>
      </c>
      <c r="C1262" s="191">
        <f t="shared" si="440"/>
        <v>41493</v>
      </c>
      <c r="D1262" s="191" t="s">
        <v>1292</v>
      </c>
      <c r="E1262" s="773">
        <v>41493</v>
      </c>
      <c r="F1262" s="40" t="s">
        <v>1277</v>
      </c>
      <c r="G1262" s="40" t="s">
        <v>904</v>
      </c>
      <c r="H1262" s="7" t="s">
        <v>1284</v>
      </c>
      <c r="I1262" s="256">
        <v>250</v>
      </c>
      <c r="J1262" s="256">
        <v>9676</v>
      </c>
      <c r="K1262" s="602">
        <f t="shared" si="441"/>
        <v>2419000</v>
      </c>
      <c r="L1262" s="39" t="s">
        <v>165</v>
      </c>
      <c r="M1262" s="603" t="s">
        <v>159</v>
      </c>
      <c r="N1262" s="39" t="str">
        <f>IF(AND('331-CT'!$E$7=TH!H1262,OR(L1262="331",M1262="331")),"331",IF(AND(OR(L1262="131",M1262="131"),H1262='131-CT'!$E$7),"131",""))</f>
        <v/>
      </c>
      <c r="O1262" s="39" t="str">
        <f>IF(AND($B1262&gt;='111'!$N$11,$B1262&lt;='111'!$O$11,OR($L1262=$O$7,$M1262=$O$7)),"x","")</f>
        <v/>
      </c>
      <c r="P1262" s="39" t="str">
        <f>IF(AND($L1262=$O$7,$B1262&lt;'111'!$N$11),"x","")</f>
        <v/>
      </c>
      <c r="Q1262" s="39" t="str">
        <f>IF(AND($M1262=$O$7,$B1262&lt;'111'!$N$11),"x","")</f>
        <v/>
      </c>
      <c r="R1262" s="39" t="str">
        <f>IF(ISERROR(FIND('112'!$M$9,G1262,1)),"",IF((AND(FIND('112'!$M$9,G1262,1)&gt;=1,$B1262&gt;='112'!$N$8,$B1262&lt;='112'!$O$8,OR($L1262='112'!$I$6,$M1262='112'!$I$6))),"x",""))</f>
        <v/>
      </c>
      <c r="S1262" s="39" t="str">
        <f>IF(ISERROR(FIND('112'!$M$9,G1262,1)),"",IF((AND(LEFT(G1262,2)=LEFT('112'!$M$9,2),B1262&lt;'112'!$N$8,$L1262='112'!$I$6)),"x",""))</f>
        <v/>
      </c>
      <c r="T1262" s="39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39" t="str">
        <f>IF(OR(TH!L1262=TH!$V$7,M1262=TH!$V$7),"x","")</f>
        <v/>
      </c>
      <c r="W1262" s="39" t="str">
        <f>IF(AND(B1262&gt;='IN-NX'!$P$3,B1262&lt;='IN-NX'!$Q$3,'IN-NX'!$D$7=D1262,OR(LEFT(L1262,2)="15",AND(LEFT(M1262,2)&lt;&gt;"15",LEFT(M1262,2)&lt;&gt;"33"))),"x","")</f>
        <v/>
      </c>
      <c r="X1262" s="39" t="str">
        <f>IF(AND(OR(LEFT(TH!L1262,2)="15",LEFT(TH!M1262,2)="15"),'152-CT'!$J$8=TH!F1262),"x","")</f>
        <v/>
      </c>
      <c r="Y1262" s="39" t="str">
        <f>IF(AND(OR(LEFT(TH!L1262,2)="15",LEFT(TH!M1262,2)="15"),TK!$E$7=TH!F1262),"x","")</f>
        <v/>
      </c>
      <c r="Z1262" s="39" t="str">
        <f>IF(AND(B1262&lt;=NKC!$N$8,B1262&gt;=NKC!$M$8),"x","")</f>
        <v>x</v>
      </c>
      <c r="AA1262" s="883"/>
    </row>
    <row r="1263" spans="1:27" s="211" customFormat="1" ht="15.75" customHeight="1">
      <c r="A1263" s="204" t="str">
        <f>IF(B1263&lt;&gt;"",IF(AND(B1263&gt;=_TM1,B1263&lt;=_TM2,OR(TH!L1263="1111",TH!M1263="1111")),TH!D1263,""),"")</f>
        <v/>
      </c>
      <c r="B1263" s="36">
        <f t="shared" si="442"/>
        <v>8</v>
      </c>
      <c r="C1263" s="191">
        <f t="shared" si="440"/>
        <v>41493</v>
      </c>
      <c r="D1263" s="191" t="s">
        <v>1292</v>
      </c>
      <c r="E1263" s="773">
        <v>41493</v>
      </c>
      <c r="F1263" s="189" t="s">
        <v>1209</v>
      </c>
      <c r="G1263" s="40" t="s">
        <v>904</v>
      </c>
      <c r="H1263" s="7" t="s">
        <v>1284</v>
      </c>
      <c r="I1263" s="256">
        <v>135</v>
      </c>
      <c r="J1263" s="256">
        <v>19041</v>
      </c>
      <c r="K1263" s="602">
        <f t="shared" si="441"/>
        <v>2570535</v>
      </c>
      <c r="L1263" s="39" t="s">
        <v>165</v>
      </c>
      <c r="M1263" s="603" t="s">
        <v>159</v>
      </c>
      <c r="N1263" s="39" t="str">
        <f>IF(AND('331-CT'!$E$7=TH!H1263,OR(L1263="331",M1263="331")),"331",IF(AND(OR(L1263="131",M1263="131"),H1263='131-CT'!$E$7),"131",""))</f>
        <v/>
      </c>
      <c r="O1263" s="39" t="str">
        <f>IF(AND($B1263&gt;='111'!$N$11,$B1263&lt;='111'!$O$11,OR($L1263=$O$7,$M1263=$O$7)),"x","")</f>
        <v/>
      </c>
      <c r="P1263" s="39" t="str">
        <f>IF(AND($L1263=$O$7,$B1263&lt;'111'!$N$11),"x","")</f>
        <v/>
      </c>
      <c r="Q1263" s="39" t="str">
        <f>IF(AND($M1263=$O$7,$B1263&lt;'111'!$N$11),"x","")</f>
        <v/>
      </c>
      <c r="R1263" s="39" t="str">
        <f>IF(ISERROR(FIND('112'!$M$9,G1263,1)),"",IF((AND(FIND('112'!$M$9,G1263,1)&gt;=1,$B1263&gt;='112'!$N$8,$B1263&lt;='112'!$O$8,OR($L1263='112'!$I$6,$M1263='112'!$I$6))),"x",""))</f>
        <v/>
      </c>
      <c r="S1263" s="39" t="str">
        <f>IF(ISERROR(FIND('112'!$M$9,G1263,1)),"",IF((AND(LEFT(G1263,2)=LEFT('112'!$M$9,2),B1263&lt;'112'!$N$8,$L1263='112'!$I$6)),"x",""))</f>
        <v/>
      </c>
      <c r="T1263" s="39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39" t="str">
        <f>IF(OR(TH!L1263=TH!$V$7,M1263=TH!$V$7),"x","")</f>
        <v/>
      </c>
      <c r="W1263" s="39" t="str">
        <f>IF(AND(B1263&gt;='IN-NX'!$P$3,B1263&lt;='IN-NX'!$Q$3,'IN-NX'!$D$7=D1263,OR(LEFT(L1263,2)="15",AND(LEFT(M1263,2)&lt;&gt;"15",LEFT(M1263,2)&lt;&gt;"33"))),"x","")</f>
        <v/>
      </c>
      <c r="X1263" s="39" t="str">
        <f>IF(AND(OR(LEFT(TH!L1263,2)="15",LEFT(TH!M1263,2)="15"),'152-CT'!$J$8=TH!F1263),"x","")</f>
        <v/>
      </c>
      <c r="Y1263" s="39" t="str">
        <f>IF(AND(OR(LEFT(TH!L1263,2)="15",LEFT(TH!M1263,2)="15"),TK!$E$7=TH!F1263),"x","")</f>
        <v/>
      </c>
      <c r="Z1263" s="39" t="str">
        <f>IF(AND(B1263&lt;=NKC!$N$8,B1263&gt;=NKC!$M$8),"x","")</f>
        <v>x</v>
      </c>
      <c r="AA1263" s="883"/>
    </row>
    <row r="1264" spans="1:27" s="211" customFormat="1" ht="15.75" customHeight="1">
      <c r="A1264" s="204" t="str">
        <f>IF(B1264&lt;&gt;"",IF(AND(B1264&gt;=_TM1,B1264&lt;=_TM2,OR(TH!L1264="1111",TH!M1264="1111")),TH!D1264,""),"")</f>
        <v/>
      </c>
      <c r="B1264" s="36">
        <f t="shared" si="442"/>
        <v>8</v>
      </c>
      <c r="C1264" s="191">
        <f t="shared" si="440"/>
        <v>41495</v>
      </c>
      <c r="D1264" s="191" t="s">
        <v>1292</v>
      </c>
      <c r="E1264" s="191">
        <v>41495</v>
      </c>
      <c r="F1264" s="192" t="s">
        <v>1178</v>
      </c>
      <c r="G1264" s="487" t="s">
        <v>906</v>
      </c>
      <c r="H1264" s="7" t="s">
        <v>1284</v>
      </c>
      <c r="I1264" s="256">
        <v>381</v>
      </c>
      <c r="J1264" s="256">
        <v>19699</v>
      </c>
      <c r="K1264" s="602">
        <f t="shared" si="441"/>
        <v>7505319</v>
      </c>
      <c r="L1264" s="39" t="s">
        <v>165</v>
      </c>
      <c r="M1264" s="603" t="s">
        <v>159</v>
      </c>
      <c r="N1264" s="39" t="str">
        <f>IF(AND('331-CT'!$E$7=TH!H1264,OR(L1264="331",M1264="331")),"331",IF(AND(OR(L1264="131",M1264="131"),H1264='131-CT'!$E$7),"131",""))</f>
        <v/>
      </c>
      <c r="O1264" s="39" t="str">
        <f>IF(AND($B1264&gt;='111'!$N$11,$B1264&lt;='111'!$O$11,OR($L1264=$O$7,$M1264=$O$7)),"x","")</f>
        <v/>
      </c>
      <c r="P1264" s="39" t="str">
        <f>IF(AND($L1264=$O$7,$B1264&lt;'111'!$N$11),"x","")</f>
        <v/>
      </c>
      <c r="Q1264" s="39" t="str">
        <f>IF(AND($M1264=$O$7,$B1264&lt;'111'!$N$11),"x","")</f>
        <v/>
      </c>
      <c r="R1264" s="39" t="str">
        <f>IF(ISERROR(FIND('112'!$M$9,G1264,1)),"",IF((AND(FIND('112'!$M$9,G1264,1)&gt;=1,$B1264&gt;='112'!$N$8,$B1264&lt;='112'!$O$8,OR($L1264='112'!$I$6,$M1264='112'!$I$6))),"x",""))</f>
        <v/>
      </c>
      <c r="S1264" s="39" t="str">
        <f>IF(ISERROR(FIND('112'!$M$9,G1264,1)),"",IF((AND(LEFT(G1264,2)=LEFT('112'!$M$9,2),B1264&lt;'112'!$N$8,$L1264='112'!$I$6)),"x",""))</f>
        <v/>
      </c>
      <c r="T1264" s="39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39" t="str">
        <f>IF(OR(TH!L1264=TH!$V$7,M1264=TH!$V$7),"x","")</f>
        <v/>
      </c>
      <c r="W1264" s="39" t="str">
        <f>IF(AND(B1264&gt;='IN-NX'!$P$3,B1264&lt;='IN-NX'!$Q$3,'IN-NX'!$D$7=D1264,OR(LEFT(L1264,2)="15",AND(LEFT(M1264,2)&lt;&gt;"15",LEFT(M1264,2)&lt;&gt;"33"))),"x","")</f>
        <v/>
      </c>
      <c r="X1264" s="39" t="str">
        <f>IF(AND(OR(LEFT(TH!L1264,2)="15",LEFT(TH!M1264,2)="15"),'152-CT'!$J$8=TH!F1264),"x","")</f>
        <v/>
      </c>
      <c r="Y1264" s="39" t="str">
        <f>IF(AND(OR(LEFT(TH!L1264,2)="15",LEFT(TH!M1264,2)="15"),TK!$E$7=TH!F1264),"x","")</f>
        <v/>
      </c>
      <c r="Z1264" s="39" t="str">
        <f>IF(AND(B1264&lt;=NKC!$N$8,B1264&gt;=NKC!$M$8),"x","")</f>
        <v>x</v>
      </c>
      <c r="AA1264" s="883"/>
    </row>
    <row r="1265" spans="1:27" s="211" customFormat="1" ht="15.75" customHeight="1">
      <c r="A1265" s="204" t="str">
        <f>IF(B1265&lt;&gt;"",IF(AND(B1265&gt;=_TM1,B1265&lt;=_TM2,OR(TH!L1265="1111",TH!M1265="1111")),TH!D1265,""),"")</f>
        <v/>
      </c>
      <c r="B1265" s="36">
        <f t="shared" si="442"/>
        <v>8</v>
      </c>
      <c r="C1265" s="191">
        <f t="shared" si="440"/>
        <v>41496</v>
      </c>
      <c r="D1265" s="191" t="s">
        <v>1292</v>
      </c>
      <c r="E1265" s="191">
        <v>41496</v>
      </c>
      <c r="F1265" s="192" t="s">
        <v>1261</v>
      </c>
      <c r="G1265" s="487" t="s">
        <v>907</v>
      </c>
      <c r="H1265" s="7" t="s">
        <v>1284</v>
      </c>
      <c r="I1265" s="256">
        <v>100</v>
      </c>
      <c r="J1265" s="256">
        <v>16985</v>
      </c>
      <c r="K1265" s="602">
        <f t="shared" si="441"/>
        <v>1698500</v>
      </c>
      <c r="L1265" s="39" t="s">
        <v>165</v>
      </c>
      <c r="M1265" s="603" t="s">
        <v>159</v>
      </c>
      <c r="N1265" s="39" t="str">
        <f>IF(AND('331-CT'!$E$7=TH!H1265,OR(L1265="331",M1265="331")),"331",IF(AND(OR(L1265="131",M1265="131"),H1265='131-CT'!$E$7),"131",""))</f>
        <v/>
      </c>
      <c r="O1265" s="39" t="str">
        <f>IF(AND($B1265&gt;='111'!$N$11,$B1265&lt;='111'!$O$11,OR($L1265=$O$7,$M1265=$O$7)),"x","")</f>
        <v/>
      </c>
      <c r="P1265" s="39" t="str">
        <f>IF(AND($L1265=$O$7,$B1265&lt;'111'!$N$11),"x","")</f>
        <v/>
      </c>
      <c r="Q1265" s="39" t="str">
        <f>IF(AND($M1265=$O$7,$B1265&lt;'111'!$N$11),"x","")</f>
        <v/>
      </c>
      <c r="R1265" s="39" t="str">
        <f>IF(ISERROR(FIND('112'!$M$9,G1265,1)),"",IF((AND(FIND('112'!$M$9,G1265,1)&gt;=1,$B1265&gt;='112'!$N$8,$B1265&lt;='112'!$O$8,OR($L1265='112'!$I$6,$M1265='112'!$I$6))),"x",""))</f>
        <v/>
      </c>
      <c r="S1265" s="39" t="str">
        <f>IF(ISERROR(FIND('112'!$M$9,G1265,1)),"",IF((AND(LEFT(G1265,2)=LEFT('112'!$M$9,2),B1265&lt;'112'!$N$8,$L1265='112'!$I$6)),"x",""))</f>
        <v/>
      </c>
      <c r="T1265" s="39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39" t="str">
        <f>IF(OR(TH!L1265=TH!$V$7,M1265=TH!$V$7),"x","")</f>
        <v/>
      </c>
      <c r="W1265" s="39" t="str">
        <f>IF(AND(B1265&gt;='IN-NX'!$P$3,B1265&lt;='IN-NX'!$Q$3,'IN-NX'!$D$7=D1265,OR(LEFT(L1265,2)="15",AND(LEFT(M1265,2)&lt;&gt;"15",LEFT(M1265,2)&lt;&gt;"33"))),"x","")</f>
        <v/>
      </c>
      <c r="X1265" s="39" t="str">
        <f>IF(AND(OR(LEFT(TH!L1265,2)="15",LEFT(TH!M1265,2)="15"),'152-CT'!$J$8=TH!F1265),"x","")</f>
        <v/>
      </c>
      <c r="Y1265" s="39" t="str">
        <f>IF(AND(OR(LEFT(TH!L1265,2)="15",LEFT(TH!M1265,2)="15"),TK!$E$7=TH!F1265),"x","")</f>
        <v/>
      </c>
      <c r="Z1265" s="39" t="str">
        <f>IF(AND(B1265&lt;=NKC!$N$8,B1265&gt;=NKC!$M$8),"x","")</f>
        <v>x</v>
      </c>
      <c r="AA1265" s="883"/>
    </row>
    <row r="1266" spans="1:27" s="211" customFormat="1" ht="15.75" customHeight="1">
      <c r="A1266" s="204" t="str">
        <f>IF(B1266&lt;&gt;"",IF(AND(B1266&gt;=_TM1,B1266&lt;=_TM2,OR(TH!L1266="1111",TH!M1266="1111")),TH!D1266,""),"")</f>
        <v/>
      </c>
      <c r="B1266" s="36">
        <f t="shared" si="442"/>
        <v>8</v>
      </c>
      <c r="C1266" s="191">
        <f t="shared" si="440"/>
        <v>41496</v>
      </c>
      <c r="D1266" s="191" t="s">
        <v>1292</v>
      </c>
      <c r="E1266" s="191">
        <v>41496</v>
      </c>
      <c r="F1266" s="192" t="s">
        <v>1195</v>
      </c>
      <c r="G1266" s="487" t="s">
        <v>907</v>
      </c>
      <c r="H1266" s="7" t="s">
        <v>1284</v>
      </c>
      <c r="I1266" s="256">
        <v>260</v>
      </c>
      <c r="J1266" s="256">
        <v>11157</v>
      </c>
      <c r="K1266" s="602">
        <f t="shared" si="441"/>
        <v>2900820</v>
      </c>
      <c r="L1266" s="39" t="s">
        <v>165</v>
      </c>
      <c r="M1266" s="603" t="s">
        <v>159</v>
      </c>
      <c r="N1266" s="39" t="str">
        <f>IF(AND('331-CT'!$E$7=TH!H1266,OR(L1266="331",M1266="331")),"331",IF(AND(OR(L1266="131",M1266="131"),H1266='131-CT'!$E$7),"131",""))</f>
        <v/>
      </c>
      <c r="O1266" s="39" t="str">
        <f>IF(AND($B1266&gt;='111'!$N$11,$B1266&lt;='111'!$O$11,OR($L1266=$O$7,$M1266=$O$7)),"x","")</f>
        <v/>
      </c>
      <c r="P1266" s="39" t="str">
        <f>IF(AND($L1266=$O$7,$B1266&lt;'111'!$N$11),"x","")</f>
        <v/>
      </c>
      <c r="Q1266" s="39" t="str">
        <f>IF(AND($M1266=$O$7,$B1266&lt;'111'!$N$11),"x","")</f>
        <v/>
      </c>
      <c r="R1266" s="39" t="str">
        <f>IF(ISERROR(FIND('112'!$M$9,G1266,1)),"",IF((AND(FIND('112'!$M$9,G1266,1)&gt;=1,$B1266&gt;='112'!$N$8,$B1266&lt;='112'!$O$8,OR($L1266='112'!$I$6,$M1266='112'!$I$6))),"x",""))</f>
        <v/>
      </c>
      <c r="S1266" s="39" t="str">
        <f>IF(ISERROR(FIND('112'!$M$9,G1266,1)),"",IF((AND(LEFT(G1266,2)=LEFT('112'!$M$9,2),B1266&lt;'112'!$N$8,$L1266='112'!$I$6)),"x",""))</f>
        <v/>
      </c>
      <c r="T1266" s="39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39" t="str">
        <f>IF(OR(TH!L1266=TH!$V$7,M1266=TH!$V$7),"x","")</f>
        <v/>
      </c>
      <c r="W1266" s="39" t="str">
        <f>IF(AND(B1266&gt;='IN-NX'!$P$3,B1266&lt;='IN-NX'!$Q$3,'IN-NX'!$D$7=D1266,OR(LEFT(L1266,2)="15",AND(LEFT(M1266,2)&lt;&gt;"15",LEFT(M1266,2)&lt;&gt;"33"))),"x","")</f>
        <v/>
      </c>
      <c r="X1266" s="39" t="str">
        <f>IF(AND(OR(LEFT(TH!L1266,2)="15",LEFT(TH!M1266,2)="15"),'152-CT'!$J$8=TH!F1266),"x","")</f>
        <v/>
      </c>
      <c r="Y1266" s="39" t="str">
        <f>IF(AND(OR(LEFT(TH!L1266,2)="15",LEFT(TH!M1266,2)="15"),TK!$E$7=TH!F1266),"x","")</f>
        <v/>
      </c>
      <c r="Z1266" s="39" t="str">
        <f>IF(AND(B1266&lt;=NKC!$N$8,B1266&gt;=NKC!$M$8),"x","")</f>
        <v>x</v>
      </c>
      <c r="AA1266" s="883"/>
    </row>
    <row r="1267" spans="1:27" s="211" customFormat="1" ht="15.75" customHeight="1">
      <c r="A1267" s="204" t="str">
        <f>IF(B1267&lt;&gt;"",IF(AND(B1267&gt;=_TM1,B1267&lt;=_TM2,OR(TH!L1267="1111",TH!M1267="1111")),TH!D1267,""),"")</f>
        <v/>
      </c>
      <c r="B1267" s="36">
        <f t="shared" si="442"/>
        <v>8</v>
      </c>
      <c r="C1267" s="191">
        <f t="shared" si="440"/>
        <v>41496</v>
      </c>
      <c r="D1267" s="191" t="s">
        <v>1292</v>
      </c>
      <c r="E1267" s="191">
        <v>41496</v>
      </c>
      <c r="F1267" s="192" t="s">
        <v>1235</v>
      </c>
      <c r="G1267" s="487" t="s">
        <v>907</v>
      </c>
      <c r="H1267" s="7" t="s">
        <v>1284</v>
      </c>
      <c r="I1267" s="256">
        <v>260</v>
      </c>
      <c r="J1267" s="256">
        <v>12620</v>
      </c>
      <c r="K1267" s="602">
        <f t="shared" si="441"/>
        <v>3281200</v>
      </c>
      <c r="L1267" s="39" t="s">
        <v>165</v>
      </c>
      <c r="M1267" s="603" t="s">
        <v>159</v>
      </c>
      <c r="N1267" s="39" t="str">
        <f>IF(AND('331-CT'!$E$7=TH!H1267,OR(L1267="331",M1267="331")),"331",IF(AND(OR(L1267="131",M1267="131"),H1267='131-CT'!$E$7),"131",""))</f>
        <v/>
      </c>
      <c r="O1267" s="39" t="str">
        <f>IF(AND($B1267&gt;='111'!$N$11,$B1267&lt;='111'!$O$11,OR($L1267=$O$7,$M1267=$O$7)),"x","")</f>
        <v/>
      </c>
      <c r="P1267" s="39" t="str">
        <f>IF(AND($L1267=$O$7,$B1267&lt;'111'!$N$11),"x","")</f>
        <v/>
      </c>
      <c r="Q1267" s="39" t="str">
        <f>IF(AND($M1267=$O$7,$B1267&lt;'111'!$N$11),"x","")</f>
        <v/>
      </c>
      <c r="R1267" s="39" t="str">
        <f>IF(ISERROR(FIND('112'!$M$9,G1267,1)),"",IF((AND(FIND('112'!$M$9,G1267,1)&gt;=1,$B1267&gt;='112'!$N$8,$B1267&lt;='112'!$O$8,OR($L1267='112'!$I$6,$M1267='112'!$I$6))),"x",""))</f>
        <v/>
      </c>
      <c r="S1267" s="39" t="str">
        <f>IF(ISERROR(FIND('112'!$M$9,G1267,1)),"",IF((AND(LEFT(G1267,2)=LEFT('112'!$M$9,2),B1267&lt;'112'!$N$8,$L1267='112'!$I$6)),"x",""))</f>
        <v/>
      </c>
      <c r="T1267" s="39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39" t="str">
        <f>IF(OR(TH!L1267=TH!$V$7,M1267=TH!$V$7),"x","")</f>
        <v/>
      </c>
      <c r="W1267" s="39" t="str">
        <f>IF(AND(B1267&gt;='IN-NX'!$P$3,B1267&lt;='IN-NX'!$Q$3,'IN-NX'!$D$7=D1267,OR(LEFT(L1267,2)="15",AND(LEFT(M1267,2)&lt;&gt;"15",LEFT(M1267,2)&lt;&gt;"33"))),"x","")</f>
        <v/>
      </c>
      <c r="X1267" s="39" t="str">
        <f>IF(AND(OR(LEFT(TH!L1267,2)="15",LEFT(TH!M1267,2)="15"),'152-CT'!$J$8=TH!F1267),"x","")</f>
        <v/>
      </c>
      <c r="Y1267" s="39" t="str">
        <f>IF(AND(OR(LEFT(TH!L1267,2)="15",LEFT(TH!M1267,2)="15"),TK!$E$7=TH!F1267),"x","")</f>
        <v/>
      </c>
      <c r="Z1267" s="39" t="str">
        <f>IF(AND(B1267&lt;=NKC!$N$8,B1267&gt;=NKC!$M$8),"x","")</f>
        <v>x</v>
      </c>
      <c r="AA1267" s="883"/>
    </row>
    <row r="1268" spans="1:27" s="211" customFormat="1" ht="15.75" customHeight="1">
      <c r="A1268" s="204" t="str">
        <f>IF(B1268&lt;&gt;"",IF(AND(B1268&gt;=_TM1,B1268&lt;=_TM2,OR(TH!L1268="1111",TH!M1268="1111")),TH!D1268,""),"")</f>
        <v/>
      </c>
      <c r="B1268" s="36">
        <f t="shared" si="442"/>
        <v>8</v>
      </c>
      <c r="C1268" s="191">
        <f t="shared" si="440"/>
        <v>41497</v>
      </c>
      <c r="D1268" s="191" t="s">
        <v>1292</v>
      </c>
      <c r="E1268" s="191">
        <v>41497</v>
      </c>
      <c r="F1268" s="192" t="s">
        <v>650</v>
      </c>
      <c r="G1268" s="487" t="s">
        <v>909</v>
      </c>
      <c r="H1268" s="7" t="s">
        <v>1284</v>
      </c>
      <c r="I1268" s="256">
        <v>85</v>
      </c>
      <c r="J1268" s="256">
        <v>8462.4198895027621</v>
      </c>
      <c r="K1268" s="602">
        <f t="shared" si="441"/>
        <v>719306</v>
      </c>
      <c r="L1268" s="39" t="s">
        <v>165</v>
      </c>
      <c r="M1268" s="603" t="s">
        <v>159</v>
      </c>
      <c r="N1268" s="39" t="str">
        <f>IF(AND('331-CT'!$E$7=TH!H1268,OR(L1268="331",M1268="331")),"331",IF(AND(OR(L1268="131",M1268="131"),H1268='131-CT'!$E$7),"131",""))</f>
        <v/>
      </c>
      <c r="O1268" s="39" t="str">
        <f>IF(AND($B1268&gt;='111'!$N$11,$B1268&lt;='111'!$O$11,OR($L1268=$O$7,$M1268=$O$7)),"x","")</f>
        <v/>
      </c>
      <c r="P1268" s="39" t="str">
        <f>IF(AND($L1268=$O$7,$B1268&lt;'111'!$N$11),"x","")</f>
        <v/>
      </c>
      <c r="Q1268" s="39" t="str">
        <f>IF(AND($M1268=$O$7,$B1268&lt;'111'!$N$11),"x","")</f>
        <v/>
      </c>
      <c r="R1268" s="39" t="str">
        <f>IF(ISERROR(FIND('112'!$M$9,G1268,1)),"",IF((AND(FIND('112'!$M$9,G1268,1)&gt;=1,$B1268&gt;='112'!$N$8,$B1268&lt;='112'!$O$8,OR($L1268='112'!$I$6,$M1268='112'!$I$6))),"x",""))</f>
        <v/>
      </c>
      <c r="S1268" s="39" t="str">
        <f>IF(ISERROR(FIND('112'!$M$9,G1268,1)),"",IF((AND(LEFT(G1268,2)=LEFT('112'!$M$9,2),B1268&lt;'112'!$N$8,$L1268='112'!$I$6)),"x",""))</f>
        <v/>
      </c>
      <c r="T1268" s="39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39" t="str">
        <f>IF(OR(TH!L1268=TH!$V$7,M1268=TH!$V$7),"x","")</f>
        <v/>
      </c>
      <c r="W1268" s="39" t="str">
        <f>IF(AND(B1268&gt;='IN-NX'!$P$3,B1268&lt;='IN-NX'!$Q$3,'IN-NX'!$D$7=D1268,OR(LEFT(L1268,2)="15",AND(LEFT(M1268,2)&lt;&gt;"15",LEFT(M1268,2)&lt;&gt;"33"))),"x","")</f>
        <v/>
      </c>
      <c r="X1268" s="39" t="str">
        <f>IF(AND(OR(LEFT(TH!L1268,2)="15",LEFT(TH!M1268,2)="15"),'152-CT'!$J$8=TH!F1268),"x","")</f>
        <v/>
      </c>
      <c r="Y1268" s="39" t="str">
        <f>IF(AND(OR(LEFT(TH!L1268,2)="15",LEFT(TH!M1268,2)="15"),TK!$E$7=TH!F1268),"x","")</f>
        <v/>
      </c>
      <c r="Z1268" s="39" t="str">
        <f>IF(AND(B1268&lt;=NKC!$N$8,B1268&gt;=NKC!$M$8),"x","")</f>
        <v>x</v>
      </c>
      <c r="AA1268" s="883"/>
    </row>
    <row r="1269" spans="1:27" s="211" customFormat="1" ht="15.75" customHeight="1">
      <c r="A1269" s="204" t="str">
        <f>IF(B1269&lt;&gt;"",IF(AND(B1269&gt;=_TM1,B1269&lt;=_TM2,OR(TH!L1269="1111",TH!M1269="1111")),TH!D1269,""),"")</f>
        <v/>
      </c>
      <c r="B1269" s="36">
        <f t="shared" si="442"/>
        <v>8</v>
      </c>
      <c r="C1269" s="191">
        <f t="shared" si="440"/>
        <v>41499</v>
      </c>
      <c r="D1269" s="191" t="s">
        <v>1292</v>
      </c>
      <c r="E1269" s="191">
        <v>41499</v>
      </c>
      <c r="F1269" s="189" t="s">
        <v>1242</v>
      </c>
      <c r="G1269" s="487" t="s">
        <v>910</v>
      </c>
      <c r="H1269" s="7" t="s">
        <v>1284</v>
      </c>
      <c r="I1269" s="256">
        <v>103</v>
      </c>
      <c r="J1269" s="256">
        <v>23725</v>
      </c>
      <c r="K1269" s="602">
        <f t="shared" si="441"/>
        <v>2443675</v>
      </c>
      <c r="L1269" s="39" t="s">
        <v>165</v>
      </c>
      <c r="M1269" s="603" t="s">
        <v>159</v>
      </c>
      <c r="N1269" s="39" t="str">
        <f>IF(AND('331-CT'!$E$7=TH!H1269,OR(L1269="331",M1269="331")),"331",IF(AND(OR(L1269="131",M1269="131"),H1269='131-CT'!$E$7),"131",""))</f>
        <v/>
      </c>
      <c r="O1269" s="39" t="str">
        <f>IF(AND($B1269&gt;='111'!$N$11,$B1269&lt;='111'!$O$11,OR($L1269=$O$7,$M1269=$O$7)),"x","")</f>
        <v/>
      </c>
      <c r="P1269" s="39" t="str">
        <f>IF(AND($L1269=$O$7,$B1269&lt;'111'!$N$11),"x","")</f>
        <v/>
      </c>
      <c r="Q1269" s="39" t="str">
        <f>IF(AND($M1269=$O$7,$B1269&lt;'111'!$N$11),"x","")</f>
        <v/>
      </c>
      <c r="R1269" s="39" t="str">
        <f>IF(ISERROR(FIND('112'!$M$9,G1269,1)),"",IF((AND(FIND('112'!$M$9,G1269,1)&gt;=1,$B1269&gt;='112'!$N$8,$B1269&lt;='112'!$O$8,OR($L1269='112'!$I$6,$M1269='112'!$I$6))),"x",""))</f>
        <v/>
      </c>
      <c r="S1269" s="39" t="str">
        <f>IF(ISERROR(FIND('112'!$M$9,G1269,1)),"",IF((AND(LEFT(G1269,2)=LEFT('112'!$M$9,2),B1269&lt;'112'!$N$8,$L1269='112'!$I$6)),"x",""))</f>
        <v/>
      </c>
      <c r="T1269" s="39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39" t="str">
        <f>IF(OR(TH!L1269=TH!$V$7,M1269=TH!$V$7),"x","")</f>
        <v/>
      </c>
      <c r="W1269" s="39" t="str">
        <f>IF(AND(B1269&gt;='IN-NX'!$P$3,B1269&lt;='IN-NX'!$Q$3,'IN-NX'!$D$7=D1269,OR(LEFT(L1269,2)="15",AND(LEFT(M1269,2)&lt;&gt;"15",LEFT(M1269,2)&lt;&gt;"33"))),"x","")</f>
        <v/>
      </c>
      <c r="X1269" s="39" t="str">
        <f>IF(AND(OR(LEFT(TH!L1269,2)="15",LEFT(TH!M1269,2)="15"),'152-CT'!$J$8=TH!F1269),"x","")</f>
        <v/>
      </c>
      <c r="Y1269" s="39" t="str">
        <f>IF(AND(OR(LEFT(TH!L1269,2)="15",LEFT(TH!M1269,2)="15"),TK!$E$7=TH!F1269),"x","")</f>
        <v/>
      </c>
      <c r="Z1269" s="39" t="str">
        <f>IF(AND(B1269&lt;=NKC!$N$8,B1269&gt;=NKC!$M$8),"x","")</f>
        <v>x</v>
      </c>
      <c r="AA1269" s="883"/>
    </row>
    <row r="1270" spans="1:27" s="211" customFormat="1" ht="15.75" customHeight="1">
      <c r="A1270" s="204" t="str">
        <f>IF(B1270&lt;&gt;"",IF(AND(B1270&gt;=_TM1,B1270&lt;=_TM2,OR(TH!L1270="1111",TH!M1270="1111")),TH!D1270,""),"")</f>
        <v/>
      </c>
      <c r="B1270" s="36">
        <f t="shared" si="442"/>
        <v>8</v>
      </c>
      <c r="C1270" s="191">
        <f t="shared" si="440"/>
        <v>41499</v>
      </c>
      <c r="D1270" s="191" t="s">
        <v>1292</v>
      </c>
      <c r="E1270" s="191">
        <v>41499</v>
      </c>
      <c r="F1270" s="192" t="s">
        <v>1241</v>
      </c>
      <c r="G1270" s="487" t="s">
        <v>911</v>
      </c>
      <c r="H1270" s="7" t="s">
        <v>1284</v>
      </c>
      <c r="I1270" s="256">
        <v>285</v>
      </c>
      <c r="J1270" s="256">
        <v>19910.059393752887</v>
      </c>
      <c r="K1270" s="602">
        <f t="shared" si="441"/>
        <v>5674367</v>
      </c>
      <c r="L1270" s="39" t="s">
        <v>165</v>
      </c>
      <c r="M1270" s="603" t="s">
        <v>159</v>
      </c>
      <c r="N1270" s="39" t="str">
        <f>IF(AND('331-CT'!$E$7=TH!H1270,OR(L1270="331",M1270="331")),"331",IF(AND(OR(L1270="131",M1270="131"),H1270='131-CT'!$E$7),"131",""))</f>
        <v/>
      </c>
      <c r="O1270" s="39" t="str">
        <f>IF(AND($B1270&gt;='111'!$N$11,$B1270&lt;='111'!$O$11,OR($L1270=$O$7,$M1270=$O$7)),"x","")</f>
        <v/>
      </c>
      <c r="P1270" s="39" t="str">
        <f>IF(AND($L1270=$O$7,$B1270&lt;'111'!$N$11),"x","")</f>
        <v/>
      </c>
      <c r="Q1270" s="39" t="str">
        <f>IF(AND($M1270=$O$7,$B1270&lt;'111'!$N$11),"x","")</f>
        <v/>
      </c>
      <c r="R1270" s="39" t="str">
        <f>IF(ISERROR(FIND('112'!$M$9,G1270,1)),"",IF((AND(FIND('112'!$M$9,G1270,1)&gt;=1,$B1270&gt;='112'!$N$8,$B1270&lt;='112'!$O$8,OR($L1270='112'!$I$6,$M1270='112'!$I$6))),"x",""))</f>
        <v/>
      </c>
      <c r="S1270" s="39" t="str">
        <f>IF(ISERROR(FIND('112'!$M$9,G1270,1)),"",IF((AND(LEFT(G1270,2)=LEFT('112'!$M$9,2),B1270&lt;'112'!$N$8,$L1270='112'!$I$6)),"x",""))</f>
        <v/>
      </c>
      <c r="T1270" s="39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39" t="str">
        <f>IF(OR(TH!L1270=TH!$V$7,M1270=TH!$V$7),"x","")</f>
        <v/>
      </c>
      <c r="W1270" s="39" t="str">
        <f>IF(AND(B1270&gt;='IN-NX'!$P$3,B1270&lt;='IN-NX'!$Q$3,'IN-NX'!$D$7=D1270,OR(LEFT(L1270,2)="15",AND(LEFT(M1270,2)&lt;&gt;"15",LEFT(M1270,2)&lt;&gt;"33"))),"x","")</f>
        <v/>
      </c>
      <c r="X1270" s="39" t="str">
        <f>IF(AND(OR(LEFT(TH!L1270,2)="15",LEFT(TH!M1270,2)="15"),'152-CT'!$J$8=TH!F1270),"x","")</f>
        <v/>
      </c>
      <c r="Y1270" s="39" t="str">
        <f>IF(AND(OR(LEFT(TH!L1270,2)="15",LEFT(TH!M1270,2)="15"),TK!$E$7=TH!F1270),"x","")</f>
        <v/>
      </c>
      <c r="Z1270" s="39" t="str">
        <f>IF(AND(B1270&lt;=NKC!$N$8,B1270&gt;=NKC!$M$8),"x","")</f>
        <v>x</v>
      </c>
      <c r="AA1270" s="883"/>
    </row>
    <row r="1271" spans="1:27" s="211" customFormat="1" ht="15.75" customHeight="1">
      <c r="A1271" s="204" t="str">
        <f>IF(B1271&lt;&gt;"",IF(AND(B1271&gt;=_TM1,B1271&lt;=_TM2,OR(TH!L1271="1111",TH!M1271="1111")),TH!D1271,""),"")</f>
        <v/>
      </c>
      <c r="B1271" s="36">
        <f t="shared" si="442"/>
        <v>8</v>
      </c>
      <c r="C1271" s="191">
        <f t="shared" si="440"/>
        <v>41502</v>
      </c>
      <c r="D1271" s="191" t="s">
        <v>1292</v>
      </c>
      <c r="E1271" s="191">
        <v>41502</v>
      </c>
      <c r="F1271" s="192" t="s">
        <v>1241</v>
      </c>
      <c r="G1271" s="487" t="s">
        <v>912</v>
      </c>
      <c r="H1271" s="7" t="s">
        <v>1284</v>
      </c>
      <c r="I1271" s="256">
        <v>505</v>
      </c>
      <c r="J1271" s="256">
        <v>19910.059393752887</v>
      </c>
      <c r="K1271" s="602">
        <f t="shared" si="441"/>
        <v>10054580</v>
      </c>
      <c r="L1271" s="39" t="s">
        <v>165</v>
      </c>
      <c r="M1271" s="603" t="s">
        <v>159</v>
      </c>
      <c r="N1271" s="39" t="str">
        <f>IF(AND('331-CT'!$E$7=TH!H1271,OR(L1271="331",M1271="331")),"331",IF(AND(OR(L1271="131",M1271="131"),H1271='131-CT'!$E$7),"131",""))</f>
        <v/>
      </c>
      <c r="O1271" s="39" t="str">
        <f>IF(AND($B1271&gt;='111'!$N$11,$B1271&lt;='111'!$O$11,OR($L1271=$O$7,$M1271=$O$7)),"x","")</f>
        <v/>
      </c>
      <c r="P1271" s="39" t="str">
        <f>IF(AND($L1271=$O$7,$B1271&lt;'111'!$N$11),"x","")</f>
        <v/>
      </c>
      <c r="Q1271" s="39" t="str">
        <f>IF(AND($M1271=$O$7,$B1271&lt;'111'!$N$11),"x","")</f>
        <v/>
      </c>
      <c r="R1271" s="39" t="str">
        <f>IF(ISERROR(FIND('112'!$M$9,G1271,1)),"",IF((AND(FIND('112'!$M$9,G1271,1)&gt;=1,$B1271&gt;='112'!$N$8,$B1271&lt;='112'!$O$8,OR($L1271='112'!$I$6,$M1271='112'!$I$6))),"x",""))</f>
        <v/>
      </c>
      <c r="S1271" s="39" t="str">
        <f>IF(ISERROR(FIND('112'!$M$9,G1271,1)),"",IF((AND(LEFT(G1271,2)=LEFT('112'!$M$9,2),B1271&lt;'112'!$N$8,$L1271='112'!$I$6)),"x",""))</f>
        <v/>
      </c>
      <c r="T1271" s="39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39" t="str">
        <f>IF(OR(TH!L1271=TH!$V$7,M1271=TH!$V$7),"x","")</f>
        <v/>
      </c>
      <c r="W1271" s="39" t="str">
        <f>IF(AND(B1271&gt;='IN-NX'!$P$3,B1271&lt;='IN-NX'!$Q$3,'IN-NX'!$D$7=D1271,OR(LEFT(L1271,2)="15",AND(LEFT(M1271,2)&lt;&gt;"15",LEFT(M1271,2)&lt;&gt;"33"))),"x","")</f>
        <v/>
      </c>
      <c r="X1271" s="39" t="str">
        <f>IF(AND(OR(LEFT(TH!L1271,2)="15",LEFT(TH!M1271,2)="15"),'152-CT'!$J$8=TH!F1271),"x","")</f>
        <v/>
      </c>
      <c r="Y1271" s="39" t="str">
        <f>IF(AND(OR(LEFT(TH!L1271,2)="15",LEFT(TH!M1271,2)="15"),TK!$E$7=TH!F1271),"x","")</f>
        <v/>
      </c>
      <c r="Z1271" s="39" t="str">
        <f>IF(AND(B1271&lt;=NKC!$N$8,B1271&gt;=NKC!$M$8),"x","")</f>
        <v>x</v>
      </c>
      <c r="AA1271" s="883"/>
    </row>
    <row r="1272" spans="1:27" s="211" customFormat="1" ht="15.75" customHeight="1">
      <c r="A1272" s="204" t="str">
        <f>IF(B1272&lt;&gt;"",IF(AND(B1272&gt;=_TM1,B1272&lt;=_TM2,OR(TH!L1272="1111",TH!M1272="1111")),TH!D1272,""),"")</f>
        <v/>
      </c>
      <c r="B1272" s="36">
        <f t="shared" si="442"/>
        <v>8</v>
      </c>
      <c r="C1272" s="191">
        <f t="shared" si="440"/>
        <v>41503</v>
      </c>
      <c r="D1272" s="191" t="s">
        <v>1292</v>
      </c>
      <c r="E1272" s="191">
        <v>41503</v>
      </c>
      <c r="F1272" s="192" t="s">
        <v>592</v>
      </c>
      <c r="G1272" s="487" t="s">
        <v>913</v>
      </c>
      <c r="H1272" s="7" t="s">
        <v>1284</v>
      </c>
      <c r="I1272" s="256">
        <v>1015</v>
      </c>
      <c r="J1272" s="256">
        <v>8744.995073891625</v>
      </c>
      <c r="K1272" s="602">
        <f t="shared" si="441"/>
        <v>8876170</v>
      </c>
      <c r="L1272" s="39" t="s">
        <v>165</v>
      </c>
      <c r="M1272" s="603" t="s">
        <v>159</v>
      </c>
      <c r="N1272" s="39" t="str">
        <f>IF(AND('331-CT'!$E$7=TH!H1272,OR(L1272="331",M1272="331")),"331",IF(AND(OR(L1272="131",M1272="131"),H1272='131-CT'!$E$7),"131",""))</f>
        <v/>
      </c>
      <c r="O1272" s="39" t="str">
        <f>IF(AND($B1272&gt;='111'!$N$11,$B1272&lt;='111'!$O$11,OR($L1272=$O$7,$M1272=$O$7)),"x","")</f>
        <v/>
      </c>
      <c r="P1272" s="39" t="str">
        <f>IF(AND($L1272=$O$7,$B1272&lt;'111'!$N$11),"x","")</f>
        <v/>
      </c>
      <c r="Q1272" s="39" t="str">
        <f>IF(AND($M1272=$O$7,$B1272&lt;'111'!$N$11),"x","")</f>
        <v/>
      </c>
      <c r="R1272" s="39" t="str">
        <f>IF(ISERROR(FIND('112'!$M$9,G1272,1)),"",IF((AND(FIND('112'!$M$9,G1272,1)&gt;=1,$B1272&gt;='112'!$N$8,$B1272&lt;='112'!$O$8,OR($L1272='112'!$I$6,$M1272='112'!$I$6))),"x",""))</f>
        <v/>
      </c>
      <c r="S1272" s="39" t="str">
        <f>IF(ISERROR(FIND('112'!$M$9,G1272,1)),"",IF((AND(LEFT(G1272,2)=LEFT('112'!$M$9,2),B1272&lt;'112'!$N$8,$L1272='112'!$I$6)),"x",""))</f>
        <v/>
      </c>
      <c r="T1272" s="39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39" t="str">
        <f>IF(OR(TH!L1272=TH!$V$7,M1272=TH!$V$7),"x","")</f>
        <v/>
      </c>
      <c r="W1272" s="39" t="str">
        <f>IF(AND(B1272&gt;='IN-NX'!$P$3,B1272&lt;='IN-NX'!$Q$3,'IN-NX'!$D$7=D1272,OR(LEFT(L1272,2)="15",AND(LEFT(M1272,2)&lt;&gt;"15",LEFT(M1272,2)&lt;&gt;"33"))),"x","")</f>
        <v/>
      </c>
      <c r="X1272" s="39" t="str">
        <f>IF(AND(OR(LEFT(TH!L1272,2)="15",LEFT(TH!M1272,2)="15"),'152-CT'!$J$8=TH!F1272),"x","")</f>
        <v/>
      </c>
      <c r="Y1272" s="39" t="str">
        <f>IF(AND(OR(LEFT(TH!L1272,2)="15",LEFT(TH!M1272,2)="15"),TK!$E$7=TH!F1272),"x","")</f>
        <v/>
      </c>
      <c r="Z1272" s="39" t="str">
        <f>IF(AND(B1272&lt;=NKC!$N$8,B1272&gt;=NKC!$M$8),"x","")</f>
        <v>x</v>
      </c>
      <c r="AA1272" s="883"/>
    </row>
    <row r="1273" spans="1:27" s="211" customFormat="1" ht="15.75" customHeight="1">
      <c r="A1273" s="204" t="str">
        <f>IF(B1273&lt;&gt;"",IF(AND(B1273&gt;=_TM1,B1273&lt;=_TM2,OR(TH!L1273="1111",TH!M1273="1111")),TH!D1273,""),"")</f>
        <v/>
      </c>
      <c r="B1273" s="36">
        <f t="shared" si="442"/>
        <v>8</v>
      </c>
      <c r="C1273" s="191">
        <f t="shared" si="440"/>
        <v>41503</v>
      </c>
      <c r="D1273" s="191" t="s">
        <v>1292</v>
      </c>
      <c r="E1273" s="773">
        <v>41503</v>
      </c>
      <c r="F1273" s="189" t="s">
        <v>1223</v>
      </c>
      <c r="G1273" s="40" t="s">
        <v>915</v>
      </c>
      <c r="H1273" s="7" t="s">
        <v>1284</v>
      </c>
      <c r="I1273" s="256">
        <v>705</v>
      </c>
      <c r="J1273" s="256">
        <v>10775</v>
      </c>
      <c r="K1273" s="602">
        <f t="shared" si="441"/>
        <v>7596375</v>
      </c>
      <c r="L1273" s="39" t="s">
        <v>165</v>
      </c>
      <c r="M1273" s="603" t="s">
        <v>159</v>
      </c>
      <c r="N1273" s="39" t="str">
        <f>IF(AND('331-CT'!$E$7=TH!H1273,OR(L1273="331",M1273="331")),"331",IF(AND(OR(L1273="131",M1273="131"),H1273='131-CT'!$E$7),"131",""))</f>
        <v/>
      </c>
      <c r="O1273" s="39" t="str">
        <f>IF(AND($B1273&gt;='111'!$N$11,$B1273&lt;='111'!$O$11,OR($L1273=$O$7,$M1273=$O$7)),"x","")</f>
        <v/>
      </c>
      <c r="P1273" s="39" t="str">
        <f>IF(AND($L1273=$O$7,$B1273&lt;'111'!$N$11),"x","")</f>
        <v/>
      </c>
      <c r="Q1273" s="39" t="str">
        <f>IF(AND($M1273=$O$7,$B1273&lt;'111'!$N$11),"x","")</f>
        <v/>
      </c>
      <c r="R1273" s="39" t="str">
        <f>IF(ISERROR(FIND('112'!$M$9,G1273,1)),"",IF((AND(FIND('112'!$M$9,G1273,1)&gt;=1,$B1273&gt;='112'!$N$8,$B1273&lt;='112'!$O$8,OR($L1273='112'!$I$6,$M1273='112'!$I$6))),"x",""))</f>
        <v/>
      </c>
      <c r="S1273" s="39" t="str">
        <f>IF(ISERROR(FIND('112'!$M$9,G1273,1)),"",IF((AND(LEFT(G1273,2)=LEFT('112'!$M$9,2),B1273&lt;'112'!$N$8,$L1273='112'!$I$6)),"x",""))</f>
        <v/>
      </c>
      <c r="T1273" s="39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39" t="str">
        <f>IF(OR(TH!L1273=TH!$V$7,M1273=TH!$V$7),"x","")</f>
        <v/>
      </c>
      <c r="W1273" s="39" t="str">
        <f>IF(AND(B1273&gt;='IN-NX'!$P$3,B1273&lt;='IN-NX'!$Q$3,'IN-NX'!$D$7=D1273,OR(LEFT(L1273,2)="15",AND(LEFT(M1273,2)&lt;&gt;"15",LEFT(M1273,2)&lt;&gt;"33"))),"x","")</f>
        <v/>
      </c>
      <c r="X1273" s="39" t="str">
        <f>IF(AND(OR(LEFT(TH!L1273,2)="15",LEFT(TH!M1273,2)="15"),'152-CT'!$J$8=TH!F1273),"x","")</f>
        <v/>
      </c>
      <c r="Y1273" s="39" t="str">
        <f>IF(AND(OR(LEFT(TH!L1273,2)="15",LEFT(TH!M1273,2)="15"),TK!$E$7=TH!F1273),"x","")</f>
        <v/>
      </c>
      <c r="Z1273" s="39" t="str">
        <f>IF(AND(B1273&lt;=NKC!$N$8,B1273&gt;=NKC!$M$8),"x","")</f>
        <v>x</v>
      </c>
      <c r="AA1273" s="883"/>
    </row>
    <row r="1274" spans="1:27" s="211" customFormat="1" ht="15.75" customHeight="1">
      <c r="A1274" s="204" t="str">
        <f>IF(B1274&lt;&gt;"",IF(AND(B1274&gt;=_TM1,B1274&lt;=_TM2,OR(TH!L1274="1111",TH!M1274="1111")),TH!D1274,""),"")</f>
        <v/>
      </c>
      <c r="B1274" s="36">
        <f t="shared" si="442"/>
        <v>8</v>
      </c>
      <c r="C1274" s="191">
        <f t="shared" si="440"/>
        <v>41503</v>
      </c>
      <c r="D1274" s="191" t="s">
        <v>1292</v>
      </c>
      <c r="E1274" s="773">
        <v>41503</v>
      </c>
      <c r="F1274" s="40" t="s">
        <v>1241</v>
      </c>
      <c r="G1274" s="40" t="s">
        <v>916</v>
      </c>
      <c r="H1274" s="7" t="s">
        <v>1284</v>
      </c>
      <c r="I1274" s="256">
        <v>534</v>
      </c>
      <c r="J1274" s="256">
        <v>19910.059351276741</v>
      </c>
      <c r="K1274" s="602">
        <f t="shared" si="441"/>
        <v>10631972</v>
      </c>
      <c r="L1274" s="39" t="s">
        <v>165</v>
      </c>
      <c r="M1274" s="603" t="s">
        <v>159</v>
      </c>
      <c r="N1274" s="39" t="str">
        <f>IF(AND('331-CT'!$E$7=TH!H1274,OR(L1274="331",M1274="331")),"331",IF(AND(OR(L1274="131",M1274="131"),H1274='131-CT'!$E$7),"131",""))</f>
        <v/>
      </c>
      <c r="O1274" s="39" t="str">
        <f>IF(AND($B1274&gt;='111'!$N$11,$B1274&lt;='111'!$O$11,OR($L1274=$O$7,$M1274=$O$7)),"x","")</f>
        <v/>
      </c>
      <c r="P1274" s="39" t="str">
        <f>IF(AND($L1274=$O$7,$B1274&lt;'111'!$N$11),"x","")</f>
        <v/>
      </c>
      <c r="Q1274" s="39" t="str">
        <f>IF(AND($M1274=$O$7,$B1274&lt;'111'!$N$11),"x","")</f>
        <v/>
      </c>
      <c r="R1274" s="39" t="str">
        <f>IF(ISERROR(FIND('112'!$M$9,G1274,1)),"",IF((AND(FIND('112'!$M$9,G1274,1)&gt;=1,$B1274&gt;='112'!$N$8,$B1274&lt;='112'!$O$8,OR($L1274='112'!$I$6,$M1274='112'!$I$6))),"x",""))</f>
        <v/>
      </c>
      <c r="S1274" s="39" t="str">
        <f>IF(ISERROR(FIND('112'!$M$9,G1274,1)),"",IF((AND(LEFT(G1274,2)=LEFT('112'!$M$9,2),B1274&lt;'112'!$N$8,$L1274='112'!$I$6)),"x",""))</f>
        <v/>
      </c>
      <c r="T1274" s="39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39" t="str">
        <f>IF(OR(TH!L1274=TH!$V$7,M1274=TH!$V$7),"x","")</f>
        <v/>
      </c>
      <c r="W1274" s="39" t="str">
        <f>IF(AND(B1274&gt;='IN-NX'!$P$3,B1274&lt;='IN-NX'!$Q$3,'IN-NX'!$D$7=D1274,OR(LEFT(L1274,2)="15",AND(LEFT(M1274,2)&lt;&gt;"15",LEFT(M1274,2)&lt;&gt;"33"))),"x","")</f>
        <v/>
      </c>
      <c r="X1274" s="39" t="str">
        <f>IF(AND(OR(LEFT(TH!L1274,2)="15",LEFT(TH!M1274,2)="15"),'152-CT'!$J$8=TH!F1274),"x","")</f>
        <v/>
      </c>
      <c r="Y1274" s="39" t="str">
        <f>IF(AND(OR(LEFT(TH!L1274,2)="15",LEFT(TH!M1274,2)="15"),TK!$E$7=TH!F1274),"x","")</f>
        <v/>
      </c>
      <c r="Z1274" s="39" t="str">
        <f>IF(AND(B1274&lt;=NKC!$N$8,B1274&gt;=NKC!$M$8),"x","")</f>
        <v>x</v>
      </c>
      <c r="AA1274" s="883"/>
    </row>
    <row r="1275" spans="1:27" s="211" customFormat="1" ht="15.75" customHeight="1">
      <c r="A1275" s="204" t="str">
        <f>IF(B1275&lt;&gt;"",IF(AND(B1275&gt;=_TM1,B1275&lt;=_TM2,OR(TH!L1275="1111",TH!M1275="1111")),TH!D1275,""),"")</f>
        <v/>
      </c>
      <c r="B1275" s="36">
        <f t="shared" si="442"/>
        <v>8</v>
      </c>
      <c r="C1275" s="191">
        <f t="shared" si="440"/>
        <v>41504</v>
      </c>
      <c r="D1275" s="191" t="s">
        <v>1292</v>
      </c>
      <c r="E1275" s="773">
        <v>41504</v>
      </c>
      <c r="F1275" s="189" t="s">
        <v>1245</v>
      </c>
      <c r="G1275" s="40" t="s">
        <v>917</v>
      </c>
      <c r="H1275" s="7" t="s">
        <v>1284</v>
      </c>
      <c r="I1275" s="814">
        <v>100</v>
      </c>
      <c r="J1275" s="256">
        <v>22601</v>
      </c>
      <c r="K1275" s="602">
        <f t="shared" si="441"/>
        <v>2260100</v>
      </c>
      <c r="L1275" s="39" t="s">
        <v>165</v>
      </c>
      <c r="M1275" s="603" t="s">
        <v>159</v>
      </c>
      <c r="N1275" s="39" t="str">
        <f>IF(AND('331-CT'!$E$7=TH!H1275,OR(L1275="331",M1275="331")),"331",IF(AND(OR(L1275="131",M1275="131"),H1275='131-CT'!$E$7),"131",""))</f>
        <v/>
      </c>
      <c r="O1275" s="39" t="str">
        <f>IF(AND($B1275&gt;='111'!$N$11,$B1275&lt;='111'!$O$11,OR($L1275=$O$7,$M1275=$O$7)),"x","")</f>
        <v/>
      </c>
      <c r="P1275" s="39" t="str">
        <f>IF(AND($L1275=$O$7,$B1275&lt;'111'!$N$11),"x","")</f>
        <v/>
      </c>
      <c r="Q1275" s="39" t="str">
        <f>IF(AND($M1275=$O$7,$B1275&lt;'111'!$N$11),"x","")</f>
        <v/>
      </c>
      <c r="R1275" s="39" t="str">
        <f>IF(ISERROR(FIND('112'!$M$9,G1275,1)),"",IF((AND(FIND('112'!$M$9,G1275,1)&gt;=1,$B1275&gt;='112'!$N$8,$B1275&lt;='112'!$O$8,OR($L1275='112'!$I$6,$M1275='112'!$I$6))),"x",""))</f>
        <v/>
      </c>
      <c r="S1275" s="39" t="str">
        <f>IF(ISERROR(FIND('112'!$M$9,G1275,1)),"",IF((AND(LEFT(G1275,2)=LEFT('112'!$M$9,2),B1275&lt;'112'!$N$8,$L1275='112'!$I$6)),"x",""))</f>
        <v/>
      </c>
      <c r="T1275" s="39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39" t="str">
        <f>IF(OR(TH!L1275=TH!$V$7,M1275=TH!$V$7),"x","")</f>
        <v/>
      </c>
      <c r="W1275" s="39" t="str">
        <f>IF(AND(B1275&gt;='IN-NX'!$P$3,B1275&lt;='IN-NX'!$Q$3,'IN-NX'!$D$7=D1275,OR(LEFT(L1275,2)="15",AND(LEFT(M1275,2)&lt;&gt;"15",LEFT(M1275,2)&lt;&gt;"33"))),"x","")</f>
        <v/>
      </c>
      <c r="X1275" s="39" t="str">
        <f>IF(AND(OR(LEFT(TH!L1275,2)="15",LEFT(TH!M1275,2)="15"),'152-CT'!$J$8=TH!F1275),"x","")</f>
        <v/>
      </c>
      <c r="Y1275" s="39" t="str">
        <f>IF(AND(OR(LEFT(TH!L1275,2)="15",LEFT(TH!M1275,2)="15"),TK!$E$7=TH!F1275),"x","")</f>
        <v/>
      </c>
      <c r="Z1275" s="39" t="str">
        <f>IF(AND(B1275&lt;=NKC!$N$8,B1275&gt;=NKC!$M$8),"x","")</f>
        <v>x</v>
      </c>
      <c r="AA1275" s="883"/>
    </row>
    <row r="1276" spans="1:27" s="211" customFormat="1" ht="15.75" customHeight="1">
      <c r="A1276" s="204" t="str">
        <f>IF(B1276&lt;&gt;"",IF(AND(B1276&gt;=_TM1,B1276&lt;=_TM2,OR(TH!L1276="1111",TH!M1276="1111")),TH!D1276,""),"")</f>
        <v/>
      </c>
      <c r="B1276" s="36">
        <f t="shared" si="442"/>
        <v>8</v>
      </c>
      <c r="C1276" s="191">
        <f t="shared" si="440"/>
        <v>41508</v>
      </c>
      <c r="D1276" s="191" t="s">
        <v>1292</v>
      </c>
      <c r="E1276" s="773">
        <v>41508</v>
      </c>
      <c r="F1276" s="40" t="s">
        <v>650</v>
      </c>
      <c r="G1276" s="40" t="s">
        <v>919</v>
      </c>
      <c r="H1276" s="7" t="s">
        <v>1284</v>
      </c>
      <c r="I1276" s="256">
        <v>52</v>
      </c>
      <c r="J1276" s="256">
        <v>8462.4198895027621</v>
      </c>
      <c r="K1276" s="602">
        <f t="shared" si="441"/>
        <v>440046</v>
      </c>
      <c r="L1276" s="39" t="s">
        <v>165</v>
      </c>
      <c r="M1276" s="603" t="s">
        <v>159</v>
      </c>
      <c r="N1276" s="39" t="str">
        <f>IF(AND('331-CT'!$E$7=TH!H1276,OR(L1276="331",M1276="331")),"331",IF(AND(OR(L1276="131",M1276="131"),H1276='131-CT'!$E$7),"131",""))</f>
        <v/>
      </c>
      <c r="O1276" s="39" t="str">
        <f>IF(AND($B1276&gt;='111'!$N$11,$B1276&lt;='111'!$O$11,OR($L1276=$O$7,$M1276=$O$7)),"x","")</f>
        <v/>
      </c>
      <c r="P1276" s="39" t="str">
        <f>IF(AND($L1276=$O$7,$B1276&lt;'111'!$N$11),"x","")</f>
        <v/>
      </c>
      <c r="Q1276" s="39" t="str">
        <f>IF(AND($M1276=$O$7,$B1276&lt;'111'!$N$11),"x","")</f>
        <v/>
      </c>
      <c r="R1276" s="39" t="str">
        <f>IF(ISERROR(FIND('112'!$M$9,G1276,1)),"",IF((AND(FIND('112'!$M$9,G1276,1)&gt;=1,$B1276&gt;='112'!$N$8,$B1276&lt;='112'!$O$8,OR($L1276='112'!$I$6,$M1276='112'!$I$6))),"x",""))</f>
        <v/>
      </c>
      <c r="S1276" s="39" t="str">
        <f>IF(ISERROR(FIND('112'!$M$9,G1276,1)),"",IF((AND(LEFT(G1276,2)=LEFT('112'!$M$9,2),B1276&lt;'112'!$N$8,$L1276='112'!$I$6)),"x",""))</f>
        <v/>
      </c>
      <c r="T1276" s="39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39" t="str">
        <f>IF(OR(TH!L1276=TH!$V$7,M1276=TH!$V$7),"x","")</f>
        <v/>
      </c>
      <c r="W1276" s="39" t="str">
        <f>IF(AND(B1276&gt;='IN-NX'!$P$3,B1276&lt;='IN-NX'!$Q$3,'IN-NX'!$D$7=D1276,OR(LEFT(L1276,2)="15",AND(LEFT(M1276,2)&lt;&gt;"15",LEFT(M1276,2)&lt;&gt;"33"))),"x","")</f>
        <v/>
      </c>
      <c r="X1276" s="39" t="str">
        <f>IF(AND(OR(LEFT(TH!L1276,2)="15",LEFT(TH!M1276,2)="15"),'152-CT'!$J$8=TH!F1276),"x","")</f>
        <v/>
      </c>
      <c r="Y1276" s="39" t="str">
        <f>IF(AND(OR(LEFT(TH!L1276,2)="15",LEFT(TH!M1276,2)="15"),TK!$E$7=TH!F1276),"x","")</f>
        <v/>
      </c>
      <c r="Z1276" s="39" t="str">
        <f>IF(AND(B1276&lt;=NKC!$N$8,B1276&gt;=NKC!$M$8),"x","")</f>
        <v>x</v>
      </c>
      <c r="AA1276" s="883"/>
    </row>
    <row r="1277" spans="1:27" s="211" customFormat="1" ht="15.75" customHeight="1">
      <c r="A1277" s="204" t="str">
        <f>IF(B1277&lt;&gt;"",IF(AND(B1277&gt;=_TM1,B1277&lt;=_TM2,OR(TH!L1277="1111",TH!M1277="1111")),TH!D1277,""),"")</f>
        <v/>
      </c>
      <c r="B1277" s="36">
        <f t="shared" si="442"/>
        <v>8</v>
      </c>
      <c r="C1277" s="191">
        <f t="shared" si="440"/>
        <v>41508</v>
      </c>
      <c r="D1277" s="191" t="s">
        <v>1292</v>
      </c>
      <c r="E1277" s="773">
        <v>41508</v>
      </c>
      <c r="F1277" s="189" t="s">
        <v>1275</v>
      </c>
      <c r="G1277" s="40" t="s">
        <v>919</v>
      </c>
      <c r="H1277" s="7" t="s">
        <v>1284</v>
      </c>
      <c r="I1277" s="814">
        <v>630</v>
      </c>
      <c r="J1277" s="256">
        <v>10708</v>
      </c>
      <c r="K1277" s="602">
        <f t="shared" si="441"/>
        <v>6746040</v>
      </c>
      <c r="L1277" s="39" t="s">
        <v>165</v>
      </c>
      <c r="M1277" s="603" t="s">
        <v>159</v>
      </c>
      <c r="N1277" s="39" t="str">
        <f>IF(AND('331-CT'!$E$7=TH!H1277,OR(L1277="331",M1277="331")),"331",IF(AND(OR(L1277="131",M1277="131"),H1277='131-CT'!$E$7),"131",""))</f>
        <v/>
      </c>
      <c r="O1277" s="39" t="str">
        <f>IF(AND($B1277&gt;='111'!$N$11,$B1277&lt;='111'!$O$11,OR($L1277=$O$7,$M1277=$O$7)),"x","")</f>
        <v/>
      </c>
      <c r="P1277" s="39" t="str">
        <f>IF(AND($L1277=$O$7,$B1277&lt;'111'!$N$11),"x","")</f>
        <v/>
      </c>
      <c r="Q1277" s="39" t="str">
        <f>IF(AND($M1277=$O$7,$B1277&lt;'111'!$N$11),"x","")</f>
        <v/>
      </c>
      <c r="R1277" s="39" t="str">
        <f>IF(ISERROR(FIND('112'!$M$9,G1277,1)),"",IF((AND(FIND('112'!$M$9,G1277,1)&gt;=1,$B1277&gt;='112'!$N$8,$B1277&lt;='112'!$O$8,OR($L1277='112'!$I$6,$M1277='112'!$I$6))),"x",""))</f>
        <v/>
      </c>
      <c r="S1277" s="39" t="str">
        <f>IF(ISERROR(FIND('112'!$M$9,G1277,1)),"",IF((AND(LEFT(G1277,2)=LEFT('112'!$M$9,2),B1277&lt;'112'!$N$8,$L1277='112'!$I$6)),"x",""))</f>
        <v/>
      </c>
      <c r="T1277" s="39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39" t="str">
        <f>IF(OR(TH!L1277=TH!$V$7,M1277=TH!$V$7),"x","")</f>
        <v/>
      </c>
      <c r="W1277" s="39" t="str">
        <f>IF(AND(B1277&gt;='IN-NX'!$P$3,B1277&lt;='IN-NX'!$Q$3,'IN-NX'!$D$7=D1277,OR(LEFT(L1277,2)="15",AND(LEFT(M1277,2)&lt;&gt;"15",LEFT(M1277,2)&lt;&gt;"33"))),"x","")</f>
        <v/>
      </c>
      <c r="X1277" s="39" t="str">
        <f>IF(AND(OR(LEFT(TH!L1277,2)="15",LEFT(TH!M1277,2)="15"),'152-CT'!$J$8=TH!F1277),"x","")</f>
        <v/>
      </c>
      <c r="Y1277" s="39" t="str">
        <f>IF(AND(OR(LEFT(TH!L1277,2)="15",LEFT(TH!M1277,2)="15"),TK!$E$7=TH!F1277),"x","")</f>
        <v/>
      </c>
      <c r="Z1277" s="39" t="str">
        <f>IF(AND(B1277&lt;=NKC!$N$8,B1277&gt;=NKC!$M$8),"x","")</f>
        <v>x</v>
      </c>
      <c r="AA1277" s="883"/>
    </row>
    <row r="1278" spans="1:27" s="211" customFormat="1" ht="15.75" customHeight="1">
      <c r="A1278" s="204" t="str">
        <f>IF(B1278&lt;&gt;"",IF(AND(B1278&gt;=_TM1,B1278&lt;=_TM2,OR(TH!L1278="1111",TH!M1278="1111")),TH!D1278,""),"")</f>
        <v/>
      </c>
      <c r="B1278" s="36">
        <f t="shared" si="442"/>
        <v>8</v>
      </c>
      <c r="C1278" s="191">
        <f t="shared" si="440"/>
        <v>41508</v>
      </c>
      <c r="D1278" s="191" t="s">
        <v>1292</v>
      </c>
      <c r="E1278" s="773">
        <v>41508</v>
      </c>
      <c r="F1278" s="189" t="s">
        <v>1273</v>
      </c>
      <c r="G1278" s="40" t="s">
        <v>919</v>
      </c>
      <c r="H1278" s="7" t="s">
        <v>1284</v>
      </c>
      <c r="I1278" s="814">
        <v>150</v>
      </c>
      <c r="J1278" s="256">
        <v>9523.2000000000007</v>
      </c>
      <c r="K1278" s="602">
        <f t="shared" si="441"/>
        <v>1428480</v>
      </c>
      <c r="L1278" s="39" t="s">
        <v>165</v>
      </c>
      <c r="M1278" s="603" t="s">
        <v>159</v>
      </c>
      <c r="N1278" s="39" t="str">
        <f>IF(AND('331-CT'!$E$7=TH!H1278,OR(L1278="331",M1278="331")),"331",IF(AND(OR(L1278="131",M1278="131"),H1278='131-CT'!$E$7),"131",""))</f>
        <v/>
      </c>
      <c r="O1278" s="39" t="str">
        <f>IF(AND($B1278&gt;='111'!$N$11,$B1278&lt;='111'!$O$11,OR($L1278=$O$7,$M1278=$O$7)),"x","")</f>
        <v/>
      </c>
      <c r="P1278" s="39" t="str">
        <f>IF(AND($L1278=$O$7,$B1278&lt;'111'!$N$11),"x","")</f>
        <v/>
      </c>
      <c r="Q1278" s="39" t="str">
        <f>IF(AND($M1278=$O$7,$B1278&lt;'111'!$N$11),"x","")</f>
        <v/>
      </c>
      <c r="R1278" s="39" t="str">
        <f>IF(ISERROR(FIND('112'!$M$9,G1278,1)),"",IF((AND(FIND('112'!$M$9,G1278,1)&gt;=1,$B1278&gt;='112'!$N$8,$B1278&lt;='112'!$O$8,OR($L1278='112'!$I$6,$M1278='112'!$I$6))),"x",""))</f>
        <v/>
      </c>
      <c r="S1278" s="39" t="str">
        <f>IF(ISERROR(FIND('112'!$M$9,G1278,1)),"",IF((AND(LEFT(G1278,2)=LEFT('112'!$M$9,2),B1278&lt;'112'!$N$8,$L1278='112'!$I$6)),"x",""))</f>
        <v/>
      </c>
      <c r="T1278" s="39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39" t="str">
        <f>IF(OR(TH!L1278=TH!$V$7,M1278=TH!$V$7),"x","")</f>
        <v/>
      </c>
      <c r="W1278" s="39" t="str">
        <f>IF(AND(B1278&gt;='IN-NX'!$P$3,B1278&lt;='IN-NX'!$Q$3,'IN-NX'!$D$7=D1278,OR(LEFT(L1278,2)="15",AND(LEFT(M1278,2)&lt;&gt;"15",LEFT(M1278,2)&lt;&gt;"33"))),"x","")</f>
        <v/>
      </c>
      <c r="X1278" s="39" t="str">
        <f>IF(AND(OR(LEFT(TH!L1278,2)="15",LEFT(TH!M1278,2)="15"),'152-CT'!$J$8=TH!F1278),"x","")</f>
        <v/>
      </c>
      <c r="Y1278" s="39" t="str">
        <f>IF(AND(OR(LEFT(TH!L1278,2)="15",LEFT(TH!M1278,2)="15"),TK!$E$7=TH!F1278),"x","")</f>
        <v/>
      </c>
      <c r="Z1278" s="39" t="str">
        <f>IF(AND(B1278&lt;=NKC!$N$8,B1278&gt;=NKC!$M$8),"x","")</f>
        <v>x</v>
      </c>
      <c r="AA1278" s="883"/>
    </row>
    <row r="1279" spans="1:27" s="211" customFormat="1" ht="15.75" customHeight="1">
      <c r="A1279" s="204" t="str">
        <f>IF(B1279&lt;&gt;"",IF(AND(B1279&gt;=_TM1,B1279&lt;=_TM2,OR(TH!L1279="1111",TH!M1279="1111")),TH!D1279,""),"")</f>
        <v/>
      </c>
      <c r="B1279" s="36">
        <f t="shared" si="442"/>
        <v>8</v>
      </c>
      <c r="C1279" s="191">
        <f t="shared" si="440"/>
        <v>41508</v>
      </c>
      <c r="D1279" s="191" t="s">
        <v>1292</v>
      </c>
      <c r="E1279" s="773">
        <v>41508</v>
      </c>
      <c r="F1279" s="297" t="s">
        <v>1253</v>
      </c>
      <c r="G1279" s="40" t="s">
        <v>919</v>
      </c>
      <c r="H1279" s="7" t="s">
        <v>1284</v>
      </c>
      <c r="I1279" s="256">
        <v>32</v>
      </c>
      <c r="J1279" s="256">
        <v>23102</v>
      </c>
      <c r="K1279" s="602">
        <f t="shared" si="441"/>
        <v>739264</v>
      </c>
      <c r="L1279" s="39" t="s">
        <v>165</v>
      </c>
      <c r="M1279" s="603" t="s">
        <v>159</v>
      </c>
      <c r="N1279" s="39" t="str">
        <f>IF(AND('331-CT'!$E$7=TH!H1279,OR(L1279="331",M1279="331")),"331",IF(AND(OR(L1279="131",M1279="131"),H1279='131-CT'!$E$7),"131",""))</f>
        <v/>
      </c>
      <c r="O1279" s="39" t="str">
        <f>IF(AND($B1279&gt;='111'!$N$11,$B1279&lt;='111'!$O$11,OR($L1279=$O$7,$M1279=$O$7)),"x","")</f>
        <v/>
      </c>
      <c r="P1279" s="39" t="str">
        <f>IF(AND($L1279=$O$7,$B1279&lt;'111'!$N$11),"x","")</f>
        <v/>
      </c>
      <c r="Q1279" s="39" t="str">
        <f>IF(AND($M1279=$O$7,$B1279&lt;'111'!$N$11),"x","")</f>
        <v/>
      </c>
      <c r="R1279" s="39" t="str">
        <f>IF(ISERROR(FIND('112'!$M$9,G1279,1)),"",IF((AND(FIND('112'!$M$9,G1279,1)&gt;=1,$B1279&gt;='112'!$N$8,$B1279&lt;='112'!$O$8,OR($L1279='112'!$I$6,$M1279='112'!$I$6))),"x",""))</f>
        <v/>
      </c>
      <c r="S1279" s="39" t="str">
        <f>IF(ISERROR(FIND('112'!$M$9,G1279,1)),"",IF((AND(LEFT(G1279,2)=LEFT('112'!$M$9,2),B1279&lt;'112'!$N$8,$L1279='112'!$I$6)),"x",""))</f>
        <v/>
      </c>
      <c r="T1279" s="39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39" t="str">
        <f>IF(OR(TH!L1279=TH!$V$7,M1279=TH!$V$7),"x","")</f>
        <v/>
      </c>
      <c r="W1279" s="39" t="str">
        <f>IF(AND(B1279&gt;='IN-NX'!$P$3,B1279&lt;='IN-NX'!$Q$3,'IN-NX'!$D$7=D1279,OR(LEFT(L1279,2)="15",AND(LEFT(M1279,2)&lt;&gt;"15",LEFT(M1279,2)&lt;&gt;"33"))),"x","")</f>
        <v/>
      </c>
      <c r="X1279" s="39" t="str">
        <f>IF(AND(OR(LEFT(TH!L1279,2)="15",LEFT(TH!M1279,2)="15"),'152-CT'!$J$8=TH!F1279),"x","")</f>
        <v/>
      </c>
      <c r="Y1279" s="39" t="str">
        <f>IF(AND(OR(LEFT(TH!L1279,2)="15",LEFT(TH!M1279,2)="15"),TK!$E$7=TH!F1279),"x","")</f>
        <v/>
      </c>
      <c r="Z1279" s="39" t="str">
        <f>IF(AND(B1279&lt;=NKC!$N$8,B1279&gt;=NKC!$M$8),"x","")</f>
        <v>x</v>
      </c>
      <c r="AA1279" s="883"/>
    </row>
    <row r="1280" spans="1:27" s="211" customFormat="1" ht="15.75" customHeight="1">
      <c r="A1280" s="204" t="str">
        <f>IF(B1280&lt;&gt;"",IF(AND(B1280&gt;=_TM1,B1280&lt;=_TM2,OR(TH!L1280="1111",TH!M1280="1111")),TH!D1280,""),"")</f>
        <v/>
      </c>
      <c r="B1280" s="36">
        <f t="shared" si="442"/>
        <v>8</v>
      </c>
      <c r="C1280" s="191">
        <f t="shared" si="440"/>
        <v>41509</v>
      </c>
      <c r="D1280" s="191" t="s">
        <v>1292</v>
      </c>
      <c r="E1280" s="773">
        <v>41509</v>
      </c>
      <c r="F1280" s="40" t="s">
        <v>1266</v>
      </c>
      <c r="G1280" s="40" t="s">
        <v>921</v>
      </c>
      <c r="H1280" s="7" t="s">
        <v>1284</v>
      </c>
      <c r="I1280" s="256">
        <v>240</v>
      </c>
      <c r="J1280" s="256">
        <v>21089</v>
      </c>
      <c r="K1280" s="602">
        <f t="shared" si="441"/>
        <v>5061360</v>
      </c>
      <c r="L1280" s="39" t="s">
        <v>165</v>
      </c>
      <c r="M1280" s="603" t="s">
        <v>159</v>
      </c>
      <c r="N1280" s="39" t="str">
        <f>IF(AND('331-CT'!$E$7=TH!H1280,OR(L1280="331",M1280="331")),"331",IF(AND(OR(L1280="131",M1280="131"),H1280='131-CT'!$E$7),"131",""))</f>
        <v/>
      </c>
      <c r="O1280" s="39" t="str">
        <f>IF(AND($B1280&gt;='111'!$N$11,$B1280&lt;='111'!$O$11,OR($L1280=$O$7,$M1280=$O$7)),"x","")</f>
        <v/>
      </c>
      <c r="P1280" s="39" t="str">
        <f>IF(AND($L1280=$O$7,$B1280&lt;'111'!$N$11),"x","")</f>
        <v/>
      </c>
      <c r="Q1280" s="39" t="str">
        <f>IF(AND($M1280=$O$7,$B1280&lt;'111'!$N$11),"x","")</f>
        <v/>
      </c>
      <c r="R1280" s="39" t="str">
        <f>IF(ISERROR(FIND('112'!$M$9,G1280,1)),"",IF((AND(FIND('112'!$M$9,G1280,1)&gt;=1,$B1280&gt;='112'!$N$8,$B1280&lt;='112'!$O$8,OR($L1280='112'!$I$6,$M1280='112'!$I$6))),"x",""))</f>
        <v/>
      </c>
      <c r="S1280" s="39" t="str">
        <f>IF(ISERROR(FIND('112'!$M$9,G1280,1)),"",IF((AND(LEFT(G1280,2)=LEFT('112'!$M$9,2),B1280&lt;'112'!$N$8,$L1280='112'!$I$6)),"x",""))</f>
        <v/>
      </c>
      <c r="T1280" s="39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39" t="str">
        <f>IF(OR(TH!L1280=TH!$V$7,M1280=TH!$V$7),"x","")</f>
        <v/>
      </c>
      <c r="W1280" s="39" t="str">
        <f>IF(AND(B1280&gt;='IN-NX'!$P$3,B1280&lt;='IN-NX'!$Q$3,'IN-NX'!$D$7=D1280,OR(LEFT(L1280,2)="15",AND(LEFT(M1280,2)&lt;&gt;"15",LEFT(M1280,2)&lt;&gt;"33"))),"x","")</f>
        <v/>
      </c>
      <c r="X1280" s="39" t="str">
        <f>IF(AND(OR(LEFT(TH!L1280,2)="15",LEFT(TH!M1280,2)="15"),'152-CT'!$J$8=TH!F1280),"x","")</f>
        <v/>
      </c>
      <c r="Y1280" s="39" t="str">
        <f>IF(AND(OR(LEFT(TH!L1280,2)="15",LEFT(TH!M1280,2)="15"),TK!$E$7=TH!F1280),"x","")</f>
        <v/>
      </c>
      <c r="Z1280" s="39" t="str">
        <f>IF(AND(B1280&lt;=NKC!$N$8,B1280&gt;=NKC!$M$8),"x","")</f>
        <v>x</v>
      </c>
      <c r="AA1280" s="883"/>
    </row>
    <row r="1281" spans="1:27" s="211" customFormat="1" ht="15.75" customHeight="1">
      <c r="A1281" s="204" t="str">
        <f>IF(B1281&lt;&gt;"",IF(AND(B1281&gt;=_TM1,B1281&lt;=_TM2,OR(TH!L1281="1111",TH!M1281="1111")),TH!D1281,""),"")</f>
        <v/>
      </c>
      <c r="B1281" s="36">
        <f t="shared" si="442"/>
        <v>8</v>
      </c>
      <c r="C1281" s="191">
        <f t="shared" si="440"/>
        <v>41509</v>
      </c>
      <c r="D1281" s="191" t="s">
        <v>1292</v>
      </c>
      <c r="E1281" s="37">
        <v>41509</v>
      </c>
      <c r="F1281" s="40" t="s">
        <v>1230</v>
      </c>
      <c r="G1281" s="40" t="s">
        <v>921</v>
      </c>
      <c r="H1281" s="7" t="s">
        <v>1284</v>
      </c>
      <c r="I1281" s="256">
        <v>391</v>
      </c>
      <c r="J1281" s="256">
        <v>22301</v>
      </c>
      <c r="K1281" s="602">
        <f t="shared" si="441"/>
        <v>8719691</v>
      </c>
      <c r="L1281" s="39" t="s">
        <v>165</v>
      </c>
      <c r="M1281" s="603" t="s">
        <v>159</v>
      </c>
      <c r="N1281" s="39" t="str">
        <f>IF(AND('331-CT'!$E$7=TH!H1281,OR(L1281="331",M1281="331")),"331",IF(AND(OR(L1281="131",M1281="131"),H1281='131-CT'!$E$7),"131",""))</f>
        <v/>
      </c>
      <c r="O1281" s="39" t="str">
        <f>IF(AND($B1281&gt;='111'!$N$11,$B1281&lt;='111'!$O$11,OR($L1281=$O$7,$M1281=$O$7)),"x","")</f>
        <v/>
      </c>
      <c r="P1281" s="39" t="str">
        <f>IF(AND($L1281=$O$7,$B1281&lt;'111'!$N$11),"x","")</f>
        <v/>
      </c>
      <c r="Q1281" s="39" t="str">
        <f>IF(AND($M1281=$O$7,$B1281&lt;'111'!$N$11),"x","")</f>
        <v/>
      </c>
      <c r="R1281" s="39" t="str">
        <f>IF(ISERROR(FIND('112'!$M$9,G1281,1)),"",IF((AND(FIND('112'!$M$9,G1281,1)&gt;=1,$B1281&gt;='112'!$N$8,$B1281&lt;='112'!$O$8,OR($L1281='112'!$I$6,$M1281='112'!$I$6))),"x",""))</f>
        <v/>
      </c>
      <c r="S1281" s="39" t="str">
        <f>IF(ISERROR(FIND('112'!$M$9,G1281,1)),"",IF((AND(LEFT(G1281,2)=LEFT('112'!$M$9,2),B1281&lt;'112'!$N$8,$L1281='112'!$I$6)),"x",""))</f>
        <v/>
      </c>
      <c r="T1281" s="39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39" t="str">
        <f>IF(OR(TH!L1281=TH!$V$7,M1281=TH!$V$7),"x","")</f>
        <v/>
      </c>
      <c r="W1281" s="39" t="str">
        <f>IF(AND(B1281&gt;='IN-NX'!$P$3,B1281&lt;='IN-NX'!$Q$3,'IN-NX'!$D$7=D1281,OR(LEFT(L1281,2)="15",AND(LEFT(M1281,2)&lt;&gt;"15",LEFT(M1281,2)&lt;&gt;"33"))),"x","")</f>
        <v/>
      </c>
      <c r="X1281" s="39" t="str">
        <f>IF(AND(OR(LEFT(TH!L1281,2)="15",LEFT(TH!M1281,2)="15"),'152-CT'!$J$8=TH!F1281),"x","")</f>
        <v/>
      </c>
      <c r="Y1281" s="39" t="str">
        <f>IF(AND(OR(LEFT(TH!L1281,2)="15",LEFT(TH!M1281,2)="15"),TK!$E$7=TH!F1281),"x","")</f>
        <v/>
      </c>
      <c r="Z1281" s="39" t="str">
        <f>IF(AND(B1281&lt;=NKC!$N$8,B1281&gt;=NKC!$M$8),"x","")</f>
        <v>x</v>
      </c>
      <c r="AA1281" s="883"/>
    </row>
    <row r="1282" spans="1:27" s="211" customFormat="1" ht="15.75" customHeight="1">
      <c r="A1282" s="204" t="str">
        <f>IF(B1282&lt;&gt;"",IF(AND(B1282&gt;=_TM1,B1282&lt;=_TM2,OR(TH!L1282="1111",TH!M1282="1111")),TH!D1282,""),"")</f>
        <v/>
      </c>
      <c r="B1282" s="36">
        <f t="shared" si="442"/>
        <v>8</v>
      </c>
      <c r="C1282" s="191">
        <f t="shared" si="440"/>
        <v>41509</v>
      </c>
      <c r="D1282" s="191" t="s">
        <v>1292</v>
      </c>
      <c r="E1282" s="37">
        <v>41509</v>
      </c>
      <c r="F1282" s="192" t="s">
        <v>1270</v>
      </c>
      <c r="G1282" s="40" t="s">
        <v>1114</v>
      </c>
      <c r="H1282" s="7" t="s">
        <v>1284</v>
      </c>
      <c r="I1282" s="256">
        <v>215</v>
      </c>
      <c r="J1282" s="256">
        <v>22361</v>
      </c>
      <c r="K1282" s="602">
        <f t="shared" si="441"/>
        <v>4807615</v>
      </c>
      <c r="L1282" s="39" t="s">
        <v>165</v>
      </c>
      <c r="M1282" s="603" t="s">
        <v>159</v>
      </c>
      <c r="N1282" s="39" t="str">
        <f>IF(AND('331-CT'!$E$7=TH!H1282,OR(L1282="331",M1282="331")),"331",IF(AND(OR(L1282="131",M1282="131"),H1282='131-CT'!$E$7),"131",""))</f>
        <v/>
      </c>
      <c r="O1282" s="39" t="str">
        <f>IF(AND($B1282&gt;='111'!$N$11,$B1282&lt;='111'!$O$11,OR($L1282=$O$7,$M1282=$O$7)),"x","")</f>
        <v/>
      </c>
      <c r="P1282" s="39" t="str">
        <f>IF(AND($L1282=$O$7,$B1282&lt;'111'!$N$11),"x","")</f>
        <v/>
      </c>
      <c r="Q1282" s="39" t="str">
        <f>IF(AND($M1282=$O$7,$B1282&lt;'111'!$N$11),"x","")</f>
        <v/>
      </c>
      <c r="R1282" s="39" t="str">
        <f>IF(ISERROR(FIND('112'!$M$9,G1282,1)),"",IF((AND(FIND('112'!$M$9,G1282,1)&gt;=1,$B1282&gt;='112'!$N$8,$B1282&lt;='112'!$O$8,OR($L1282='112'!$I$6,$M1282='112'!$I$6))),"x",""))</f>
        <v/>
      </c>
      <c r="S1282" s="39" t="str">
        <f>IF(ISERROR(FIND('112'!$M$9,G1282,1)),"",IF((AND(LEFT(G1282,2)=LEFT('112'!$M$9,2),B1282&lt;'112'!$N$8,$L1282='112'!$I$6)),"x",""))</f>
        <v/>
      </c>
      <c r="T1282" s="39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39" t="str">
        <f>IF(OR(TH!L1282=TH!$V$7,M1282=TH!$V$7),"x","")</f>
        <v/>
      </c>
      <c r="W1282" s="39" t="str">
        <f>IF(AND(B1282&gt;='IN-NX'!$P$3,B1282&lt;='IN-NX'!$Q$3,'IN-NX'!$D$7=D1282,OR(LEFT(L1282,2)="15",AND(LEFT(M1282,2)&lt;&gt;"15",LEFT(M1282,2)&lt;&gt;"33"))),"x","")</f>
        <v/>
      </c>
      <c r="X1282" s="39" t="str">
        <f>IF(AND(OR(LEFT(TH!L1282,2)="15",LEFT(TH!M1282,2)="15"),'152-CT'!$J$8=TH!F1282),"x","")</f>
        <v/>
      </c>
      <c r="Y1282" s="39" t="str">
        <f>IF(AND(OR(LEFT(TH!L1282,2)="15",LEFT(TH!M1282,2)="15"),TK!$E$7=TH!F1282),"x","")</f>
        <v/>
      </c>
      <c r="Z1282" s="39" t="str">
        <f>IF(AND(B1282&lt;=NKC!$N$8,B1282&gt;=NKC!$M$8),"x","")</f>
        <v>x</v>
      </c>
      <c r="AA1282" s="883"/>
    </row>
    <row r="1283" spans="1:27" s="211" customFormat="1" ht="15.75" customHeight="1">
      <c r="A1283" s="204" t="str">
        <f>IF(B1283&lt;&gt;"",IF(AND(B1283&gt;=_TM1,B1283&lt;=_TM2,OR(TH!L1283="1111",TH!M1283="1111")),TH!D1283,""),"")</f>
        <v/>
      </c>
      <c r="B1283" s="36">
        <f t="shared" si="442"/>
        <v>8</v>
      </c>
      <c r="C1283" s="191">
        <f t="shared" si="440"/>
        <v>41509</v>
      </c>
      <c r="D1283" s="191" t="s">
        <v>1292</v>
      </c>
      <c r="E1283" s="37">
        <v>41509</v>
      </c>
      <c r="F1283" s="40" t="s">
        <v>614</v>
      </c>
      <c r="G1283" s="40" t="s">
        <v>1114</v>
      </c>
      <c r="H1283" s="7" t="s">
        <v>1284</v>
      </c>
      <c r="I1283" s="256">
        <v>106</v>
      </c>
      <c r="J1283" s="256">
        <v>10886</v>
      </c>
      <c r="K1283" s="602">
        <f t="shared" si="441"/>
        <v>1153916</v>
      </c>
      <c r="L1283" s="39" t="s">
        <v>165</v>
      </c>
      <c r="M1283" s="603" t="s">
        <v>159</v>
      </c>
      <c r="N1283" s="39" t="str">
        <f>IF(AND('331-CT'!$E$7=TH!H1283,OR(L1283="331",M1283="331")),"331",IF(AND(OR(L1283="131",M1283="131"),H1283='131-CT'!$E$7),"131",""))</f>
        <v/>
      </c>
      <c r="O1283" s="39" t="str">
        <f>IF(AND($B1283&gt;='111'!$N$11,$B1283&lt;='111'!$O$11,OR($L1283=$O$7,$M1283=$O$7)),"x","")</f>
        <v/>
      </c>
      <c r="P1283" s="39" t="str">
        <f>IF(AND($L1283=$O$7,$B1283&lt;'111'!$N$11),"x","")</f>
        <v/>
      </c>
      <c r="Q1283" s="39" t="str">
        <f>IF(AND($M1283=$O$7,$B1283&lt;'111'!$N$11),"x","")</f>
        <v/>
      </c>
      <c r="R1283" s="39" t="str">
        <f>IF(ISERROR(FIND('112'!$M$9,G1283,1)),"",IF((AND(FIND('112'!$M$9,G1283,1)&gt;=1,$B1283&gt;='112'!$N$8,$B1283&lt;='112'!$O$8,OR($L1283='112'!$I$6,$M1283='112'!$I$6))),"x",""))</f>
        <v/>
      </c>
      <c r="S1283" s="39" t="str">
        <f>IF(ISERROR(FIND('112'!$M$9,G1283,1)),"",IF((AND(LEFT(G1283,2)=LEFT('112'!$M$9,2),B1283&lt;'112'!$N$8,$L1283='112'!$I$6)),"x",""))</f>
        <v/>
      </c>
      <c r="T1283" s="39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39" t="str">
        <f>IF(OR(TH!L1283=TH!$V$7,M1283=TH!$V$7),"x","")</f>
        <v/>
      </c>
      <c r="W1283" s="39" t="str">
        <f>IF(AND(B1283&gt;='IN-NX'!$P$3,B1283&lt;='IN-NX'!$Q$3,'IN-NX'!$D$7=D1283,OR(LEFT(L1283,2)="15",AND(LEFT(M1283,2)&lt;&gt;"15",LEFT(M1283,2)&lt;&gt;"33"))),"x","")</f>
        <v/>
      </c>
      <c r="X1283" s="39" t="str">
        <f>IF(AND(OR(LEFT(TH!L1283,2)="15",LEFT(TH!M1283,2)="15"),'152-CT'!$J$8=TH!F1283),"x","")</f>
        <v/>
      </c>
      <c r="Y1283" s="39" t="str">
        <f>IF(AND(OR(LEFT(TH!L1283,2)="15",LEFT(TH!M1283,2)="15"),TK!$E$7=TH!F1283),"x","")</f>
        <v/>
      </c>
      <c r="Z1283" s="39" t="str">
        <f>IF(AND(B1283&lt;=NKC!$N$8,B1283&gt;=NKC!$M$8),"x","")</f>
        <v>x</v>
      </c>
      <c r="AA1283" s="883"/>
    </row>
    <row r="1284" spans="1:27" s="211" customFormat="1" ht="15.75" customHeight="1">
      <c r="A1284" s="204" t="str">
        <f>IF(B1284&lt;&gt;"",IF(AND(B1284&gt;=_TM1,B1284&lt;=_TM2,OR(TH!L1284="1111",TH!M1284="1111")),TH!D1284,""),"")</f>
        <v/>
      </c>
      <c r="B1284" s="36">
        <f t="shared" si="442"/>
        <v>8</v>
      </c>
      <c r="C1284" s="191">
        <f t="shared" si="440"/>
        <v>41513</v>
      </c>
      <c r="D1284" s="191" t="s">
        <v>1292</v>
      </c>
      <c r="E1284" s="37">
        <v>41513</v>
      </c>
      <c r="F1284" s="40" t="s">
        <v>1280</v>
      </c>
      <c r="G1284" s="40" t="s">
        <v>1115</v>
      </c>
      <c r="H1284" s="7" t="s">
        <v>1284</v>
      </c>
      <c r="I1284" s="256">
        <v>400</v>
      </c>
      <c r="J1284" s="256">
        <v>10863</v>
      </c>
      <c r="K1284" s="602">
        <f t="shared" si="441"/>
        <v>4345200</v>
      </c>
      <c r="L1284" s="39" t="s">
        <v>165</v>
      </c>
      <c r="M1284" s="603" t="s">
        <v>159</v>
      </c>
      <c r="N1284" s="39" t="str">
        <f>IF(AND('331-CT'!$E$7=TH!H1284,OR(L1284="331",M1284="331")),"331",IF(AND(OR(L1284="131",M1284="131"),H1284='131-CT'!$E$7),"131",""))</f>
        <v/>
      </c>
      <c r="O1284" s="39" t="str">
        <f>IF(AND($B1284&gt;='111'!$N$11,$B1284&lt;='111'!$O$11,OR($L1284=$O$7,$M1284=$O$7)),"x","")</f>
        <v/>
      </c>
      <c r="P1284" s="39" t="str">
        <f>IF(AND($L1284=$O$7,$B1284&lt;'111'!$N$11),"x","")</f>
        <v/>
      </c>
      <c r="Q1284" s="39" t="str">
        <f>IF(AND($M1284=$O$7,$B1284&lt;'111'!$N$11),"x","")</f>
        <v/>
      </c>
      <c r="R1284" s="39" t="str">
        <f>IF(ISERROR(FIND('112'!$M$9,G1284,1)),"",IF((AND(FIND('112'!$M$9,G1284,1)&gt;=1,$B1284&gt;='112'!$N$8,$B1284&lt;='112'!$O$8,OR($L1284='112'!$I$6,$M1284='112'!$I$6))),"x",""))</f>
        <v/>
      </c>
      <c r="S1284" s="39" t="str">
        <f>IF(ISERROR(FIND('112'!$M$9,G1284,1)),"",IF((AND(LEFT(G1284,2)=LEFT('112'!$M$9,2),B1284&lt;'112'!$N$8,$L1284='112'!$I$6)),"x",""))</f>
        <v/>
      </c>
      <c r="T1284" s="39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39" t="str">
        <f>IF(OR(TH!L1284=TH!$V$7,M1284=TH!$V$7),"x","")</f>
        <v/>
      </c>
      <c r="W1284" s="39" t="str">
        <f>IF(AND(B1284&gt;='IN-NX'!$P$3,B1284&lt;='IN-NX'!$Q$3,'IN-NX'!$D$7=D1284,OR(LEFT(L1284,2)="15",AND(LEFT(M1284,2)&lt;&gt;"15",LEFT(M1284,2)&lt;&gt;"33"))),"x","")</f>
        <v/>
      </c>
      <c r="X1284" s="39" t="str">
        <f>IF(AND(OR(LEFT(TH!L1284,2)="15",LEFT(TH!M1284,2)="15"),'152-CT'!$J$8=TH!F1284),"x","")</f>
        <v/>
      </c>
      <c r="Y1284" s="39" t="str">
        <f>IF(AND(OR(LEFT(TH!L1284,2)="15",LEFT(TH!M1284,2)="15"),TK!$E$7=TH!F1284),"x","")</f>
        <v/>
      </c>
      <c r="Z1284" s="39" t="str">
        <f>IF(AND(B1284&lt;=NKC!$N$8,B1284&gt;=NKC!$M$8),"x","")</f>
        <v>x</v>
      </c>
      <c r="AA1284" s="883"/>
    </row>
    <row r="1285" spans="1:27" s="211" customFormat="1" ht="15.75" customHeight="1">
      <c r="A1285" s="204" t="str">
        <f>IF(B1285&lt;&gt;"",IF(AND(B1285&gt;=_TM1,B1285&lt;=_TM2,OR(TH!L1285="1111",TH!M1285="1111")),TH!D1285,""),"")</f>
        <v/>
      </c>
      <c r="B1285" s="36">
        <f t="shared" si="442"/>
        <v>8</v>
      </c>
      <c r="C1285" s="191">
        <f t="shared" si="440"/>
        <v>41513</v>
      </c>
      <c r="D1285" s="191" t="s">
        <v>1292</v>
      </c>
      <c r="E1285" s="37">
        <v>41513</v>
      </c>
      <c r="F1285" s="192" t="s">
        <v>1291</v>
      </c>
      <c r="G1285" s="40" t="s">
        <v>1115</v>
      </c>
      <c r="H1285" s="7" t="s">
        <v>1284</v>
      </c>
      <c r="I1285" s="256">
        <v>210</v>
      </c>
      <c r="J1285" s="256">
        <v>13125</v>
      </c>
      <c r="K1285" s="602">
        <f t="shared" si="441"/>
        <v>2756250</v>
      </c>
      <c r="L1285" s="39" t="s">
        <v>165</v>
      </c>
      <c r="M1285" s="603" t="s">
        <v>159</v>
      </c>
      <c r="N1285" s="39" t="str">
        <f>IF(AND('331-CT'!$E$7=TH!H1285,OR(L1285="331",M1285="331")),"331",IF(AND(OR(L1285="131",M1285="131"),H1285='131-CT'!$E$7),"131",""))</f>
        <v/>
      </c>
      <c r="O1285" s="39" t="str">
        <f>IF(AND($B1285&gt;='111'!$N$11,$B1285&lt;='111'!$O$11,OR($L1285=$O$7,$M1285=$O$7)),"x","")</f>
        <v/>
      </c>
      <c r="P1285" s="39" t="str">
        <f>IF(AND($L1285=$O$7,$B1285&lt;'111'!$N$11),"x","")</f>
        <v/>
      </c>
      <c r="Q1285" s="39" t="str">
        <f>IF(AND($M1285=$O$7,$B1285&lt;'111'!$N$11),"x","")</f>
        <v/>
      </c>
      <c r="R1285" s="39" t="str">
        <f>IF(ISERROR(FIND('112'!$M$9,G1285,1)),"",IF((AND(FIND('112'!$M$9,G1285,1)&gt;=1,$B1285&gt;='112'!$N$8,$B1285&lt;='112'!$O$8,OR($L1285='112'!$I$6,$M1285='112'!$I$6))),"x",""))</f>
        <v/>
      </c>
      <c r="S1285" s="39" t="str">
        <f>IF(ISERROR(FIND('112'!$M$9,G1285,1)),"",IF((AND(LEFT(G1285,2)=LEFT('112'!$M$9,2),B1285&lt;'112'!$N$8,$L1285='112'!$I$6)),"x",""))</f>
        <v/>
      </c>
      <c r="T1285" s="39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39" t="str">
        <f>IF(OR(TH!L1285=TH!$V$7,M1285=TH!$V$7),"x","")</f>
        <v/>
      </c>
      <c r="W1285" s="39" t="str">
        <f>IF(AND(B1285&gt;='IN-NX'!$P$3,B1285&lt;='IN-NX'!$Q$3,'IN-NX'!$D$7=D1285,OR(LEFT(L1285,2)="15",AND(LEFT(M1285,2)&lt;&gt;"15",LEFT(M1285,2)&lt;&gt;"33"))),"x","")</f>
        <v/>
      </c>
      <c r="X1285" s="39" t="str">
        <f>IF(AND(OR(LEFT(TH!L1285,2)="15",LEFT(TH!M1285,2)="15"),'152-CT'!$J$8=TH!F1285),"x","")</f>
        <v/>
      </c>
      <c r="Y1285" s="39" t="str">
        <f>IF(AND(OR(LEFT(TH!L1285,2)="15",LEFT(TH!M1285,2)="15"),TK!$E$7=TH!F1285),"x","")</f>
        <v/>
      </c>
      <c r="Z1285" s="39" t="str">
        <f>IF(AND(B1285&lt;=NKC!$N$8,B1285&gt;=NKC!$M$8),"x","")</f>
        <v>x</v>
      </c>
      <c r="AA1285" s="883"/>
    </row>
    <row r="1286" spans="1:27" s="211" customFormat="1" ht="15.75" customHeight="1">
      <c r="A1286" s="204" t="str">
        <f>IF(B1286&lt;&gt;"",IF(AND(B1286&gt;=_TM1,B1286&lt;=_TM2,OR(TH!L1286="1111",TH!M1286="1111")),TH!D1286,""),"")</f>
        <v/>
      </c>
      <c r="B1286" s="36">
        <f t="shared" si="442"/>
        <v>8</v>
      </c>
      <c r="C1286" s="191">
        <f t="shared" si="440"/>
        <v>41513</v>
      </c>
      <c r="D1286" s="191" t="s">
        <v>1292</v>
      </c>
      <c r="E1286" s="37">
        <v>41513</v>
      </c>
      <c r="F1286" s="189" t="s">
        <v>1234</v>
      </c>
      <c r="G1286" s="40" t="s">
        <v>1115</v>
      </c>
      <c r="H1286" s="7" t="s">
        <v>1284</v>
      </c>
      <c r="I1286" s="256">
        <v>52</v>
      </c>
      <c r="J1286" s="256">
        <v>18306</v>
      </c>
      <c r="K1286" s="602">
        <f t="shared" si="441"/>
        <v>951912</v>
      </c>
      <c r="L1286" s="39" t="s">
        <v>165</v>
      </c>
      <c r="M1286" s="603" t="s">
        <v>159</v>
      </c>
      <c r="N1286" s="39" t="str">
        <f>IF(AND('331-CT'!$E$7=TH!H1286,OR(L1286="331",M1286="331")),"331",IF(AND(OR(L1286="131",M1286="131"),H1286='131-CT'!$E$7),"131",""))</f>
        <v/>
      </c>
      <c r="O1286" s="39" t="str">
        <f>IF(AND($B1286&gt;='111'!$N$11,$B1286&lt;='111'!$O$11,OR($L1286=$O$7,$M1286=$O$7)),"x","")</f>
        <v/>
      </c>
      <c r="P1286" s="39" t="str">
        <f>IF(AND($L1286=$O$7,$B1286&lt;'111'!$N$11),"x","")</f>
        <v/>
      </c>
      <c r="Q1286" s="39" t="str">
        <f>IF(AND($M1286=$O$7,$B1286&lt;'111'!$N$11),"x","")</f>
        <v/>
      </c>
      <c r="R1286" s="39" t="str">
        <f>IF(ISERROR(FIND('112'!$M$9,G1286,1)),"",IF((AND(FIND('112'!$M$9,G1286,1)&gt;=1,$B1286&gt;='112'!$N$8,$B1286&lt;='112'!$O$8,OR($L1286='112'!$I$6,$M1286='112'!$I$6))),"x",""))</f>
        <v/>
      </c>
      <c r="S1286" s="39" t="str">
        <f>IF(ISERROR(FIND('112'!$M$9,G1286,1)),"",IF((AND(LEFT(G1286,2)=LEFT('112'!$M$9,2),B1286&lt;'112'!$N$8,$L1286='112'!$I$6)),"x",""))</f>
        <v/>
      </c>
      <c r="T1286" s="39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39" t="str">
        <f>IF(OR(TH!L1286=TH!$V$7,M1286=TH!$V$7),"x","")</f>
        <v/>
      </c>
      <c r="W1286" s="39" t="str">
        <f>IF(AND(B1286&gt;='IN-NX'!$P$3,B1286&lt;='IN-NX'!$Q$3,'IN-NX'!$D$7=D1286,OR(LEFT(L1286,2)="15",AND(LEFT(M1286,2)&lt;&gt;"15",LEFT(M1286,2)&lt;&gt;"33"))),"x","")</f>
        <v/>
      </c>
      <c r="X1286" s="39" t="str">
        <f>IF(AND(OR(LEFT(TH!L1286,2)="15",LEFT(TH!M1286,2)="15"),'152-CT'!$J$8=TH!F1286),"x","")</f>
        <v/>
      </c>
      <c r="Y1286" s="39" t="str">
        <f>IF(AND(OR(LEFT(TH!L1286,2)="15",LEFT(TH!M1286,2)="15"),TK!$E$7=TH!F1286),"x","")</f>
        <v/>
      </c>
      <c r="Z1286" s="39" t="str">
        <f>IF(AND(B1286&lt;=NKC!$N$8,B1286&gt;=NKC!$M$8),"x","")</f>
        <v>x</v>
      </c>
      <c r="AA1286" s="883"/>
    </row>
    <row r="1287" spans="1:27" s="211" customFormat="1" ht="15.75" customHeight="1">
      <c r="A1287" s="204" t="str">
        <f>IF(B1287&lt;&gt;"",IF(AND(B1287&gt;=_TM1,B1287&lt;=_TM2,OR(TH!L1287="1111",TH!M1287="1111")),TH!D1287,""),"")</f>
        <v/>
      </c>
      <c r="B1287" s="36">
        <f t="shared" si="442"/>
        <v>8</v>
      </c>
      <c r="C1287" s="191">
        <f t="shared" si="440"/>
        <v>41509</v>
      </c>
      <c r="D1287" s="191" t="s">
        <v>1292</v>
      </c>
      <c r="E1287" s="37">
        <v>41509</v>
      </c>
      <c r="F1287" s="40" t="s">
        <v>1230</v>
      </c>
      <c r="G1287" s="40" t="s">
        <v>1116</v>
      </c>
      <c r="H1287" s="7" t="s">
        <v>1284</v>
      </c>
      <c r="I1287" s="256">
        <v>468</v>
      </c>
      <c r="J1287" s="256">
        <v>22301</v>
      </c>
      <c r="K1287" s="602">
        <f t="shared" si="441"/>
        <v>10436868</v>
      </c>
      <c r="L1287" s="39" t="s">
        <v>165</v>
      </c>
      <c r="M1287" s="603" t="s">
        <v>159</v>
      </c>
      <c r="N1287" s="39" t="str">
        <f>IF(AND('331-CT'!$E$7=TH!H1287,OR(L1287="331",M1287="331")),"331",IF(AND(OR(L1287="131",M1287="131"),H1287='131-CT'!$E$7),"131",""))</f>
        <v/>
      </c>
      <c r="O1287" s="39" t="str">
        <f>IF(AND($B1287&gt;='111'!$N$11,$B1287&lt;='111'!$O$11,OR($L1287=$O$7,$M1287=$O$7)),"x","")</f>
        <v/>
      </c>
      <c r="P1287" s="39" t="str">
        <f>IF(AND($L1287=$O$7,$B1287&lt;'111'!$N$11),"x","")</f>
        <v/>
      </c>
      <c r="Q1287" s="39" t="str">
        <f>IF(AND($M1287=$O$7,$B1287&lt;'111'!$N$11),"x","")</f>
        <v/>
      </c>
      <c r="R1287" s="39" t="str">
        <f>IF(ISERROR(FIND('112'!$M$9,G1287,1)),"",IF((AND(FIND('112'!$M$9,G1287,1)&gt;=1,$B1287&gt;='112'!$N$8,$B1287&lt;='112'!$O$8,OR($L1287='112'!$I$6,$M1287='112'!$I$6))),"x",""))</f>
        <v/>
      </c>
      <c r="S1287" s="39" t="str">
        <f>IF(ISERROR(FIND('112'!$M$9,G1287,1)),"",IF((AND(LEFT(G1287,2)=LEFT('112'!$M$9,2),B1287&lt;'112'!$N$8,$L1287='112'!$I$6)),"x",""))</f>
        <v/>
      </c>
      <c r="T1287" s="39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39" t="str">
        <f>IF(OR(TH!L1287=TH!$V$7,M1287=TH!$V$7),"x","")</f>
        <v/>
      </c>
      <c r="W1287" s="39" t="str">
        <f>IF(AND(B1287&gt;='IN-NX'!$P$3,B1287&lt;='IN-NX'!$Q$3,'IN-NX'!$D$7=D1287,OR(LEFT(L1287,2)="15",AND(LEFT(M1287,2)&lt;&gt;"15",LEFT(M1287,2)&lt;&gt;"33"))),"x","")</f>
        <v/>
      </c>
      <c r="X1287" s="39" t="str">
        <f>IF(AND(OR(LEFT(TH!L1287,2)="15",LEFT(TH!M1287,2)="15"),'152-CT'!$J$8=TH!F1287),"x","")</f>
        <v/>
      </c>
      <c r="Y1287" s="39" t="str">
        <f>IF(AND(OR(LEFT(TH!L1287,2)="15",LEFT(TH!M1287,2)="15"),TK!$E$7=TH!F1287),"x","")</f>
        <v/>
      </c>
      <c r="Z1287" s="39" t="str">
        <f>IF(AND(B1287&lt;=NKC!$N$8,B1287&gt;=NKC!$M$8),"x","")</f>
        <v>x</v>
      </c>
      <c r="AA1287" s="883"/>
    </row>
    <row r="1288" spans="1:27" s="211" customFormat="1" ht="15.75" customHeight="1">
      <c r="A1288" s="204" t="str">
        <f>IF(B1288&lt;&gt;"",IF(AND(B1288&gt;=_TM1,B1288&lt;=_TM2,OR(TH!L1288="1111",TH!M1288="1111")),TH!D1288,""),"")</f>
        <v/>
      </c>
      <c r="B1288" s="36">
        <f t="shared" si="442"/>
        <v>8</v>
      </c>
      <c r="C1288" s="191">
        <f t="shared" si="440"/>
        <v>41509</v>
      </c>
      <c r="D1288" s="191" t="s">
        <v>1292</v>
      </c>
      <c r="E1288" s="37">
        <v>41509</v>
      </c>
      <c r="F1288" s="40" t="s">
        <v>591</v>
      </c>
      <c r="G1288" s="40" t="s">
        <v>1116</v>
      </c>
      <c r="H1288" s="7" t="s">
        <v>1284</v>
      </c>
      <c r="I1288" s="256">
        <v>186</v>
      </c>
      <c r="J1288" s="256">
        <v>29568</v>
      </c>
      <c r="K1288" s="602">
        <f t="shared" si="441"/>
        <v>5499648</v>
      </c>
      <c r="L1288" s="39" t="s">
        <v>165</v>
      </c>
      <c r="M1288" s="603" t="s">
        <v>159</v>
      </c>
      <c r="N1288" s="39" t="str">
        <f>IF(AND('331-CT'!$E$7=TH!H1288,OR(L1288="331",M1288="331")),"331",IF(AND(OR(L1288="131",M1288="131"),H1288='131-CT'!$E$7),"131",""))</f>
        <v/>
      </c>
      <c r="O1288" s="39" t="str">
        <f>IF(AND($B1288&gt;='111'!$N$11,$B1288&lt;='111'!$O$11,OR($L1288=$O$7,$M1288=$O$7)),"x","")</f>
        <v/>
      </c>
      <c r="P1288" s="39" t="str">
        <f>IF(AND($L1288=$O$7,$B1288&lt;'111'!$N$11),"x","")</f>
        <v/>
      </c>
      <c r="Q1288" s="39" t="str">
        <f>IF(AND($M1288=$O$7,$B1288&lt;'111'!$N$11),"x","")</f>
        <v/>
      </c>
      <c r="R1288" s="39" t="str">
        <f>IF(ISERROR(FIND('112'!$M$9,G1288,1)),"",IF((AND(FIND('112'!$M$9,G1288,1)&gt;=1,$B1288&gt;='112'!$N$8,$B1288&lt;='112'!$O$8,OR($L1288='112'!$I$6,$M1288='112'!$I$6))),"x",""))</f>
        <v/>
      </c>
      <c r="S1288" s="39" t="str">
        <f>IF(ISERROR(FIND('112'!$M$9,G1288,1)),"",IF((AND(LEFT(G1288,2)=LEFT('112'!$M$9,2),B1288&lt;'112'!$N$8,$L1288='112'!$I$6)),"x",""))</f>
        <v/>
      </c>
      <c r="T1288" s="39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39" t="str">
        <f>IF(OR(TH!L1288=TH!$V$7,M1288=TH!$V$7),"x","")</f>
        <v/>
      </c>
      <c r="W1288" s="39" t="str">
        <f>IF(AND(B1288&gt;='IN-NX'!$P$3,B1288&lt;='IN-NX'!$Q$3,'IN-NX'!$D$7=D1288,OR(LEFT(L1288,2)="15",AND(LEFT(M1288,2)&lt;&gt;"15",LEFT(M1288,2)&lt;&gt;"33"))),"x","")</f>
        <v/>
      </c>
      <c r="X1288" s="39" t="str">
        <f>IF(AND(OR(LEFT(TH!L1288,2)="15",LEFT(TH!M1288,2)="15"),'152-CT'!$J$8=TH!F1288),"x","")</f>
        <v/>
      </c>
      <c r="Y1288" s="39" t="str">
        <f>IF(AND(OR(LEFT(TH!L1288,2)="15",LEFT(TH!M1288,2)="15"),TK!$E$7=TH!F1288),"x","")</f>
        <v/>
      </c>
      <c r="Z1288" s="39" t="str">
        <f>IF(AND(B1288&lt;=NKC!$N$8,B1288&gt;=NKC!$M$8),"x","")</f>
        <v>x</v>
      </c>
      <c r="AA1288" s="883"/>
    </row>
    <row r="1289" spans="1:27" s="211" customFormat="1" ht="15.75" customHeight="1">
      <c r="A1289" s="204" t="str">
        <f>IF(B1289&lt;&gt;"",IF(AND(B1289&gt;=_TM1,B1289&lt;=_TM2,OR(TH!L1289="1111",TH!M1289="1111")),TH!D1289,""),"")</f>
        <v/>
      </c>
      <c r="B1289" s="36">
        <f t="shared" si="442"/>
        <v>9</v>
      </c>
      <c r="C1289" s="191">
        <f t="shared" si="440"/>
        <v>41519</v>
      </c>
      <c r="D1289" s="191" t="s">
        <v>1292</v>
      </c>
      <c r="E1289" s="37">
        <v>41519</v>
      </c>
      <c r="F1289" s="40" t="s">
        <v>1230</v>
      </c>
      <c r="G1289" s="40" t="s">
        <v>1117</v>
      </c>
      <c r="H1289" s="7" t="s">
        <v>1284</v>
      </c>
      <c r="I1289" s="256">
        <v>450</v>
      </c>
      <c r="J1289" s="256">
        <v>22301</v>
      </c>
      <c r="K1289" s="602">
        <f t="shared" si="441"/>
        <v>10035450</v>
      </c>
      <c r="L1289" s="39" t="s">
        <v>165</v>
      </c>
      <c r="M1289" s="603" t="s">
        <v>159</v>
      </c>
      <c r="N1289" s="39" t="str">
        <f>IF(AND('331-CT'!$E$7=TH!H1289,OR(L1289="331",M1289="331")),"331",IF(AND(OR(L1289="131",M1289="131"),H1289='131-CT'!$E$7),"131",""))</f>
        <v/>
      </c>
      <c r="O1289" s="39" t="str">
        <f>IF(AND($B1289&gt;='111'!$N$11,$B1289&lt;='111'!$O$11,OR($L1289=$O$7,$M1289=$O$7)),"x","")</f>
        <v/>
      </c>
      <c r="P1289" s="39" t="str">
        <f>IF(AND($L1289=$O$7,$B1289&lt;'111'!$N$11),"x","")</f>
        <v/>
      </c>
      <c r="Q1289" s="39" t="str">
        <f>IF(AND($M1289=$O$7,$B1289&lt;'111'!$N$11),"x","")</f>
        <v/>
      </c>
      <c r="R1289" s="39" t="str">
        <f>IF(ISERROR(FIND('112'!$M$9,G1289,1)),"",IF((AND(FIND('112'!$M$9,G1289,1)&gt;=1,$B1289&gt;='112'!$N$8,$B1289&lt;='112'!$O$8,OR($L1289='112'!$I$6,$M1289='112'!$I$6))),"x",""))</f>
        <v/>
      </c>
      <c r="S1289" s="39" t="str">
        <f>IF(ISERROR(FIND('112'!$M$9,G1289,1)),"",IF((AND(LEFT(G1289,2)=LEFT('112'!$M$9,2),B1289&lt;'112'!$N$8,$L1289='112'!$I$6)),"x",""))</f>
        <v/>
      </c>
      <c r="T1289" s="39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39" t="str">
        <f>IF(OR(TH!L1289=TH!$V$7,M1289=TH!$V$7),"x","")</f>
        <v/>
      </c>
      <c r="W1289" s="39" t="str">
        <f>IF(AND(B1289&gt;='IN-NX'!$P$3,B1289&lt;='IN-NX'!$Q$3,'IN-NX'!$D$7=D1289,OR(LEFT(L1289,2)="15",AND(LEFT(M1289,2)&lt;&gt;"15",LEFT(M1289,2)&lt;&gt;"33"))),"x","")</f>
        <v/>
      </c>
      <c r="X1289" s="39" t="str">
        <f>IF(AND(OR(LEFT(TH!L1289,2)="15",LEFT(TH!M1289,2)="15"),'152-CT'!$J$8=TH!F1289),"x","")</f>
        <v/>
      </c>
      <c r="Y1289" s="39" t="str">
        <f>IF(AND(OR(LEFT(TH!L1289,2)="15",LEFT(TH!M1289,2)="15"),TK!$E$7=TH!F1289),"x","")</f>
        <v/>
      </c>
      <c r="Z1289" s="39" t="str">
        <f>IF(AND(B1289&lt;=NKC!$N$8,B1289&gt;=NKC!$M$8),"x","")</f>
        <v>x</v>
      </c>
      <c r="AA1289" s="883"/>
    </row>
    <row r="1290" spans="1:27" s="211" customFormat="1" ht="15.75" customHeight="1">
      <c r="A1290" s="204" t="str">
        <f>IF(B1290&lt;&gt;"",IF(AND(B1290&gt;=_TM1,B1290&lt;=_TM2,OR(TH!L1290="1111",TH!M1290="1111")),TH!D1290,""),"")</f>
        <v/>
      </c>
      <c r="B1290" s="36">
        <f t="shared" si="442"/>
        <v>9</v>
      </c>
      <c r="C1290" s="191">
        <f t="shared" si="440"/>
        <v>41520</v>
      </c>
      <c r="D1290" s="191" t="s">
        <v>1292</v>
      </c>
      <c r="E1290" s="37">
        <v>41520</v>
      </c>
      <c r="F1290" s="192" t="s">
        <v>635</v>
      </c>
      <c r="G1290" s="40" t="s">
        <v>1118</v>
      </c>
      <c r="H1290" s="7" t="s">
        <v>1284</v>
      </c>
      <c r="I1290" s="256">
        <v>505</v>
      </c>
      <c r="J1290" s="256">
        <v>13465</v>
      </c>
      <c r="K1290" s="602">
        <f t="shared" si="441"/>
        <v>6799825</v>
      </c>
      <c r="L1290" s="39" t="s">
        <v>165</v>
      </c>
      <c r="M1290" s="603" t="s">
        <v>159</v>
      </c>
      <c r="N1290" s="39" t="str">
        <f>IF(AND('331-CT'!$E$7=TH!H1290,OR(L1290="331",M1290="331")),"331",IF(AND(OR(L1290="131",M1290="131"),H1290='131-CT'!$E$7),"131",""))</f>
        <v/>
      </c>
      <c r="O1290" s="39" t="str">
        <f>IF(AND($B1290&gt;='111'!$N$11,$B1290&lt;='111'!$O$11,OR($L1290=$O$7,$M1290=$O$7)),"x","")</f>
        <v/>
      </c>
      <c r="P1290" s="39" t="str">
        <f>IF(AND($L1290=$O$7,$B1290&lt;'111'!$N$11),"x","")</f>
        <v/>
      </c>
      <c r="Q1290" s="39" t="str">
        <f>IF(AND($M1290=$O$7,$B1290&lt;'111'!$N$11),"x","")</f>
        <v/>
      </c>
      <c r="R1290" s="39" t="str">
        <f>IF(ISERROR(FIND('112'!$M$9,G1290,1)),"",IF((AND(FIND('112'!$M$9,G1290,1)&gt;=1,$B1290&gt;='112'!$N$8,$B1290&lt;='112'!$O$8,OR($L1290='112'!$I$6,$M1290='112'!$I$6))),"x",""))</f>
        <v/>
      </c>
      <c r="S1290" s="39" t="str">
        <f>IF(ISERROR(FIND('112'!$M$9,G1290,1)),"",IF((AND(LEFT(G1290,2)=LEFT('112'!$M$9,2),B1290&lt;'112'!$N$8,$L1290='112'!$I$6)),"x",""))</f>
        <v/>
      </c>
      <c r="T1290" s="39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39" t="str">
        <f>IF(OR(TH!L1290=TH!$V$7,M1290=TH!$V$7),"x","")</f>
        <v/>
      </c>
      <c r="W1290" s="39" t="str">
        <f>IF(AND(B1290&gt;='IN-NX'!$P$3,B1290&lt;='IN-NX'!$Q$3,'IN-NX'!$D$7=D1290,OR(LEFT(L1290,2)="15",AND(LEFT(M1290,2)&lt;&gt;"15",LEFT(M1290,2)&lt;&gt;"33"))),"x","")</f>
        <v/>
      </c>
      <c r="X1290" s="39" t="str">
        <f>IF(AND(OR(LEFT(TH!L1290,2)="15",LEFT(TH!M1290,2)="15"),'152-CT'!$J$8=TH!F1290),"x","")</f>
        <v/>
      </c>
      <c r="Y1290" s="39" t="str">
        <f>IF(AND(OR(LEFT(TH!L1290,2)="15",LEFT(TH!M1290,2)="15"),TK!$E$7=TH!F1290),"x","")</f>
        <v/>
      </c>
      <c r="Z1290" s="39" t="str">
        <f>IF(AND(B1290&lt;=NKC!$N$8,B1290&gt;=NKC!$M$8),"x","")</f>
        <v>x</v>
      </c>
      <c r="AA1290" s="883"/>
    </row>
    <row r="1291" spans="1:27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442"/>
        <v>9</v>
      </c>
      <c r="C1291" s="191">
        <f t="shared" si="440"/>
        <v>41520</v>
      </c>
      <c r="D1291" s="191" t="s">
        <v>1292</v>
      </c>
      <c r="E1291" s="37">
        <v>41520</v>
      </c>
      <c r="F1291" s="40" t="s">
        <v>677</v>
      </c>
      <c r="G1291" s="40" t="s">
        <v>1118</v>
      </c>
      <c r="H1291" s="7" t="s">
        <v>1284</v>
      </c>
      <c r="I1291" s="256">
        <v>500</v>
      </c>
      <c r="J1291" s="256">
        <v>11722</v>
      </c>
      <c r="K1291" s="602">
        <f t="shared" si="441"/>
        <v>5861000</v>
      </c>
      <c r="L1291" s="39" t="s">
        <v>165</v>
      </c>
      <c r="M1291" s="603" t="s">
        <v>159</v>
      </c>
      <c r="N1291" s="39" t="str">
        <f>IF(AND('331-CT'!$E$7=TH!H1291,OR(L1291="331",M1291="331")),"331",IF(AND(OR(L1291="131",M1291="131"),H1291='131-CT'!$E$7),"131",""))</f>
        <v/>
      </c>
      <c r="O1291" s="39" t="str">
        <f>IF(AND($B1291&gt;='111'!$N$11,$B1291&lt;='111'!$O$11,OR($L1291=$O$7,$M1291=$O$7)),"x","")</f>
        <v/>
      </c>
      <c r="P1291" s="39" t="str">
        <f>IF(AND($L1291=$O$7,$B1291&lt;'111'!$N$11),"x","")</f>
        <v/>
      </c>
      <c r="Q1291" s="39" t="str">
        <f>IF(AND($M1291=$O$7,$B1291&lt;'111'!$N$11),"x","")</f>
        <v/>
      </c>
      <c r="R1291" s="39" t="str">
        <f>IF(ISERROR(FIND('112'!$M$9,G1291,1)),"",IF((AND(FIND('112'!$M$9,G1291,1)&gt;=1,$B1291&gt;='112'!$N$8,$B1291&lt;='112'!$O$8,OR($L1291='112'!$I$6,$M1291='112'!$I$6))),"x",""))</f>
        <v/>
      </c>
      <c r="S1291" s="39" t="str">
        <f>IF(ISERROR(FIND('112'!$M$9,G1291,1)),"",IF((AND(LEFT(G1291,2)=LEFT('112'!$M$9,2),B1291&lt;'112'!$N$8,$L1291='112'!$I$6)),"x",""))</f>
        <v/>
      </c>
      <c r="T1291" s="39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39" t="str">
        <f>IF(OR(TH!L1291=TH!$V$7,M1291=TH!$V$7),"x","")</f>
        <v/>
      </c>
      <c r="W1291" s="39" t="str">
        <f>IF(AND(B1291&gt;='IN-NX'!$P$3,B1291&lt;='IN-NX'!$Q$3,'IN-NX'!$D$7=D1291,OR(LEFT(L1291,2)="15",AND(LEFT(M1291,2)&lt;&gt;"15",LEFT(M1291,2)&lt;&gt;"33"))),"x","")</f>
        <v/>
      </c>
      <c r="X1291" s="39" t="str">
        <f>IF(AND(OR(LEFT(TH!L1291,2)="15",LEFT(TH!M1291,2)="15"),'152-CT'!$J$8=TH!F1291),"x","")</f>
        <v/>
      </c>
      <c r="Y1291" s="39" t="str">
        <f>IF(AND(OR(LEFT(TH!L1291,2)="15",LEFT(TH!M1291,2)="15"),TK!$E$7=TH!F1291),"x","")</f>
        <v/>
      </c>
      <c r="Z1291" s="39" t="str">
        <f>IF(AND(B1291&lt;=NKC!$N$8,B1291&gt;=NKC!$M$8),"x","")</f>
        <v>x</v>
      </c>
      <c r="AA1291" s="883"/>
    </row>
    <row r="1292" spans="1:27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442"/>
        <v>9</v>
      </c>
      <c r="C1292" s="191">
        <f t="shared" si="440"/>
        <v>41523</v>
      </c>
      <c r="D1292" s="191" t="s">
        <v>1292</v>
      </c>
      <c r="E1292" s="37">
        <v>41523</v>
      </c>
      <c r="F1292" s="40" t="s">
        <v>713</v>
      </c>
      <c r="G1292" s="40" t="s">
        <v>1121</v>
      </c>
      <c r="H1292" s="7" t="s">
        <v>1284</v>
      </c>
      <c r="I1292" s="256">
        <v>270</v>
      </c>
      <c r="J1292" s="256">
        <v>20635.247863247863</v>
      </c>
      <c r="K1292" s="602">
        <f t="shared" si="441"/>
        <v>5571517</v>
      </c>
      <c r="L1292" s="39" t="s">
        <v>165</v>
      </c>
      <c r="M1292" s="603" t="s">
        <v>159</v>
      </c>
      <c r="N1292" s="39" t="str">
        <f>IF(AND('331-CT'!$E$7=TH!H1292,OR(L1292="331",M1292="331")),"331",IF(AND(OR(L1292="131",M1292="131"),H1292='131-CT'!$E$7),"131",""))</f>
        <v/>
      </c>
      <c r="O1292" s="39" t="str">
        <f>IF(AND($B1292&gt;='111'!$N$11,$B1292&lt;='111'!$O$11,OR($L1292=$O$7,$M1292=$O$7)),"x","")</f>
        <v/>
      </c>
      <c r="P1292" s="39" t="str">
        <f>IF(AND($L1292=$O$7,$B1292&lt;'111'!$N$11),"x","")</f>
        <v/>
      </c>
      <c r="Q1292" s="39" t="str">
        <f>IF(AND($M1292=$O$7,$B1292&lt;'111'!$N$11),"x","")</f>
        <v/>
      </c>
      <c r="R1292" s="39" t="str">
        <f>IF(ISERROR(FIND('112'!$M$9,G1292,1)),"",IF((AND(FIND('112'!$M$9,G1292,1)&gt;=1,$B1292&gt;='112'!$N$8,$B1292&lt;='112'!$O$8,OR($L1292='112'!$I$6,$M1292='112'!$I$6))),"x",""))</f>
        <v/>
      </c>
      <c r="S1292" s="39" t="str">
        <f>IF(ISERROR(FIND('112'!$M$9,G1292,1)),"",IF((AND(LEFT(G1292,2)=LEFT('112'!$M$9,2),B1292&lt;'112'!$N$8,$L1292='112'!$I$6)),"x",""))</f>
        <v/>
      </c>
      <c r="T1292" s="39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39" t="str">
        <f>IF(OR(TH!L1292=TH!$V$7,M1292=TH!$V$7),"x","")</f>
        <v/>
      </c>
      <c r="W1292" s="39" t="str">
        <f>IF(AND(B1292&gt;='IN-NX'!$P$3,B1292&lt;='IN-NX'!$Q$3,'IN-NX'!$D$7=D1292,OR(LEFT(L1292,2)="15",AND(LEFT(M1292,2)&lt;&gt;"15",LEFT(M1292,2)&lt;&gt;"33"))),"x","")</f>
        <v/>
      </c>
      <c r="X1292" s="39" t="str">
        <f>IF(AND(OR(LEFT(TH!L1292,2)="15",LEFT(TH!M1292,2)="15"),'152-CT'!$J$8=TH!F1292),"x","")</f>
        <v/>
      </c>
      <c r="Y1292" s="39" t="str">
        <f>IF(AND(OR(LEFT(TH!L1292,2)="15",LEFT(TH!M1292,2)="15"),TK!$E$7=TH!F1292),"x","")</f>
        <v/>
      </c>
      <c r="Z1292" s="39" t="str">
        <f>IF(AND(B1292&lt;=NKC!$N$8,B1292&gt;=NKC!$M$8),"x","")</f>
        <v>x</v>
      </c>
      <c r="AA1292" s="883"/>
    </row>
    <row r="1293" spans="1:27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442"/>
        <v>9</v>
      </c>
      <c r="C1293" s="191">
        <f t="shared" si="440"/>
        <v>41523</v>
      </c>
      <c r="D1293" s="191" t="s">
        <v>1292</v>
      </c>
      <c r="E1293" s="37">
        <v>41523</v>
      </c>
      <c r="F1293" s="192" t="s">
        <v>1241</v>
      </c>
      <c r="G1293" s="40" t="s">
        <v>1122</v>
      </c>
      <c r="H1293" s="7" t="s">
        <v>1284</v>
      </c>
      <c r="I1293" s="256">
        <v>505</v>
      </c>
      <c r="J1293" s="256">
        <v>19910.059393752887</v>
      </c>
      <c r="K1293" s="602">
        <f t="shared" si="441"/>
        <v>10054580</v>
      </c>
      <c r="L1293" s="39" t="s">
        <v>165</v>
      </c>
      <c r="M1293" s="603" t="s">
        <v>159</v>
      </c>
      <c r="N1293" s="39" t="str">
        <f>IF(AND('331-CT'!$E$7=TH!H1293,OR(L1293="331",M1293="331")),"331",IF(AND(OR(L1293="131",M1293="131"),H1293='131-CT'!$E$7),"131",""))</f>
        <v/>
      </c>
      <c r="O1293" s="39" t="str">
        <f>IF(AND($B1293&gt;='111'!$N$11,$B1293&lt;='111'!$O$11,OR($L1293=$O$7,$M1293=$O$7)),"x","")</f>
        <v/>
      </c>
      <c r="P1293" s="39" t="str">
        <f>IF(AND($L1293=$O$7,$B1293&lt;'111'!$N$11),"x","")</f>
        <v/>
      </c>
      <c r="Q1293" s="39" t="str">
        <f>IF(AND($M1293=$O$7,$B1293&lt;'111'!$N$11),"x","")</f>
        <v/>
      </c>
      <c r="R1293" s="39" t="str">
        <f>IF(ISERROR(FIND('112'!$M$9,G1293,1)),"",IF((AND(FIND('112'!$M$9,G1293,1)&gt;=1,$B1293&gt;='112'!$N$8,$B1293&lt;='112'!$O$8,OR($L1293='112'!$I$6,$M1293='112'!$I$6))),"x",""))</f>
        <v/>
      </c>
      <c r="S1293" s="39" t="str">
        <f>IF(ISERROR(FIND('112'!$M$9,G1293,1)),"",IF((AND(LEFT(G1293,2)=LEFT('112'!$M$9,2),B1293&lt;'112'!$N$8,$L1293='112'!$I$6)),"x",""))</f>
        <v/>
      </c>
      <c r="T1293" s="39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39" t="str">
        <f>IF(OR(TH!L1293=TH!$V$7,M1293=TH!$V$7),"x","")</f>
        <v/>
      </c>
      <c r="W1293" s="39" t="str">
        <f>IF(AND(B1293&gt;='IN-NX'!$P$3,B1293&lt;='IN-NX'!$Q$3,'IN-NX'!$D$7=D1293,OR(LEFT(L1293,2)="15",AND(LEFT(M1293,2)&lt;&gt;"15",LEFT(M1293,2)&lt;&gt;"33"))),"x","")</f>
        <v/>
      </c>
      <c r="X1293" s="39" t="str">
        <f>IF(AND(OR(LEFT(TH!L1293,2)="15",LEFT(TH!M1293,2)="15"),'152-CT'!$J$8=TH!F1293),"x","")</f>
        <v/>
      </c>
      <c r="Y1293" s="39" t="str">
        <f>IF(AND(OR(LEFT(TH!L1293,2)="15",LEFT(TH!M1293,2)="15"),TK!$E$7=TH!F1293),"x","")</f>
        <v/>
      </c>
      <c r="Z1293" s="39" t="str">
        <f>IF(AND(B1293&lt;=NKC!$N$8,B1293&gt;=NKC!$M$8),"x","")</f>
        <v>x</v>
      </c>
      <c r="AA1293" s="883"/>
    </row>
    <row r="1294" spans="1:27" s="211" customFormat="1" ht="15.75" customHeight="1">
      <c r="A1294" s="204" t="str">
        <f>IF(B1294&lt;&gt;"",IF(AND(B1294&gt;=_TM1,B1294&lt;=_TM2,OR(TH!L1294="1111",TH!M1294="1111")),TH!D1294,""),"")</f>
        <v/>
      </c>
      <c r="B1294" s="36">
        <f t="shared" si="442"/>
        <v>9</v>
      </c>
      <c r="C1294" s="191">
        <f t="shared" ref="C1294:C1357" si="443">E1294</f>
        <v>41523</v>
      </c>
      <c r="D1294" s="191" t="s">
        <v>1292</v>
      </c>
      <c r="E1294" s="37">
        <v>41523</v>
      </c>
      <c r="F1294" s="189" t="s">
        <v>1230</v>
      </c>
      <c r="G1294" s="40" t="s">
        <v>1123</v>
      </c>
      <c r="H1294" s="7" t="s">
        <v>1284</v>
      </c>
      <c r="I1294" s="256">
        <v>468</v>
      </c>
      <c r="J1294" s="256">
        <v>22301</v>
      </c>
      <c r="K1294" s="602">
        <f t="shared" ref="K1294:K1357" si="444">ROUND(I1294*J1294,0)</f>
        <v>10436868</v>
      </c>
      <c r="L1294" s="39" t="s">
        <v>165</v>
      </c>
      <c r="M1294" s="603" t="s">
        <v>159</v>
      </c>
      <c r="N1294" s="39" t="str">
        <f>IF(AND('331-CT'!$E$7=TH!H1294,OR(L1294="331",M1294="331")),"331",IF(AND(OR(L1294="131",M1294="131"),H1294='131-CT'!$E$7),"131",""))</f>
        <v/>
      </c>
      <c r="O1294" s="39" t="str">
        <f>IF(AND($B1294&gt;='111'!$N$11,$B1294&lt;='111'!$O$11,OR($L1294=$O$7,$M1294=$O$7)),"x","")</f>
        <v/>
      </c>
      <c r="P1294" s="39" t="str">
        <f>IF(AND($L1294=$O$7,$B1294&lt;'111'!$N$11),"x","")</f>
        <v/>
      </c>
      <c r="Q1294" s="39" t="str">
        <f>IF(AND($M1294=$O$7,$B1294&lt;'111'!$N$11),"x","")</f>
        <v/>
      </c>
      <c r="R1294" s="39" t="str">
        <f>IF(ISERROR(FIND('112'!$M$9,G1294,1)),"",IF((AND(FIND('112'!$M$9,G1294,1)&gt;=1,$B1294&gt;='112'!$N$8,$B1294&lt;='112'!$O$8,OR($L1294='112'!$I$6,$M1294='112'!$I$6))),"x",""))</f>
        <v/>
      </c>
      <c r="S1294" s="39" t="str">
        <f>IF(ISERROR(FIND('112'!$M$9,G1294,1)),"",IF((AND(LEFT(G1294,2)=LEFT('112'!$M$9,2),B1294&lt;'112'!$N$8,$L1294='112'!$I$6)),"x",""))</f>
        <v/>
      </c>
      <c r="T1294" s="39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39" t="str">
        <f>IF(OR(TH!L1294=TH!$V$7,M1294=TH!$V$7),"x","")</f>
        <v/>
      </c>
      <c r="W1294" s="39" t="str">
        <f>IF(AND(B1294&gt;='IN-NX'!$P$3,B1294&lt;='IN-NX'!$Q$3,'IN-NX'!$D$7=D1294,OR(LEFT(L1294,2)="15",AND(LEFT(M1294,2)&lt;&gt;"15",LEFT(M1294,2)&lt;&gt;"33"))),"x","")</f>
        <v/>
      </c>
      <c r="X1294" s="39" t="str">
        <f>IF(AND(OR(LEFT(TH!L1294,2)="15",LEFT(TH!M1294,2)="15"),'152-CT'!$J$8=TH!F1294),"x","")</f>
        <v/>
      </c>
      <c r="Y1294" s="39" t="str">
        <f>IF(AND(OR(LEFT(TH!L1294,2)="15",LEFT(TH!M1294,2)="15"),TK!$E$7=TH!F1294),"x","")</f>
        <v/>
      </c>
      <c r="Z1294" s="39" t="str">
        <f>IF(AND(B1294&lt;=NKC!$N$8,B1294&gt;=NKC!$M$8),"x","")</f>
        <v>x</v>
      </c>
      <c r="AA1294" s="883"/>
    </row>
    <row r="1295" spans="1:27" s="211" customFormat="1" ht="15.75" customHeight="1">
      <c r="A1295" s="204" t="str">
        <f>IF(B1295&lt;&gt;"",IF(AND(B1295&gt;=_TM1,B1295&lt;=_TM2,OR(TH!L1295="1111",TH!M1295="1111")),TH!D1295,""),"")</f>
        <v/>
      </c>
      <c r="B1295" s="36">
        <f t="shared" si="442"/>
        <v>9</v>
      </c>
      <c r="C1295" s="191">
        <f t="shared" si="443"/>
        <v>41523</v>
      </c>
      <c r="D1295" s="191" t="s">
        <v>1292</v>
      </c>
      <c r="E1295" s="37">
        <v>41523</v>
      </c>
      <c r="F1295" s="40" t="s">
        <v>1249</v>
      </c>
      <c r="G1295" s="40" t="s">
        <v>1123</v>
      </c>
      <c r="H1295" s="7" t="s">
        <v>1284</v>
      </c>
      <c r="I1295" s="256">
        <v>150</v>
      </c>
      <c r="J1295" s="256">
        <v>27900</v>
      </c>
      <c r="K1295" s="602">
        <f t="shared" si="444"/>
        <v>4185000</v>
      </c>
      <c r="L1295" s="39" t="s">
        <v>165</v>
      </c>
      <c r="M1295" s="603" t="s">
        <v>159</v>
      </c>
      <c r="N1295" s="39" t="str">
        <f>IF(AND('331-CT'!$E$7=TH!H1295,OR(L1295="331",M1295="331")),"331",IF(AND(OR(L1295="131",M1295="131"),H1295='131-CT'!$E$7),"131",""))</f>
        <v/>
      </c>
      <c r="O1295" s="39" t="str">
        <f>IF(AND($B1295&gt;='111'!$N$11,$B1295&lt;='111'!$O$11,OR($L1295=$O$7,$M1295=$O$7)),"x","")</f>
        <v/>
      </c>
      <c r="P1295" s="39" t="str">
        <f>IF(AND($L1295=$O$7,$B1295&lt;'111'!$N$11),"x","")</f>
        <v/>
      </c>
      <c r="Q1295" s="39" t="str">
        <f>IF(AND($M1295=$O$7,$B1295&lt;'111'!$N$11),"x","")</f>
        <v/>
      </c>
      <c r="R1295" s="39" t="str">
        <f>IF(ISERROR(FIND('112'!$M$9,G1295,1)),"",IF((AND(FIND('112'!$M$9,G1295,1)&gt;=1,$B1295&gt;='112'!$N$8,$B1295&lt;='112'!$O$8,OR($L1295='112'!$I$6,$M1295='112'!$I$6))),"x",""))</f>
        <v/>
      </c>
      <c r="S1295" s="39" t="str">
        <f>IF(ISERROR(FIND('112'!$M$9,G1295,1)),"",IF((AND(LEFT(G1295,2)=LEFT('112'!$M$9,2),B1295&lt;'112'!$N$8,$L1295='112'!$I$6)),"x",""))</f>
        <v/>
      </c>
      <c r="T1295" s="39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39" t="str">
        <f>IF(OR(TH!L1295=TH!$V$7,M1295=TH!$V$7),"x","")</f>
        <v/>
      </c>
      <c r="W1295" s="39" t="str">
        <f>IF(AND(B1295&gt;='IN-NX'!$P$3,B1295&lt;='IN-NX'!$Q$3,'IN-NX'!$D$7=D1295,OR(LEFT(L1295,2)="15",AND(LEFT(M1295,2)&lt;&gt;"15",LEFT(M1295,2)&lt;&gt;"33"))),"x","")</f>
        <v/>
      </c>
      <c r="X1295" s="39" t="str">
        <f>IF(AND(OR(LEFT(TH!L1295,2)="15",LEFT(TH!M1295,2)="15"),'152-CT'!$J$8=TH!F1295),"x","")</f>
        <v/>
      </c>
      <c r="Y1295" s="39" t="str">
        <f>IF(AND(OR(LEFT(TH!L1295,2)="15",LEFT(TH!M1295,2)="15"),TK!$E$7=TH!F1295),"x","")</f>
        <v/>
      </c>
      <c r="Z1295" s="39" t="str">
        <f>IF(AND(B1295&lt;=NKC!$N$8,B1295&gt;=NKC!$M$8),"x","")</f>
        <v>x</v>
      </c>
      <c r="AA1295" s="883"/>
    </row>
    <row r="1296" spans="1:27" s="211" customFormat="1" ht="15.75" customHeight="1">
      <c r="A1296" s="204" t="str">
        <f>IF(B1296&lt;&gt;"",IF(AND(B1296&gt;=_TM1,B1296&lt;=_TM2,OR(TH!L1296="1111",TH!M1296="1111")),TH!D1296,""),"")</f>
        <v/>
      </c>
      <c r="B1296" s="36">
        <f t="shared" si="442"/>
        <v>9</v>
      </c>
      <c r="C1296" s="191">
        <f t="shared" si="443"/>
        <v>41523</v>
      </c>
      <c r="D1296" s="191" t="s">
        <v>1292</v>
      </c>
      <c r="E1296" s="37">
        <v>41523</v>
      </c>
      <c r="F1296" s="40" t="s">
        <v>1230</v>
      </c>
      <c r="G1296" s="40" t="s">
        <v>922</v>
      </c>
      <c r="H1296" s="7" t="s">
        <v>1284</v>
      </c>
      <c r="I1296" s="256">
        <v>440</v>
      </c>
      <c r="J1296" s="256">
        <v>22301</v>
      </c>
      <c r="K1296" s="602">
        <f t="shared" si="444"/>
        <v>9812440</v>
      </c>
      <c r="L1296" s="39" t="s">
        <v>165</v>
      </c>
      <c r="M1296" s="603" t="s">
        <v>159</v>
      </c>
      <c r="N1296" s="39" t="str">
        <f>IF(AND('331-CT'!$E$7=TH!H1296,OR(L1296="331",M1296="331")),"331",IF(AND(OR(L1296="131",M1296="131"),H1296='131-CT'!$E$7),"131",""))</f>
        <v/>
      </c>
      <c r="O1296" s="39" t="str">
        <f>IF(AND($B1296&gt;='111'!$N$11,$B1296&lt;='111'!$O$11,OR($L1296=$O$7,$M1296=$O$7)),"x","")</f>
        <v/>
      </c>
      <c r="P1296" s="39" t="str">
        <f>IF(AND($L1296=$O$7,$B1296&lt;'111'!$N$11),"x","")</f>
        <v/>
      </c>
      <c r="Q1296" s="39" t="str">
        <f>IF(AND($M1296=$O$7,$B1296&lt;'111'!$N$11),"x","")</f>
        <v/>
      </c>
      <c r="R1296" s="39" t="str">
        <f>IF(ISERROR(FIND('112'!$M$9,G1296,1)),"",IF((AND(FIND('112'!$M$9,G1296,1)&gt;=1,$B1296&gt;='112'!$N$8,$B1296&lt;='112'!$O$8,OR($L1296='112'!$I$6,$M1296='112'!$I$6))),"x",""))</f>
        <v/>
      </c>
      <c r="S1296" s="39" t="str">
        <f>IF(ISERROR(FIND('112'!$M$9,G1296,1)),"",IF((AND(LEFT(G1296,2)=LEFT('112'!$M$9,2),B1296&lt;'112'!$N$8,$L1296='112'!$I$6)),"x",""))</f>
        <v/>
      </c>
      <c r="T1296" s="39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39" t="str">
        <f>IF(OR(TH!L1296=TH!$V$7,M1296=TH!$V$7),"x","")</f>
        <v/>
      </c>
      <c r="W1296" s="39" t="str">
        <f>IF(AND(B1296&gt;='IN-NX'!$P$3,B1296&lt;='IN-NX'!$Q$3,'IN-NX'!$D$7=D1296,OR(LEFT(L1296,2)="15",AND(LEFT(M1296,2)&lt;&gt;"15",LEFT(M1296,2)&lt;&gt;"33"))),"x","")</f>
        <v/>
      </c>
      <c r="X1296" s="39" t="str">
        <f>IF(AND(OR(LEFT(TH!L1296,2)="15",LEFT(TH!M1296,2)="15"),'152-CT'!$J$8=TH!F1296),"x","")</f>
        <v/>
      </c>
      <c r="Y1296" s="39" t="str">
        <f>IF(AND(OR(LEFT(TH!L1296,2)="15",LEFT(TH!M1296,2)="15"),TK!$E$7=TH!F1296),"x","")</f>
        <v/>
      </c>
      <c r="Z1296" s="39" t="str">
        <f>IF(AND(B1296&lt;=NKC!$N$8,B1296&gt;=NKC!$M$8),"x","")</f>
        <v>x</v>
      </c>
      <c r="AA1296" s="883"/>
    </row>
    <row r="1297" spans="1:27" s="211" customFormat="1" ht="15.75" customHeight="1">
      <c r="A1297" s="204" t="str">
        <f>IF(B1297&lt;&gt;"",IF(AND(B1297&gt;=_TM1,B1297&lt;=_TM2,OR(TH!L1297="1111",TH!M1297="1111")),TH!D1297,""),"")</f>
        <v/>
      </c>
      <c r="B1297" s="36">
        <f t="shared" si="442"/>
        <v>9</v>
      </c>
      <c r="C1297" s="191">
        <f t="shared" si="443"/>
        <v>41525</v>
      </c>
      <c r="D1297" s="191" t="s">
        <v>1292</v>
      </c>
      <c r="E1297" s="795">
        <v>41525</v>
      </c>
      <c r="F1297" s="192" t="s">
        <v>1280</v>
      </c>
      <c r="G1297" s="487" t="s">
        <v>924</v>
      </c>
      <c r="H1297" s="7" t="s">
        <v>1284</v>
      </c>
      <c r="I1297" s="257">
        <v>100</v>
      </c>
      <c r="J1297" s="257">
        <v>10863</v>
      </c>
      <c r="K1297" s="602">
        <f t="shared" si="444"/>
        <v>1086300</v>
      </c>
      <c r="L1297" s="39" t="s">
        <v>165</v>
      </c>
      <c r="M1297" s="603" t="s">
        <v>159</v>
      </c>
      <c r="N1297" s="39" t="str">
        <f>IF(AND('331-CT'!$E$7=TH!H1297,OR(L1297="331",M1297="331")),"331",IF(AND(OR(L1297="131",M1297="131"),H1297='131-CT'!$E$7),"131",""))</f>
        <v/>
      </c>
      <c r="O1297" s="39" t="str">
        <f>IF(AND($B1297&gt;='111'!$N$11,$B1297&lt;='111'!$O$11,OR($L1297=$O$7,$M1297=$O$7)),"x","")</f>
        <v/>
      </c>
      <c r="P1297" s="39" t="str">
        <f>IF(AND($L1297=$O$7,$B1297&lt;'111'!$N$11),"x","")</f>
        <v/>
      </c>
      <c r="Q1297" s="39" t="str">
        <f>IF(AND($M1297=$O$7,$B1297&lt;'111'!$N$11),"x","")</f>
        <v/>
      </c>
      <c r="R1297" s="39" t="str">
        <f>IF(ISERROR(FIND('112'!$M$9,G1297,1)),"",IF((AND(FIND('112'!$M$9,G1297,1)&gt;=1,$B1297&gt;='112'!$N$8,$B1297&lt;='112'!$O$8,OR($L1297='112'!$I$6,$M1297='112'!$I$6))),"x",""))</f>
        <v/>
      </c>
      <c r="S1297" s="39" t="str">
        <f>IF(ISERROR(FIND('112'!$M$9,G1297,1)),"",IF((AND(LEFT(G1297,2)=LEFT('112'!$M$9,2),B1297&lt;'112'!$N$8,$L1297='112'!$I$6)),"x",""))</f>
        <v/>
      </c>
      <c r="T1297" s="39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39" t="str">
        <f>IF(OR(TH!L1297=TH!$V$7,M1297=TH!$V$7),"x","")</f>
        <v/>
      </c>
      <c r="W1297" s="39" t="str">
        <f>IF(AND(B1297&gt;='IN-NX'!$P$3,B1297&lt;='IN-NX'!$Q$3,'IN-NX'!$D$7=D1297,OR(LEFT(L1297,2)="15",AND(LEFT(M1297,2)&lt;&gt;"15",LEFT(M1297,2)&lt;&gt;"33"))),"x","")</f>
        <v/>
      </c>
      <c r="X1297" s="39" t="str">
        <f>IF(AND(OR(LEFT(TH!L1297,2)="15",LEFT(TH!M1297,2)="15"),'152-CT'!$J$8=TH!F1297),"x","")</f>
        <v/>
      </c>
      <c r="Y1297" s="39" t="str">
        <f>IF(AND(OR(LEFT(TH!L1297,2)="15",LEFT(TH!M1297,2)="15"),TK!$E$7=TH!F1297),"x","")</f>
        <v/>
      </c>
      <c r="Z1297" s="39" t="str">
        <f>IF(AND(B1297&lt;=NKC!$N$8,B1297&gt;=NKC!$M$8),"x","")</f>
        <v>x</v>
      </c>
      <c r="AA1297" s="883"/>
    </row>
    <row r="1298" spans="1:27" s="211" customFormat="1" ht="15.75" customHeight="1">
      <c r="A1298" s="204" t="str">
        <f>IF(B1298&lt;&gt;"",IF(AND(B1298&gt;=_TM1,B1298&lt;=_TM2,OR(TH!L1298="1111",TH!M1298="1111")),TH!D1298,""),"")</f>
        <v/>
      </c>
      <c r="B1298" s="36">
        <f t="shared" si="442"/>
        <v>9</v>
      </c>
      <c r="C1298" s="191">
        <f t="shared" si="443"/>
        <v>41525</v>
      </c>
      <c r="D1298" s="191" t="s">
        <v>1292</v>
      </c>
      <c r="E1298" s="795">
        <v>41525</v>
      </c>
      <c r="F1298" s="189" t="s">
        <v>1291</v>
      </c>
      <c r="G1298" s="487" t="s">
        <v>924</v>
      </c>
      <c r="H1298" s="7" t="s">
        <v>1284</v>
      </c>
      <c r="I1298" s="256">
        <v>102</v>
      </c>
      <c r="J1298" s="256">
        <v>13125</v>
      </c>
      <c r="K1298" s="602">
        <f t="shared" si="444"/>
        <v>1338750</v>
      </c>
      <c r="L1298" s="39" t="s">
        <v>165</v>
      </c>
      <c r="M1298" s="603" t="s">
        <v>159</v>
      </c>
      <c r="N1298" s="39" t="str">
        <f>IF(AND('331-CT'!$E$7=TH!H1298,OR(L1298="331",M1298="331")),"331",IF(AND(OR(L1298="131",M1298="131"),H1298='131-CT'!$E$7),"131",""))</f>
        <v/>
      </c>
      <c r="O1298" s="39" t="str">
        <f>IF(AND($B1298&gt;='111'!$N$11,$B1298&lt;='111'!$O$11,OR($L1298=$O$7,$M1298=$O$7)),"x","")</f>
        <v/>
      </c>
      <c r="P1298" s="39" t="str">
        <f>IF(AND($L1298=$O$7,$B1298&lt;'111'!$N$11),"x","")</f>
        <v/>
      </c>
      <c r="Q1298" s="39" t="str">
        <f>IF(AND($M1298=$O$7,$B1298&lt;'111'!$N$11),"x","")</f>
        <v/>
      </c>
      <c r="R1298" s="39" t="str">
        <f>IF(ISERROR(FIND('112'!$M$9,G1298,1)),"",IF((AND(FIND('112'!$M$9,G1298,1)&gt;=1,$B1298&gt;='112'!$N$8,$B1298&lt;='112'!$O$8,OR($L1298='112'!$I$6,$M1298='112'!$I$6))),"x",""))</f>
        <v/>
      </c>
      <c r="S1298" s="39" t="str">
        <f>IF(ISERROR(FIND('112'!$M$9,G1298,1)),"",IF((AND(LEFT(G1298,2)=LEFT('112'!$M$9,2),B1298&lt;'112'!$N$8,$L1298='112'!$I$6)),"x",""))</f>
        <v/>
      </c>
      <c r="T1298" s="39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39" t="str">
        <f>IF(OR(TH!L1298=TH!$V$7,M1298=TH!$V$7),"x","")</f>
        <v/>
      </c>
      <c r="W1298" s="39" t="str">
        <f>IF(AND(B1298&gt;='IN-NX'!$P$3,B1298&lt;='IN-NX'!$Q$3,'IN-NX'!$D$7=D1298,OR(LEFT(L1298,2)="15",AND(LEFT(M1298,2)&lt;&gt;"15",LEFT(M1298,2)&lt;&gt;"33"))),"x","")</f>
        <v/>
      </c>
      <c r="X1298" s="39" t="str">
        <f>IF(AND(OR(LEFT(TH!L1298,2)="15",LEFT(TH!M1298,2)="15"),'152-CT'!$J$8=TH!F1298),"x","")</f>
        <v/>
      </c>
      <c r="Y1298" s="39" t="str">
        <f>IF(AND(OR(LEFT(TH!L1298,2)="15",LEFT(TH!M1298,2)="15"),TK!$E$7=TH!F1298),"x","")</f>
        <v/>
      </c>
      <c r="Z1298" s="39" t="str">
        <f>IF(AND(B1298&lt;=NKC!$N$8,B1298&gt;=NKC!$M$8),"x","")</f>
        <v>x</v>
      </c>
      <c r="AA1298" s="883"/>
    </row>
    <row r="1299" spans="1:27" s="211" customFormat="1" ht="15.75" customHeight="1">
      <c r="A1299" s="204" t="str">
        <f>IF(B1299&lt;&gt;"",IF(AND(B1299&gt;=_TM1,B1299&lt;=_TM2,OR(TH!L1299="1111",TH!M1299="1111")),TH!D1299,""),"")</f>
        <v/>
      </c>
      <c r="B1299" s="36">
        <f t="shared" si="442"/>
        <v>9</v>
      </c>
      <c r="C1299" s="191">
        <f t="shared" si="443"/>
        <v>41530</v>
      </c>
      <c r="D1299" s="191" t="s">
        <v>1292</v>
      </c>
      <c r="E1299" s="795">
        <v>41530</v>
      </c>
      <c r="F1299" s="189" t="s">
        <v>650</v>
      </c>
      <c r="G1299" s="487" t="s">
        <v>927</v>
      </c>
      <c r="H1299" s="7" t="s">
        <v>1284</v>
      </c>
      <c r="I1299" s="256">
        <v>992</v>
      </c>
      <c r="J1299" s="256">
        <v>8462.418420401089</v>
      </c>
      <c r="K1299" s="602">
        <f t="shared" si="444"/>
        <v>8394719</v>
      </c>
      <c r="L1299" s="39" t="s">
        <v>165</v>
      </c>
      <c r="M1299" s="603" t="s">
        <v>159</v>
      </c>
      <c r="N1299" s="39" t="str">
        <f>IF(AND('331-CT'!$E$7=TH!H1299,OR(L1299="331",M1299="331")),"331",IF(AND(OR(L1299="131",M1299="131"),H1299='131-CT'!$E$7),"131",""))</f>
        <v/>
      </c>
      <c r="O1299" s="39" t="str">
        <f>IF(AND($B1299&gt;='111'!$N$11,$B1299&lt;='111'!$O$11,OR($L1299=$O$7,$M1299=$O$7)),"x","")</f>
        <v/>
      </c>
      <c r="P1299" s="39" t="str">
        <f>IF(AND($L1299=$O$7,$B1299&lt;'111'!$N$11),"x","")</f>
        <v/>
      </c>
      <c r="Q1299" s="39" t="str">
        <f>IF(AND($M1299=$O$7,$B1299&lt;'111'!$N$11),"x","")</f>
        <v/>
      </c>
      <c r="R1299" s="39" t="str">
        <f>IF(ISERROR(FIND('112'!$M$9,G1299,1)),"",IF((AND(FIND('112'!$M$9,G1299,1)&gt;=1,$B1299&gt;='112'!$N$8,$B1299&lt;='112'!$O$8,OR($L1299='112'!$I$6,$M1299='112'!$I$6))),"x",""))</f>
        <v/>
      </c>
      <c r="S1299" s="39" t="str">
        <f>IF(ISERROR(FIND('112'!$M$9,G1299,1)),"",IF((AND(LEFT(G1299,2)=LEFT('112'!$M$9,2),B1299&lt;'112'!$N$8,$L1299='112'!$I$6)),"x",""))</f>
        <v/>
      </c>
      <c r="T1299" s="39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39" t="str">
        <f>IF(OR(TH!L1299=TH!$V$7,M1299=TH!$V$7),"x","")</f>
        <v/>
      </c>
      <c r="W1299" s="39" t="str">
        <f>IF(AND(B1299&gt;='IN-NX'!$P$3,B1299&lt;='IN-NX'!$Q$3,'IN-NX'!$D$7=D1299,OR(LEFT(L1299,2)="15",AND(LEFT(M1299,2)&lt;&gt;"15",LEFT(M1299,2)&lt;&gt;"33"))),"x","")</f>
        <v/>
      </c>
      <c r="X1299" s="39" t="str">
        <f>IF(AND(OR(LEFT(TH!L1299,2)="15",LEFT(TH!M1299,2)="15"),'152-CT'!$J$8=TH!F1299),"x","")</f>
        <v/>
      </c>
      <c r="Y1299" s="39" t="str">
        <f>IF(AND(OR(LEFT(TH!L1299,2)="15",LEFT(TH!M1299,2)="15"),TK!$E$7=TH!F1299),"x","")</f>
        <v/>
      </c>
      <c r="Z1299" s="39" t="str">
        <f>IF(AND(B1299&lt;=NKC!$N$8,B1299&gt;=NKC!$M$8),"x","")</f>
        <v>x</v>
      </c>
      <c r="AA1299" s="883"/>
    </row>
    <row r="1300" spans="1:27" s="211" customFormat="1" ht="15.75" customHeight="1">
      <c r="A1300" s="204" t="str">
        <f>IF(B1300&lt;&gt;"",IF(AND(B1300&gt;=_TM1,B1300&lt;=_TM2,OR(TH!L1300="1111",TH!M1300="1111")),TH!D1300,""),"")</f>
        <v/>
      </c>
      <c r="B1300" s="36">
        <f t="shared" si="442"/>
        <v>9</v>
      </c>
      <c r="C1300" s="191">
        <f t="shared" si="443"/>
        <v>41532</v>
      </c>
      <c r="D1300" s="191" t="s">
        <v>1292</v>
      </c>
      <c r="E1300" s="191">
        <v>41532</v>
      </c>
      <c r="F1300" s="192" t="s">
        <v>1241</v>
      </c>
      <c r="G1300" s="487" t="s">
        <v>928</v>
      </c>
      <c r="H1300" s="7" t="s">
        <v>1284</v>
      </c>
      <c r="I1300" s="256">
        <v>496</v>
      </c>
      <c r="J1300" s="256">
        <v>19910.059393752887</v>
      </c>
      <c r="K1300" s="602">
        <f t="shared" si="444"/>
        <v>9875389</v>
      </c>
      <c r="L1300" s="39" t="s">
        <v>165</v>
      </c>
      <c r="M1300" s="603" t="s">
        <v>159</v>
      </c>
      <c r="N1300" s="39" t="str">
        <f>IF(AND('331-CT'!$E$7=TH!H1300,OR(L1300="331",M1300="331")),"331",IF(AND(OR(L1300="131",M1300="131"),H1300='131-CT'!$E$7),"131",""))</f>
        <v/>
      </c>
      <c r="O1300" s="39" t="str">
        <f>IF(AND($B1300&gt;='111'!$N$11,$B1300&lt;='111'!$O$11,OR($L1300=$O$7,$M1300=$O$7)),"x","")</f>
        <v/>
      </c>
      <c r="P1300" s="39" t="str">
        <f>IF(AND($L1300=$O$7,$B1300&lt;'111'!$N$11),"x","")</f>
        <v/>
      </c>
      <c r="Q1300" s="39" t="str">
        <f>IF(AND($M1300=$O$7,$B1300&lt;'111'!$N$11),"x","")</f>
        <v/>
      </c>
      <c r="R1300" s="39" t="str">
        <f>IF(ISERROR(FIND('112'!$M$9,G1300,1)),"",IF((AND(FIND('112'!$M$9,G1300,1)&gt;=1,$B1300&gt;='112'!$N$8,$B1300&lt;='112'!$O$8,OR($L1300='112'!$I$6,$M1300='112'!$I$6))),"x",""))</f>
        <v/>
      </c>
      <c r="S1300" s="39" t="str">
        <f>IF(ISERROR(FIND('112'!$M$9,G1300,1)),"",IF((AND(LEFT(G1300,2)=LEFT('112'!$M$9,2),B1300&lt;'112'!$N$8,$L1300='112'!$I$6)),"x",""))</f>
        <v/>
      </c>
      <c r="T1300" s="39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39" t="str">
        <f>IF(OR(TH!L1300=TH!$V$7,M1300=TH!$V$7),"x","")</f>
        <v/>
      </c>
      <c r="W1300" s="39" t="str">
        <f>IF(AND(B1300&gt;='IN-NX'!$P$3,B1300&lt;='IN-NX'!$Q$3,'IN-NX'!$D$7=D1300,OR(LEFT(L1300,2)="15",AND(LEFT(M1300,2)&lt;&gt;"15",LEFT(M1300,2)&lt;&gt;"33"))),"x","")</f>
        <v/>
      </c>
      <c r="X1300" s="39" t="str">
        <f>IF(AND(OR(LEFT(TH!L1300,2)="15",LEFT(TH!M1300,2)="15"),'152-CT'!$J$8=TH!F1300),"x","")</f>
        <v/>
      </c>
      <c r="Y1300" s="39" t="str">
        <f>IF(AND(OR(LEFT(TH!L1300,2)="15",LEFT(TH!M1300,2)="15"),TK!$E$7=TH!F1300),"x","")</f>
        <v/>
      </c>
      <c r="Z1300" s="39" t="str">
        <f>IF(AND(B1300&lt;=NKC!$N$8,B1300&gt;=NKC!$M$8),"x","")</f>
        <v>x</v>
      </c>
      <c r="AA1300" s="883"/>
    </row>
    <row r="1301" spans="1:27" s="211" customFormat="1" ht="15.75" customHeight="1">
      <c r="A1301" s="204" t="str">
        <f>IF(B1301&lt;&gt;"",IF(AND(B1301&gt;=_TM1,B1301&lt;=_TM2,OR(TH!L1301="1111",TH!M1301="1111")),TH!D1301,""),"")</f>
        <v/>
      </c>
      <c r="B1301" s="36">
        <f t="shared" si="442"/>
        <v>9</v>
      </c>
      <c r="C1301" s="191">
        <f t="shared" si="443"/>
        <v>41533</v>
      </c>
      <c r="D1301" s="191" t="s">
        <v>1292</v>
      </c>
      <c r="E1301" s="191">
        <v>41533</v>
      </c>
      <c r="F1301" s="192" t="s">
        <v>1167</v>
      </c>
      <c r="G1301" s="487" t="s">
        <v>930</v>
      </c>
      <c r="H1301" s="7" t="s">
        <v>1284</v>
      </c>
      <c r="I1301" s="256">
        <v>50</v>
      </c>
      <c r="J1301" s="256">
        <v>11780</v>
      </c>
      <c r="K1301" s="602">
        <f t="shared" si="444"/>
        <v>589000</v>
      </c>
      <c r="L1301" s="39" t="s">
        <v>165</v>
      </c>
      <c r="M1301" s="603" t="s">
        <v>159</v>
      </c>
      <c r="N1301" s="39" t="str">
        <f>IF(AND('331-CT'!$E$7=TH!H1301,OR(L1301="331",M1301="331")),"331",IF(AND(OR(L1301="131",M1301="131"),H1301='131-CT'!$E$7),"131",""))</f>
        <v/>
      </c>
      <c r="O1301" s="39" t="str">
        <f>IF(AND($B1301&gt;='111'!$N$11,$B1301&lt;='111'!$O$11,OR($L1301=$O$7,$M1301=$O$7)),"x","")</f>
        <v/>
      </c>
      <c r="P1301" s="39" t="str">
        <f>IF(AND($L1301=$O$7,$B1301&lt;'111'!$N$11),"x","")</f>
        <v/>
      </c>
      <c r="Q1301" s="39" t="str">
        <f>IF(AND($M1301=$O$7,$B1301&lt;'111'!$N$11),"x","")</f>
        <v/>
      </c>
      <c r="R1301" s="39" t="str">
        <f>IF(ISERROR(FIND('112'!$M$9,G1301,1)),"",IF((AND(FIND('112'!$M$9,G1301,1)&gt;=1,$B1301&gt;='112'!$N$8,$B1301&lt;='112'!$O$8,OR($L1301='112'!$I$6,$M1301='112'!$I$6))),"x",""))</f>
        <v/>
      </c>
      <c r="S1301" s="39" t="str">
        <f>IF(ISERROR(FIND('112'!$M$9,G1301,1)),"",IF((AND(LEFT(G1301,2)=LEFT('112'!$M$9,2),B1301&lt;'112'!$N$8,$L1301='112'!$I$6)),"x",""))</f>
        <v/>
      </c>
      <c r="T1301" s="39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39" t="str">
        <f>IF(OR(TH!L1301=TH!$V$7,M1301=TH!$V$7),"x","")</f>
        <v/>
      </c>
      <c r="W1301" s="39" t="str">
        <f>IF(AND(B1301&gt;='IN-NX'!$P$3,B1301&lt;='IN-NX'!$Q$3,'IN-NX'!$D$7=D1301,OR(LEFT(L1301,2)="15",AND(LEFT(M1301,2)&lt;&gt;"15",LEFT(M1301,2)&lt;&gt;"33"))),"x","")</f>
        <v/>
      </c>
      <c r="X1301" s="39" t="str">
        <f>IF(AND(OR(LEFT(TH!L1301,2)="15",LEFT(TH!M1301,2)="15"),'152-CT'!$J$8=TH!F1301),"x","")</f>
        <v/>
      </c>
      <c r="Y1301" s="39" t="str">
        <f>IF(AND(OR(LEFT(TH!L1301,2)="15",LEFT(TH!M1301,2)="15"),TK!$E$7=TH!F1301),"x","")</f>
        <v/>
      </c>
      <c r="Z1301" s="39" t="str">
        <f>IF(AND(B1301&lt;=NKC!$N$8,B1301&gt;=NKC!$M$8),"x","")</f>
        <v>x</v>
      </c>
      <c r="AA1301" s="883"/>
    </row>
    <row r="1302" spans="1:27" s="211" customFormat="1" ht="15.75" customHeight="1">
      <c r="A1302" s="204" t="str">
        <f>IF(B1302&lt;&gt;"",IF(AND(B1302&gt;=_TM1,B1302&lt;=_TM2,OR(TH!L1302="1111",TH!M1302="1111")),TH!D1302,""),"")</f>
        <v/>
      </c>
      <c r="B1302" s="36">
        <f t="shared" si="442"/>
        <v>9</v>
      </c>
      <c r="C1302" s="191">
        <f t="shared" si="443"/>
        <v>41534</v>
      </c>
      <c r="D1302" s="191" t="s">
        <v>1292</v>
      </c>
      <c r="E1302" s="191">
        <v>41534</v>
      </c>
      <c r="F1302" s="192" t="s">
        <v>1237</v>
      </c>
      <c r="G1302" s="487" t="s">
        <v>931</v>
      </c>
      <c r="H1302" s="7" t="s">
        <v>1284</v>
      </c>
      <c r="I1302" s="256">
        <v>150</v>
      </c>
      <c r="J1302" s="256">
        <v>22800</v>
      </c>
      <c r="K1302" s="602">
        <f t="shared" si="444"/>
        <v>3420000</v>
      </c>
      <c r="L1302" s="39" t="s">
        <v>165</v>
      </c>
      <c r="M1302" s="603" t="s">
        <v>159</v>
      </c>
      <c r="N1302" s="39" t="str">
        <f>IF(AND('331-CT'!$E$7=TH!H1302,OR(L1302="331",M1302="331")),"331",IF(AND(OR(L1302="131",M1302="131"),H1302='131-CT'!$E$7),"131",""))</f>
        <v/>
      </c>
      <c r="O1302" s="39" t="str">
        <f>IF(AND($B1302&gt;='111'!$N$11,$B1302&lt;='111'!$O$11,OR($L1302=$O$7,$M1302=$O$7)),"x","")</f>
        <v/>
      </c>
      <c r="P1302" s="39" t="str">
        <f>IF(AND($L1302=$O$7,$B1302&lt;'111'!$N$11),"x","")</f>
        <v/>
      </c>
      <c r="Q1302" s="39" t="str">
        <f>IF(AND($M1302=$O$7,$B1302&lt;'111'!$N$11),"x","")</f>
        <v/>
      </c>
      <c r="R1302" s="39" t="str">
        <f>IF(ISERROR(FIND('112'!$M$9,G1302,1)),"",IF((AND(FIND('112'!$M$9,G1302,1)&gt;=1,$B1302&gt;='112'!$N$8,$B1302&lt;='112'!$O$8,OR($L1302='112'!$I$6,$M1302='112'!$I$6))),"x",""))</f>
        <v/>
      </c>
      <c r="S1302" s="39" t="str">
        <f>IF(ISERROR(FIND('112'!$M$9,G1302,1)),"",IF((AND(LEFT(G1302,2)=LEFT('112'!$M$9,2),B1302&lt;'112'!$N$8,$L1302='112'!$I$6)),"x",""))</f>
        <v/>
      </c>
      <c r="T1302" s="39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39" t="str">
        <f>IF(OR(TH!L1302=TH!$V$7,M1302=TH!$V$7),"x","")</f>
        <v/>
      </c>
      <c r="W1302" s="39" t="str">
        <f>IF(AND(B1302&gt;='IN-NX'!$P$3,B1302&lt;='IN-NX'!$Q$3,'IN-NX'!$D$7=D1302,OR(LEFT(L1302,2)="15",AND(LEFT(M1302,2)&lt;&gt;"15",LEFT(M1302,2)&lt;&gt;"33"))),"x","")</f>
        <v/>
      </c>
      <c r="X1302" s="39" t="str">
        <f>IF(AND(OR(LEFT(TH!L1302,2)="15",LEFT(TH!M1302,2)="15"),'152-CT'!$J$8=TH!F1302),"x","")</f>
        <v/>
      </c>
      <c r="Y1302" s="39" t="str">
        <f>IF(AND(OR(LEFT(TH!L1302,2)="15",LEFT(TH!M1302,2)="15"),TK!$E$7=TH!F1302),"x","")</f>
        <v/>
      </c>
      <c r="Z1302" s="39" t="str">
        <f>IF(AND(B1302&lt;=NKC!$N$8,B1302&gt;=NKC!$M$8),"x","")</f>
        <v>x</v>
      </c>
      <c r="AA1302" s="883"/>
    </row>
    <row r="1303" spans="1:27" s="211" customFormat="1" ht="15.75" customHeight="1">
      <c r="A1303" s="204" t="str">
        <f>IF(B1303&lt;&gt;"",IF(AND(B1303&gt;=_TM1,B1303&lt;=_TM2,OR(TH!L1303="1111",TH!M1303="1111")),TH!D1303,""),"")</f>
        <v/>
      </c>
      <c r="B1303" s="36">
        <f t="shared" si="442"/>
        <v>9</v>
      </c>
      <c r="C1303" s="191">
        <f t="shared" si="443"/>
        <v>41535</v>
      </c>
      <c r="D1303" s="191" t="s">
        <v>1292</v>
      </c>
      <c r="E1303" s="191">
        <v>41535</v>
      </c>
      <c r="F1303" s="192" t="s">
        <v>1241</v>
      </c>
      <c r="G1303" s="487" t="s">
        <v>932</v>
      </c>
      <c r="H1303" s="7" t="s">
        <v>1284</v>
      </c>
      <c r="I1303" s="256">
        <v>331</v>
      </c>
      <c r="J1303" s="256">
        <v>19910.059393752887</v>
      </c>
      <c r="K1303" s="602">
        <f t="shared" si="444"/>
        <v>6590230</v>
      </c>
      <c r="L1303" s="39" t="s">
        <v>165</v>
      </c>
      <c r="M1303" s="603" t="s">
        <v>159</v>
      </c>
      <c r="N1303" s="39" t="str">
        <f>IF(AND('331-CT'!$E$7=TH!H1303,OR(L1303="331",M1303="331")),"331",IF(AND(OR(L1303="131",M1303="131"),H1303='131-CT'!$E$7),"131",""))</f>
        <v/>
      </c>
      <c r="O1303" s="39" t="str">
        <f>IF(AND($B1303&gt;='111'!$N$11,$B1303&lt;='111'!$O$11,OR($L1303=$O$7,$M1303=$O$7)),"x","")</f>
        <v/>
      </c>
      <c r="P1303" s="39" t="str">
        <f>IF(AND($L1303=$O$7,$B1303&lt;'111'!$N$11),"x","")</f>
        <v/>
      </c>
      <c r="Q1303" s="39" t="str">
        <f>IF(AND($M1303=$O$7,$B1303&lt;'111'!$N$11),"x","")</f>
        <v/>
      </c>
      <c r="R1303" s="39" t="str">
        <f>IF(ISERROR(FIND('112'!$M$9,G1303,1)),"",IF((AND(FIND('112'!$M$9,G1303,1)&gt;=1,$B1303&gt;='112'!$N$8,$B1303&lt;='112'!$O$8,OR($L1303='112'!$I$6,$M1303='112'!$I$6))),"x",""))</f>
        <v/>
      </c>
      <c r="S1303" s="39" t="str">
        <f>IF(ISERROR(FIND('112'!$M$9,G1303,1)),"",IF((AND(LEFT(G1303,2)=LEFT('112'!$M$9,2),B1303&lt;'112'!$N$8,$L1303='112'!$I$6)),"x",""))</f>
        <v/>
      </c>
      <c r="T1303" s="39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39" t="str">
        <f>IF(OR(TH!L1303=TH!$V$7,M1303=TH!$V$7),"x","")</f>
        <v/>
      </c>
      <c r="W1303" s="39" t="str">
        <f>IF(AND(B1303&gt;='IN-NX'!$P$3,B1303&lt;='IN-NX'!$Q$3,'IN-NX'!$D$7=D1303,OR(LEFT(L1303,2)="15",AND(LEFT(M1303,2)&lt;&gt;"15",LEFT(M1303,2)&lt;&gt;"33"))),"x","")</f>
        <v/>
      </c>
      <c r="X1303" s="39" t="str">
        <f>IF(AND(OR(LEFT(TH!L1303,2)="15",LEFT(TH!M1303,2)="15"),'152-CT'!$J$8=TH!F1303),"x","")</f>
        <v/>
      </c>
      <c r="Y1303" s="39" t="str">
        <f>IF(AND(OR(LEFT(TH!L1303,2)="15",LEFT(TH!M1303,2)="15"),TK!$E$7=TH!F1303),"x","")</f>
        <v/>
      </c>
      <c r="Z1303" s="39" t="str">
        <f>IF(AND(B1303&lt;=NKC!$N$8,B1303&gt;=NKC!$M$8),"x","")</f>
        <v>x</v>
      </c>
      <c r="AA1303" s="883"/>
    </row>
    <row r="1304" spans="1:27" s="211" customFormat="1" ht="15.75" customHeight="1">
      <c r="A1304" s="204" t="str">
        <f>IF(B1304&lt;&gt;"",IF(AND(B1304&gt;=_TM1,B1304&lt;=_TM2,OR(TH!L1304="1111",TH!M1304="1111")),TH!D1304,""),"")</f>
        <v/>
      </c>
      <c r="B1304" s="36">
        <f t="shared" si="442"/>
        <v>9</v>
      </c>
      <c r="C1304" s="191">
        <f t="shared" si="443"/>
        <v>41537</v>
      </c>
      <c r="D1304" s="191" t="s">
        <v>1292</v>
      </c>
      <c r="E1304" s="191">
        <v>41537</v>
      </c>
      <c r="F1304" s="192" t="s">
        <v>1235</v>
      </c>
      <c r="G1304" s="487" t="s">
        <v>1124</v>
      </c>
      <c r="H1304" s="7" t="s">
        <v>1284</v>
      </c>
      <c r="I1304" s="256">
        <v>240</v>
      </c>
      <c r="J1304" s="256">
        <v>12620</v>
      </c>
      <c r="K1304" s="602">
        <f t="shared" si="444"/>
        <v>3028800</v>
      </c>
      <c r="L1304" s="39" t="s">
        <v>165</v>
      </c>
      <c r="M1304" s="603" t="s">
        <v>159</v>
      </c>
      <c r="N1304" s="39" t="str">
        <f>IF(AND('331-CT'!$E$7=TH!H1304,OR(L1304="331",M1304="331")),"331",IF(AND(OR(L1304="131",M1304="131"),H1304='131-CT'!$E$7),"131",""))</f>
        <v/>
      </c>
      <c r="O1304" s="39" t="str">
        <f>IF(AND($B1304&gt;='111'!$N$11,$B1304&lt;='111'!$O$11,OR($L1304=$O$7,$M1304=$O$7)),"x","")</f>
        <v/>
      </c>
      <c r="P1304" s="39" t="str">
        <f>IF(AND($L1304=$O$7,$B1304&lt;'111'!$N$11),"x","")</f>
        <v/>
      </c>
      <c r="Q1304" s="39" t="str">
        <f>IF(AND($M1304=$O$7,$B1304&lt;'111'!$N$11),"x","")</f>
        <v/>
      </c>
      <c r="R1304" s="39" t="str">
        <f>IF(ISERROR(FIND('112'!$M$9,G1304,1)),"",IF((AND(FIND('112'!$M$9,G1304,1)&gt;=1,$B1304&gt;='112'!$N$8,$B1304&lt;='112'!$O$8,OR($L1304='112'!$I$6,$M1304='112'!$I$6))),"x",""))</f>
        <v/>
      </c>
      <c r="S1304" s="39" t="str">
        <f>IF(ISERROR(FIND('112'!$M$9,G1304,1)),"",IF((AND(LEFT(G1304,2)=LEFT('112'!$M$9,2),B1304&lt;'112'!$N$8,$L1304='112'!$I$6)),"x",""))</f>
        <v/>
      </c>
      <c r="T1304" s="39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39" t="str">
        <f>IF(OR(TH!L1304=TH!$V$7,M1304=TH!$V$7),"x","")</f>
        <v/>
      </c>
      <c r="W1304" s="39" t="str">
        <f>IF(AND(B1304&gt;='IN-NX'!$P$3,B1304&lt;='IN-NX'!$Q$3,'IN-NX'!$D$7=D1304,OR(LEFT(L1304,2)="15",AND(LEFT(M1304,2)&lt;&gt;"15",LEFT(M1304,2)&lt;&gt;"33"))),"x","")</f>
        <v/>
      </c>
      <c r="X1304" s="39" t="str">
        <f>IF(AND(OR(LEFT(TH!L1304,2)="15",LEFT(TH!M1304,2)="15"),'152-CT'!$J$8=TH!F1304),"x","")</f>
        <v/>
      </c>
      <c r="Y1304" s="39" t="str">
        <f>IF(AND(OR(LEFT(TH!L1304,2)="15",LEFT(TH!M1304,2)="15"),TK!$E$7=TH!F1304),"x","")</f>
        <v/>
      </c>
      <c r="Z1304" s="39" t="str">
        <f>IF(AND(B1304&lt;=NKC!$N$8,B1304&gt;=NKC!$M$8),"x","")</f>
        <v>x</v>
      </c>
      <c r="AA1304" s="883"/>
    </row>
    <row r="1305" spans="1:27" s="211" customFormat="1" ht="15.75" customHeight="1">
      <c r="A1305" s="204" t="str">
        <f>IF(B1305&lt;&gt;"",IF(AND(B1305&gt;=_TM1,B1305&lt;=_TM2,OR(TH!L1305="1111",TH!M1305="1111")),TH!D1305,""),"")</f>
        <v/>
      </c>
      <c r="B1305" s="36">
        <f t="shared" si="442"/>
        <v>9</v>
      </c>
      <c r="C1305" s="191">
        <f t="shared" si="443"/>
        <v>41537</v>
      </c>
      <c r="D1305" s="191" t="s">
        <v>1292</v>
      </c>
      <c r="E1305" s="191">
        <v>41537</v>
      </c>
      <c r="F1305" s="192" t="s">
        <v>1195</v>
      </c>
      <c r="G1305" s="487" t="s">
        <v>1124</v>
      </c>
      <c r="H1305" s="7" t="s">
        <v>1284</v>
      </c>
      <c r="I1305" s="256">
        <v>210</v>
      </c>
      <c r="J1305" s="256">
        <v>11157</v>
      </c>
      <c r="K1305" s="602">
        <f t="shared" si="444"/>
        <v>2342970</v>
      </c>
      <c r="L1305" s="39" t="s">
        <v>165</v>
      </c>
      <c r="M1305" s="603" t="s">
        <v>159</v>
      </c>
      <c r="N1305" s="39" t="str">
        <f>IF(AND('331-CT'!$E$7=TH!H1305,OR(L1305="331",M1305="331")),"331",IF(AND(OR(L1305="131",M1305="131"),H1305='131-CT'!$E$7),"131",""))</f>
        <v/>
      </c>
      <c r="O1305" s="39" t="str">
        <f>IF(AND($B1305&gt;='111'!$N$11,$B1305&lt;='111'!$O$11,OR($L1305=$O$7,$M1305=$O$7)),"x","")</f>
        <v/>
      </c>
      <c r="P1305" s="39" t="str">
        <f>IF(AND($L1305=$O$7,$B1305&lt;'111'!$N$11),"x","")</f>
        <v/>
      </c>
      <c r="Q1305" s="39" t="str">
        <f>IF(AND($M1305=$O$7,$B1305&lt;'111'!$N$11),"x","")</f>
        <v/>
      </c>
      <c r="R1305" s="39" t="str">
        <f>IF(ISERROR(FIND('112'!$M$9,G1305,1)),"",IF((AND(FIND('112'!$M$9,G1305,1)&gt;=1,$B1305&gt;='112'!$N$8,$B1305&lt;='112'!$O$8,OR($L1305='112'!$I$6,$M1305='112'!$I$6))),"x",""))</f>
        <v/>
      </c>
      <c r="S1305" s="39" t="str">
        <f>IF(ISERROR(FIND('112'!$M$9,G1305,1)),"",IF((AND(LEFT(G1305,2)=LEFT('112'!$M$9,2),B1305&lt;'112'!$N$8,$L1305='112'!$I$6)),"x",""))</f>
        <v/>
      </c>
      <c r="T1305" s="39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39" t="str">
        <f>IF(OR(TH!L1305=TH!$V$7,M1305=TH!$V$7),"x","")</f>
        <v/>
      </c>
      <c r="W1305" s="39" t="str">
        <f>IF(AND(B1305&gt;='IN-NX'!$P$3,B1305&lt;='IN-NX'!$Q$3,'IN-NX'!$D$7=D1305,OR(LEFT(L1305,2)="15",AND(LEFT(M1305,2)&lt;&gt;"15",LEFT(M1305,2)&lt;&gt;"33"))),"x","")</f>
        <v/>
      </c>
      <c r="X1305" s="39" t="str">
        <f>IF(AND(OR(LEFT(TH!L1305,2)="15",LEFT(TH!M1305,2)="15"),'152-CT'!$J$8=TH!F1305),"x","")</f>
        <v/>
      </c>
      <c r="Y1305" s="39" t="str">
        <f>IF(AND(OR(LEFT(TH!L1305,2)="15",LEFT(TH!M1305,2)="15"),TK!$E$7=TH!F1305),"x","")</f>
        <v/>
      </c>
      <c r="Z1305" s="39" t="str">
        <f>IF(AND(B1305&lt;=NKC!$N$8,B1305&gt;=NKC!$M$8),"x","")</f>
        <v>x</v>
      </c>
      <c r="AA1305" s="883"/>
    </row>
    <row r="1306" spans="1:27" s="211" customFormat="1" ht="15.75" customHeight="1">
      <c r="A1306" s="204" t="str">
        <f>IF(B1306&lt;&gt;"",IF(AND(B1306&gt;=_TM1,B1306&lt;=_TM2,OR(TH!L1306="1111",TH!M1306="1111")),TH!D1306,""),"")</f>
        <v/>
      </c>
      <c r="B1306" s="36">
        <f t="shared" si="442"/>
        <v>9</v>
      </c>
      <c r="C1306" s="191">
        <f t="shared" si="443"/>
        <v>41537</v>
      </c>
      <c r="D1306" s="191" t="s">
        <v>1292</v>
      </c>
      <c r="E1306" s="191">
        <v>41537</v>
      </c>
      <c r="F1306" s="192" t="s">
        <v>1229</v>
      </c>
      <c r="G1306" s="487" t="s">
        <v>1124</v>
      </c>
      <c r="H1306" s="7" t="s">
        <v>1284</v>
      </c>
      <c r="I1306" s="256">
        <v>109</v>
      </c>
      <c r="J1306" s="256">
        <v>11873</v>
      </c>
      <c r="K1306" s="602">
        <f t="shared" si="444"/>
        <v>1294157</v>
      </c>
      <c r="L1306" s="39" t="s">
        <v>165</v>
      </c>
      <c r="M1306" s="603" t="s">
        <v>159</v>
      </c>
      <c r="N1306" s="39" t="str">
        <f>IF(AND('331-CT'!$E$7=TH!H1306,OR(L1306="331",M1306="331")),"331",IF(AND(OR(L1306="131",M1306="131"),H1306='131-CT'!$E$7),"131",""))</f>
        <v/>
      </c>
      <c r="O1306" s="39" t="str">
        <f>IF(AND($B1306&gt;='111'!$N$11,$B1306&lt;='111'!$O$11,OR($L1306=$O$7,$M1306=$O$7)),"x","")</f>
        <v/>
      </c>
      <c r="P1306" s="39" t="str">
        <f>IF(AND($L1306=$O$7,$B1306&lt;'111'!$N$11),"x","")</f>
        <v/>
      </c>
      <c r="Q1306" s="39" t="str">
        <f>IF(AND($M1306=$O$7,$B1306&lt;'111'!$N$11),"x","")</f>
        <v/>
      </c>
      <c r="R1306" s="39" t="str">
        <f>IF(ISERROR(FIND('112'!$M$9,G1306,1)),"",IF((AND(FIND('112'!$M$9,G1306,1)&gt;=1,$B1306&gt;='112'!$N$8,$B1306&lt;='112'!$O$8,OR($L1306='112'!$I$6,$M1306='112'!$I$6))),"x",""))</f>
        <v/>
      </c>
      <c r="S1306" s="39" t="str">
        <f>IF(ISERROR(FIND('112'!$M$9,G1306,1)),"",IF((AND(LEFT(G1306,2)=LEFT('112'!$M$9,2),B1306&lt;'112'!$N$8,$L1306='112'!$I$6)),"x",""))</f>
        <v/>
      </c>
      <c r="T1306" s="39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39" t="str">
        <f>IF(OR(TH!L1306=TH!$V$7,M1306=TH!$V$7),"x","")</f>
        <v/>
      </c>
      <c r="W1306" s="39" t="str">
        <f>IF(AND(B1306&gt;='IN-NX'!$P$3,B1306&lt;='IN-NX'!$Q$3,'IN-NX'!$D$7=D1306,OR(LEFT(L1306,2)="15",AND(LEFT(M1306,2)&lt;&gt;"15",LEFT(M1306,2)&lt;&gt;"33"))),"x","")</f>
        <v/>
      </c>
      <c r="X1306" s="39" t="str">
        <f>IF(AND(OR(LEFT(TH!L1306,2)="15",LEFT(TH!M1306,2)="15"),'152-CT'!$J$8=TH!F1306),"x","")</f>
        <v/>
      </c>
      <c r="Y1306" s="39" t="str">
        <f>IF(AND(OR(LEFT(TH!L1306,2)="15",LEFT(TH!M1306,2)="15"),TK!$E$7=TH!F1306),"x","")</f>
        <v/>
      </c>
      <c r="Z1306" s="39" t="str">
        <f>IF(AND(B1306&lt;=NKC!$N$8,B1306&gt;=NKC!$M$8),"x","")</f>
        <v>x</v>
      </c>
      <c r="AA1306" s="883"/>
    </row>
    <row r="1307" spans="1:27" s="211" customFormat="1" ht="15.75" customHeight="1">
      <c r="A1307" s="204" t="str">
        <f>IF(B1307&lt;&gt;"",IF(AND(B1307&gt;=_TM1,B1307&lt;=_TM2,OR(TH!L1307="1111",TH!M1307="1111")),TH!D1307,""),"")</f>
        <v/>
      </c>
      <c r="B1307" s="36">
        <f t="shared" si="442"/>
        <v>9</v>
      </c>
      <c r="C1307" s="191">
        <f t="shared" si="443"/>
        <v>41537</v>
      </c>
      <c r="D1307" s="191" t="s">
        <v>1292</v>
      </c>
      <c r="E1307" s="191">
        <v>41537</v>
      </c>
      <c r="F1307" s="192" t="s">
        <v>1176</v>
      </c>
      <c r="G1307" s="487" t="s">
        <v>1124</v>
      </c>
      <c r="H1307" s="7" t="s">
        <v>1284</v>
      </c>
      <c r="I1307" s="256">
        <v>60</v>
      </c>
      <c r="J1307" s="256">
        <v>26179</v>
      </c>
      <c r="K1307" s="602">
        <f t="shared" si="444"/>
        <v>1570740</v>
      </c>
      <c r="L1307" s="39" t="s">
        <v>165</v>
      </c>
      <c r="M1307" s="603" t="s">
        <v>159</v>
      </c>
      <c r="N1307" s="39" t="str">
        <f>IF(AND('331-CT'!$E$7=TH!H1307,OR(L1307="331",M1307="331")),"331",IF(AND(OR(L1307="131",M1307="131"),H1307='131-CT'!$E$7),"131",""))</f>
        <v/>
      </c>
      <c r="O1307" s="39" t="str">
        <f>IF(AND($B1307&gt;='111'!$N$11,$B1307&lt;='111'!$O$11,OR($L1307=$O$7,$M1307=$O$7)),"x","")</f>
        <v/>
      </c>
      <c r="P1307" s="39" t="str">
        <f>IF(AND($L1307=$O$7,$B1307&lt;'111'!$N$11),"x","")</f>
        <v/>
      </c>
      <c r="Q1307" s="39" t="str">
        <f>IF(AND($M1307=$O$7,$B1307&lt;'111'!$N$11),"x","")</f>
        <v/>
      </c>
      <c r="R1307" s="39" t="str">
        <f>IF(ISERROR(FIND('112'!$M$9,G1307,1)),"",IF((AND(FIND('112'!$M$9,G1307,1)&gt;=1,$B1307&gt;='112'!$N$8,$B1307&lt;='112'!$O$8,OR($L1307='112'!$I$6,$M1307='112'!$I$6))),"x",""))</f>
        <v/>
      </c>
      <c r="S1307" s="39" t="str">
        <f>IF(ISERROR(FIND('112'!$M$9,G1307,1)),"",IF((AND(LEFT(G1307,2)=LEFT('112'!$M$9,2),B1307&lt;'112'!$N$8,$L1307='112'!$I$6)),"x",""))</f>
        <v/>
      </c>
      <c r="T1307" s="39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39" t="str">
        <f>IF(OR(TH!L1307=TH!$V$7,M1307=TH!$V$7),"x","")</f>
        <v/>
      </c>
      <c r="W1307" s="39" t="str">
        <f>IF(AND(B1307&gt;='IN-NX'!$P$3,B1307&lt;='IN-NX'!$Q$3,'IN-NX'!$D$7=D1307,OR(LEFT(L1307,2)="15",AND(LEFT(M1307,2)&lt;&gt;"15",LEFT(M1307,2)&lt;&gt;"33"))),"x","")</f>
        <v/>
      </c>
      <c r="X1307" s="39" t="str">
        <f>IF(AND(OR(LEFT(TH!L1307,2)="15",LEFT(TH!M1307,2)="15"),'152-CT'!$J$8=TH!F1307),"x","")</f>
        <v/>
      </c>
      <c r="Y1307" s="39" t="str">
        <f>IF(AND(OR(LEFT(TH!L1307,2)="15",LEFT(TH!M1307,2)="15"),TK!$E$7=TH!F1307),"x","")</f>
        <v/>
      </c>
      <c r="Z1307" s="39" t="str">
        <f>IF(AND(B1307&lt;=NKC!$N$8,B1307&gt;=NKC!$M$8),"x","")</f>
        <v>x</v>
      </c>
      <c r="AA1307" s="883"/>
    </row>
    <row r="1308" spans="1:27" s="211" customFormat="1" ht="15.75" customHeight="1">
      <c r="A1308" s="204" t="str">
        <f>IF(B1308&lt;&gt;"",IF(AND(B1308&gt;=_TM1,B1308&lt;=_TM2,OR(TH!L1308="1111",TH!M1308="1111")),TH!D1308,""),"")</f>
        <v/>
      </c>
      <c r="B1308" s="36">
        <f t="shared" si="442"/>
        <v>9</v>
      </c>
      <c r="C1308" s="191">
        <f t="shared" si="443"/>
        <v>41537</v>
      </c>
      <c r="D1308" s="191" t="s">
        <v>1292</v>
      </c>
      <c r="E1308" s="191">
        <v>41537</v>
      </c>
      <c r="F1308" s="192" t="s">
        <v>688</v>
      </c>
      <c r="G1308" s="487" t="s">
        <v>933</v>
      </c>
      <c r="H1308" s="7" t="s">
        <v>1284</v>
      </c>
      <c r="I1308" s="256">
        <v>424</v>
      </c>
      <c r="J1308" s="256">
        <v>16000</v>
      </c>
      <c r="K1308" s="602">
        <f t="shared" si="444"/>
        <v>6784000</v>
      </c>
      <c r="L1308" s="39" t="s">
        <v>165</v>
      </c>
      <c r="M1308" s="603" t="s">
        <v>159</v>
      </c>
      <c r="N1308" s="39" t="str">
        <f>IF(AND('331-CT'!$E$7=TH!H1308,OR(L1308="331",M1308="331")),"331",IF(AND(OR(L1308="131",M1308="131"),H1308='131-CT'!$E$7),"131",""))</f>
        <v/>
      </c>
      <c r="O1308" s="39" t="str">
        <f>IF(AND($B1308&gt;='111'!$N$11,$B1308&lt;='111'!$O$11,OR($L1308=$O$7,$M1308=$O$7)),"x","")</f>
        <v/>
      </c>
      <c r="P1308" s="39" t="str">
        <f>IF(AND($L1308=$O$7,$B1308&lt;'111'!$N$11),"x","")</f>
        <v/>
      </c>
      <c r="Q1308" s="39" t="str">
        <f>IF(AND($M1308=$O$7,$B1308&lt;'111'!$N$11),"x","")</f>
        <v/>
      </c>
      <c r="R1308" s="39" t="str">
        <f>IF(ISERROR(FIND('112'!$M$9,G1308,1)),"",IF((AND(FIND('112'!$M$9,G1308,1)&gt;=1,$B1308&gt;='112'!$N$8,$B1308&lt;='112'!$O$8,OR($L1308='112'!$I$6,$M1308='112'!$I$6))),"x",""))</f>
        <v/>
      </c>
      <c r="S1308" s="39" t="str">
        <f>IF(ISERROR(FIND('112'!$M$9,G1308,1)),"",IF((AND(LEFT(G1308,2)=LEFT('112'!$M$9,2),B1308&lt;'112'!$N$8,$L1308='112'!$I$6)),"x",""))</f>
        <v/>
      </c>
      <c r="T1308" s="39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39" t="str">
        <f>IF(OR(TH!L1308=TH!$V$7,M1308=TH!$V$7),"x","")</f>
        <v/>
      </c>
      <c r="W1308" s="39" t="str">
        <f>IF(AND(B1308&gt;='IN-NX'!$P$3,B1308&lt;='IN-NX'!$Q$3,'IN-NX'!$D$7=D1308,OR(LEFT(L1308,2)="15",AND(LEFT(M1308,2)&lt;&gt;"15",LEFT(M1308,2)&lt;&gt;"33"))),"x","")</f>
        <v/>
      </c>
      <c r="X1308" s="39" t="str">
        <f>IF(AND(OR(LEFT(TH!L1308,2)="15",LEFT(TH!M1308,2)="15"),'152-CT'!$J$8=TH!F1308),"x","")</f>
        <v/>
      </c>
      <c r="Y1308" s="39" t="str">
        <f>IF(AND(OR(LEFT(TH!L1308,2)="15",LEFT(TH!M1308,2)="15"),TK!$E$7=TH!F1308),"x","")</f>
        <v/>
      </c>
      <c r="Z1308" s="39" t="str">
        <f>IF(AND(B1308&lt;=NKC!$N$8,B1308&gt;=NKC!$M$8),"x","")</f>
        <v>x</v>
      </c>
      <c r="AA1308" s="883"/>
    </row>
    <row r="1309" spans="1:27" s="211" customFormat="1" ht="15.75" customHeight="1">
      <c r="A1309" s="204" t="str">
        <f>IF(B1309&lt;&gt;"",IF(AND(B1309&gt;=_TM1,B1309&lt;=_TM2,OR(TH!L1309="1111",TH!M1309="1111")),TH!D1309,""),"")</f>
        <v/>
      </c>
      <c r="B1309" s="36">
        <f t="shared" si="442"/>
        <v>9</v>
      </c>
      <c r="C1309" s="191">
        <f t="shared" si="443"/>
        <v>41537</v>
      </c>
      <c r="D1309" s="191" t="s">
        <v>1292</v>
      </c>
      <c r="E1309" s="191">
        <v>41537</v>
      </c>
      <c r="F1309" s="192" t="s">
        <v>677</v>
      </c>
      <c r="G1309" s="487" t="s">
        <v>934</v>
      </c>
      <c r="H1309" s="7" t="s">
        <v>1284</v>
      </c>
      <c r="I1309" s="256">
        <v>495</v>
      </c>
      <c r="J1309" s="256">
        <v>11722</v>
      </c>
      <c r="K1309" s="602">
        <f t="shared" si="444"/>
        <v>5802390</v>
      </c>
      <c r="L1309" s="39" t="s">
        <v>165</v>
      </c>
      <c r="M1309" s="603" t="s">
        <v>159</v>
      </c>
      <c r="N1309" s="39" t="str">
        <f>IF(AND('331-CT'!$E$7=TH!H1309,OR(L1309="331",M1309="331")),"331",IF(AND(OR(L1309="131",M1309="131"),H1309='131-CT'!$E$7),"131",""))</f>
        <v/>
      </c>
      <c r="O1309" s="39" t="str">
        <f>IF(AND($B1309&gt;='111'!$N$11,$B1309&lt;='111'!$O$11,OR($L1309=$O$7,$M1309=$O$7)),"x","")</f>
        <v/>
      </c>
      <c r="P1309" s="39" t="str">
        <f>IF(AND($L1309=$O$7,$B1309&lt;'111'!$N$11),"x","")</f>
        <v/>
      </c>
      <c r="Q1309" s="39" t="str">
        <f>IF(AND($M1309=$O$7,$B1309&lt;'111'!$N$11),"x","")</f>
        <v/>
      </c>
      <c r="R1309" s="39" t="str">
        <f>IF(ISERROR(FIND('112'!$M$9,G1309,1)),"",IF((AND(FIND('112'!$M$9,G1309,1)&gt;=1,$B1309&gt;='112'!$N$8,$B1309&lt;='112'!$O$8,OR($L1309='112'!$I$6,$M1309='112'!$I$6))),"x",""))</f>
        <v/>
      </c>
      <c r="S1309" s="39" t="str">
        <f>IF(ISERROR(FIND('112'!$M$9,G1309,1)),"",IF((AND(LEFT(G1309,2)=LEFT('112'!$M$9,2),B1309&lt;'112'!$N$8,$L1309='112'!$I$6)),"x",""))</f>
        <v/>
      </c>
      <c r="T1309" s="39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39" t="str">
        <f>IF(OR(TH!L1309=TH!$V$7,M1309=TH!$V$7),"x","")</f>
        <v/>
      </c>
      <c r="W1309" s="39" t="str">
        <f>IF(AND(B1309&gt;='IN-NX'!$P$3,B1309&lt;='IN-NX'!$Q$3,'IN-NX'!$D$7=D1309,OR(LEFT(L1309,2)="15",AND(LEFT(M1309,2)&lt;&gt;"15",LEFT(M1309,2)&lt;&gt;"33"))),"x","")</f>
        <v/>
      </c>
      <c r="X1309" s="39" t="str">
        <f>IF(AND(OR(LEFT(TH!L1309,2)="15",LEFT(TH!M1309,2)="15"),'152-CT'!$J$8=TH!F1309),"x","")</f>
        <v/>
      </c>
      <c r="Y1309" s="39" t="str">
        <f>IF(AND(OR(LEFT(TH!L1309,2)="15",LEFT(TH!M1309,2)="15"),TK!$E$7=TH!F1309),"x","")</f>
        <v/>
      </c>
      <c r="Z1309" s="39" t="str">
        <f>IF(AND(B1309&lt;=NKC!$N$8,B1309&gt;=NKC!$M$8),"x","")</f>
        <v>x</v>
      </c>
      <c r="AA1309" s="883"/>
    </row>
    <row r="1310" spans="1:27" s="211" customFormat="1" ht="15.75" customHeight="1">
      <c r="A1310" s="204" t="str">
        <f>IF(B1310&lt;&gt;"",IF(AND(B1310&gt;=_TM1,B1310&lt;=_TM2,OR(TH!L1310="1111",TH!M1310="1111")),TH!D1310,""),"")</f>
        <v/>
      </c>
      <c r="B1310" s="36">
        <f t="shared" si="442"/>
        <v>9</v>
      </c>
      <c r="C1310" s="191">
        <f t="shared" si="443"/>
        <v>41539</v>
      </c>
      <c r="D1310" s="191" t="s">
        <v>1292</v>
      </c>
      <c r="E1310" s="191">
        <v>41539</v>
      </c>
      <c r="F1310" s="192" t="s">
        <v>1241</v>
      </c>
      <c r="G1310" s="487" t="s">
        <v>935</v>
      </c>
      <c r="H1310" s="7" t="s">
        <v>1284</v>
      </c>
      <c r="I1310" s="256">
        <v>450</v>
      </c>
      <c r="J1310" s="256">
        <v>19910.059351276741</v>
      </c>
      <c r="K1310" s="602">
        <f t="shared" si="444"/>
        <v>8959527</v>
      </c>
      <c r="L1310" s="39" t="s">
        <v>165</v>
      </c>
      <c r="M1310" s="603" t="s">
        <v>159</v>
      </c>
      <c r="N1310" s="39" t="str">
        <f>IF(AND('331-CT'!$E$7=TH!H1310,OR(L1310="331",M1310="331")),"331",IF(AND(OR(L1310="131",M1310="131"),H1310='131-CT'!$E$7),"131",""))</f>
        <v/>
      </c>
      <c r="O1310" s="39" t="str">
        <f>IF(AND($B1310&gt;='111'!$N$11,$B1310&lt;='111'!$O$11,OR($L1310=$O$7,$M1310=$O$7)),"x","")</f>
        <v/>
      </c>
      <c r="P1310" s="39" t="str">
        <f>IF(AND($L1310=$O$7,$B1310&lt;'111'!$N$11),"x","")</f>
        <v/>
      </c>
      <c r="Q1310" s="39" t="str">
        <f>IF(AND($M1310=$O$7,$B1310&lt;'111'!$N$11),"x","")</f>
        <v/>
      </c>
      <c r="R1310" s="39" t="str">
        <f>IF(ISERROR(FIND('112'!$M$9,G1310,1)),"",IF((AND(FIND('112'!$M$9,G1310,1)&gt;=1,$B1310&gt;='112'!$N$8,$B1310&lt;='112'!$O$8,OR($L1310='112'!$I$6,$M1310='112'!$I$6))),"x",""))</f>
        <v/>
      </c>
      <c r="S1310" s="39" t="str">
        <f>IF(ISERROR(FIND('112'!$M$9,G1310,1)),"",IF((AND(LEFT(G1310,2)=LEFT('112'!$M$9,2),B1310&lt;'112'!$N$8,$L1310='112'!$I$6)),"x",""))</f>
        <v/>
      </c>
      <c r="T1310" s="39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39" t="str">
        <f>IF(OR(TH!L1310=TH!$V$7,M1310=TH!$V$7),"x","")</f>
        <v/>
      </c>
      <c r="W1310" s="39" t="str">
        <f>IF(AND(B1310&gt;='IN-NX'!$P$3,B1310&lt;='IN-NX'!$Q$3,'IN-NX'!$D$7=D1310,OR(LEFT(L1310,2)="15",AND(LEFT(M1310,2)&lt;&gt;"15",LEFT(M1310,2)&lt;&gt;"33"))),"x","")</f>
        <v/>
      </c>
      <c r="X1310" s="39" t="str">
        <f>IF(AND(OR(LEFT(TH!L1310,2)="15",LEFT(TH!M1310,2)="15"),'152-CT'!$J$8=TH!F1310),"x","")</f>
        <v/>
      </c>
      <c r="Y1310" s="39" t="str">
        <f>IF(AND(OR(LEFT(TH!L1310,2)="15",LEFT(TH!M1310,2)="15"),TK!$E$7=TH!F1310),"x","")</f>
        <v/>
      </c>
      <c r="Z1310" s="39" t="str">
        <f>IF(AND(B1310&lt;=NKC!$N$8,B1310&gt;=NKC!$M$8),"x","")</f>
        <v>x</v>
      </c>
      <c r="AA1310" s="883"/>
    </row>
    <row r="1311" spans="1:27" s="211" customFormat="1" ht="15.75" customHeight="1">
      <c r="A1311" s="204" t="str">
        <f>IF(B1311&lt;&gt;"",IF(AND(B1311&gt;=_TM1,B1311&lt;=_TM2,OR(TH!L1311="1111",TH!M1311="1111")),TH!D1311,""),"")</f>
        <v/>
      </c>
      <c r="B1311" s="36">
        <f t="shared" si="442"/>
        <v>9</v>
      </c>
      <c r="C1311" s="191">
        <f t="shared" si="443"/>
        <v>41540</v>
      </c>
      <c r="D1311" s="191" t="s">
        <v>1292</v>
      </c>
      <c r="E1311" s="191">
        <v>41540</v>
      </c>
      <c r="F1311" s="192" t="s">
        <v>591</v>
      </c>
      <c r="G1311" s="487" t="s">
        <v>936</v>
      </c>
      <c r="H1311" s="7" t="s">
        <v>1284</v>
      </c>
      <c r="I1311" s="256">
        <v>314</v>
      </c>
      <c r="J1311" s="256">
        <v>29568</v>
      </c>
      <c r="K1311" s="602">
        <f t="shared" si="444"/>
        <v>9284352</v>
      </c>
      <c r="L1311" s="39" t="s">
        <v>165</v>
      </c>
      <c r="M1311" s="603" t="s">
        <v>159</v>
      </c>
      <c r="N1311" s="39" t="str">
        <f>IF(AND('331-CT'!$E$7=TH!H1311,OR(L1311="331",M1311="331")),"331",IF(AND(OR(L1311="131",M1311="131"),H1311='131-CT'!$E$7),"131",""))</f>
        <v/>
      </c>
      <c r="O1311" s="39" t="str">
        <f>IF(AND($B1311&gt;='111'!$N$11,$B1311&lt;='111'!$O$11,OR($L1311=$O$7,$M1311=$O$7)),"x","")</f>
        <v/>
      </c>
      <c r="P1311" s="39" t="str">
        <f>IF(AND($L1311=$O$7,$B1311&lt;'111'!$N$11),"x","")</f>
        <v/>
      </c>
      <c r="Q1311" s="39" t="str">
        <f>IF(AND($M1311=$O$7,$B1311&lt;'111'!$N$11),"x","")</f>
        <v/>
      </c>
      <c r="R1311" s="39" t="str">
        <f>IF(ISERROR(FIND('112'!$M$9,G1311,1)),"",IF((AND(FIND('112'!$M$9,G1311,1)&gt;=1,$B1311&gt;='112'!$N$8,$B1311&lt;='112'!$O$8,OR($L1311='112'!$I$6,$M1311='112'!$I$6))),"x",""))</f>
        <v/>
      </c>
      <c r="S1311" s="39" t="str">
        <f>IF(ISERROR(FIND('112'!$M$9,G1311,1)),"",IF((AND(LEFT(G1311,2)=LEFT('112'!$M$9,2),B1311&lt;'112'!$N$8,$L1311='112'!$I$6)),"x",""))</f>
        <v/>
      </c>
      <c r="T1311" s="39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39" t="str">
        <f>IF(OR(TH!L1311=TH!$V$7,M1311=TH!$V$7),"x","")</f>
        <v/>
      </c>
      <c r="W1311" s="39" t="str">
        <f>IF(AND(B1311&gt;='IN-NX'!$P$3,B1311&lt;='IN-NX'!$Q$3,'IN-NX'!$D$7=D1311,OR(LEFT(L1311,2)="15",AND(LEFT(M1311,2)&lt;&gt;"15",LEFT(M1311,2)&lt;&gt;"33"))),"x","")</f>
        <v/>
      </c>
      <c r="X1311" s="39" t="str">
        <f>IF(AND(OR(LEFT(TH!L1311,2)="15",LEFT(TH!M1311,2)="15"),'152-CT'!$J$8=TH!F1311),"x","")</f>
        <v/>
      </c>
      <c r="Y1311" s="39" t="str">
        <f>IF(AND(OR(LEFT(TH!L1311,2)="15",LEFT(TH!M1311,2)="15"),TK!$E$7=TH!F1311),"x","")</f>
        <v/>
      </c>
      <c r="Z1311" s="39" t="str">
        <f>IF(AND(B1311&lt;=NKC!$N$8,B1311&gt;=NKC!$M$8),"x","")</f>
        <v>x</v>
      </c>
      <c r="AA1311" s="883"/>
    </row>
    <row r="1312" spans="1:27" s="211" customFormat="1" ht="15.75" customHeight="1">
      <c r="A1312" s="204" t="str">
        <f>IF(B1312&lt;&gt;"",IF(AND(B1312&gt;=_TM1,B1312&lt;=_TM2,OR(TH!L1312="1111",TH!M1312="1111")),TH!D1312,""),"")</f>
        <v/>
      </c>
      <c r="B1312" s="36">
        <f t="shared" si="442"/>
        <v>9</v>
      </c>
      <c r="C1312" s="191">
        <f t="shared" si="443"/>
        <v>41544</v>
      </c>
      <c r="D1312" s="191" t="s">
        <v>1292</v>
      </c>
      <c r="E1312" s="191">
        <v>41544</v>
      </c>
      <c r="F1312" s="192" t="s">
        <v>650</v>
      </c>
      <c r="G1312" s="487" t="s">
        <v>937</v>
      </c>
      <c r="H1312" s="7" t="s">
        <v>1284</v>
      </c>
      <c r="I1312" s="256">
        <v>1004</v>
      </c>
      <c r="J1312" s="256">
        <v>8462.418420401089</v>
      </c>
      <c r="K1312" s="602">
        <f t="shared" si="444"/>
        <v>8496268</v>
      </c>
      <c r="L1312" s="39" t="s">
        <v>165</v>
      </c>
      <c r="M1312" s="603" t="s">
        <v>159</v>
      </c>
      <c r="N1312" s="39" t="str">
        <f>IF(AND('331-CT'!$E$7=TH!H1312,OR(L1312="331",M1312="331")),"331",IF(AND(OR(L1312="131",M1312="131"),H1312='131-CT'!$E$7),"131",""))</f>
        <v/>
      </c>
      <c r="O1312" s="39" t="str">
        <f>IF(AND($B1312&gt;='111'!$N$11,$B1312&lt;='111'!$O$11,OR($L1312=$O$7,$M1312=$O$7)),"x","")</f>
        <v/>
      </c>
      <c r="P1312" s="39" t="str">
        <f>IF(AND($L1312=$O$7,$B1312&lt;'111'!$N$11),"x","")</f>
        <v/>
      </c>
      <c r="Q1312" s="39" t="str">
        <f>IF(AND($M1312=$O$7,$B1312&lt;'111'!$N$11),"x","")</f>
        <v/>
      </c>
      <c r="R1312" s="39" t="str">
        <f>IF(ISERROR(FIND('112'!$M$9,G1312,1)),"",IF((AND(FIND('112'!$M$9,G1312,1)&gt;=1,$B1312&gt;='112'!$N$8,$B1312&lt;='112'!$O$8,OR($L1312='112'!$I$6,$M1312='112'!$I$6))),"x",""))</f>
        <v/>
      </c>
      <c r="S1312" s="39" t="str">
        <f>IF(ISERROR(FIND('112'!$M$9,G1312,1)),"",IF((AND(LEFT(G1312,2)=LEFT('112'!$M$9,2),B1312&lt;'112'!$N$8,$L1312='112'!$I$6)),"x",""))</f>
        <v/>
      </c>
      <c r="T1312" s="39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39" t="str">
        <f>IF(OR(TH!L1312=TH!$V$7,M1312=TH!$V$7),"x","")</f>
        <v/>
      </c>
      <c r="W1312" s="39" t="str">
        <f>IF(AND(B1312&gt;='IN-NX'!$P$3,B1312&lt;='IN-NX'!$Q$3,'IN-NX'!$D$7=D1312,OR(LEFT(L1312,2)="15",AND(LEFT(M1312,2)&lt;&gt;"15",LEFT(M1312,2)&lt;&gt;"33"))),"x","")</f>
        <v/>
      </c>
      <c r="X1312" s="39" t="str">
        <f>IF(AND(OR(LEFT(TH!L1312,2)="15",LEFT(TH!M1312,2)="15"),'152-CT'!$J$8=TH!F1312),"x","")</f>
        <v/>
      </c>
      <c r="Y1312" s="39" t="str">
        <f>IF(AND(OR(LEFT(TH!L1312,2)="15",LEFT(TH!M1312,2)="15"),TK!$E$7=TH!F1312),"x","")</f>
        <v/>
      </c>
      <c r="Z1312" s="39" t="str">
        <f>IF(AND(B1312&lt;=NKC!$N$8,B1312&gt;=NKC!$M$8),"x","")</f>
        <v>x</v>
      </c>
      <c r="AA1312" s="883"/>
    </row>
    <row r="1313" spans="1:27" s="211" customFormat="1" ht="15.75" customHeight="1">
      <c r="A1313" s="204" t="str">
        <f>IF(B1313&lt;&gt;"",IF(AND(B1313&gt;=_TM1,B1313&lt;=_TM2,OR(TH!L1313="1111",TH!M1313="1111")),TH!D1313,""),"")</f>
        <v/>
      </c>
      <c r="B1313" s="36">
        <f t="shared" si="442"/>
        <v>9</v>
      </c>
      <c r="C1313" s="191">
        <f t="shared" si="443"/>
        <v>41544</v>
      </c>
      <c r="D1313" s="191" t="s">
        <v>1292</v>
      </c>
      <c r="E1313" s="191">
        <v>41544</v>
      </c>
      <c r="F1313" s="192" t="s">
        <v>1230</v>
      </c>
      <c r="G1313" s="487" t="s">
        <v>939</v>
      </c>
      <c r="H1313" s="7" t="s">
        <v>1284</v>
      </c>
      <c r="I1313" s="256">
        <v>420</v>
      </c>
      <c r="J1313" s="256">
        <v>22301</v>
      </c>
      <c r="K1313" s="602">
        <f t="shared" si="444"/>
        <v>9366420</v>
      </c>
      <c r="L1313" s="39" t="s">
        <v>165</v>
      </c>
      <c r="M1313" s="603" t="s">
        <v>159</v>
      </c>
      <c r="N1313" s="39" t="str">
        <f>IF(AND('331-CT'!$E$7=TH!H1313,OR(L1313="331",M1313="331")),"331",IF(AND(OR(L1313="131",M1313="131"),H1313='131-CT'!$E$7),"131",""))</f>
        <v/>
      </c>
      <c r="O1313" s="39" t="str">
        <f>IF(AND($B1313&gt;='111'!$N$11,$B1313&lt;='111'!$O$11,OR($L1313=$O$7,$M1313=$O$7)),"x","")</f>
        <v/>
      </c>
      <c r="P1313" s="39" t="str">
        <f>IF(AND($L1313=$O$7,$B1313&lt;'111'!$N$11),"x","")</f>
        <v/>
      </c>
      <c r="Q1313" s="39" t="str">
        <f>IF(AND($M1313=$O$7,$B1313&lt;'111'!$N$11),"x","")</f>
        <v/>
      </c>
      <c r="R1313" s="39" t="str">
        <f>IF(ISERROR(FIND('112'!$M$9,G1313,1)),"",IF((AND(FIND('112'!$M$9,G1313,1)&gt;=1,$B1313&gt;='112'!$N$8,$B1313&lt;='112'!$O$8,OR($L1313='112'!$I$6,$M1313='112'!$I$6))),"x",""))</f>
        <v/>
      </c>
      <c r="S1313" s="39" t="str">
        <f>IF(ISERROR(FIND('112'!$M$9,G1313,1)),"",IF((AND(LEFT(G1313,2)=LEFT('112'!$M$9,2),B1313&lt;'112'!$N$8,$L1313='112'!$I$6)),"x",""))</f>
        <v/>
      </c>
      <c r="T1313" s="39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39" t="str">
        <f>IF(OR(TH!L1313=TH!$V$7,M1313=TH!$V$7),"x","")</f>
        <v/>
      </c>
      <c r="W1313" s="39" t="str">
        <f>IF(AND(B1313&gt;='IN-NX'!$P$3,B1313&lt;='IN-NX'!$Q$3,'IN-NX'!$D$7=D1313,OR(LEFT(L1313,2)="15",AND(LEFT(M1313,2)&lt;&gt;"15",LEFT(M1313,2)&lt;&gt;"33"))),"x","")</f>
        <v/>
      </c>
      <c r="X1313" s="39" t="str">
        <f>IF(AND(OR(LEFT(TH!L1313,2)="15",LEFT(TH!M1313,2)="15"),'152-CT'!$J$8=TH!F1313),"x","")</f>
        <v/>
      </c>
      <c r="Y1313" s="39" t="str">
        <f>IF(AND(OR(LEFT(TH!L1313,2)="15",LEFT(TH!M1313,2)="15"),TK!$E$7=TH!F1313),"x","")</f>
        <v/>
      </c>
      <c r="Z1313" s="39" t="str">
        <f>IF(AND(B1313&lt;=NKC!$N$8,B1313&gt;=NKC!$M$8),"x","")</f>
        <v>x</v>
      </c>
      <c r="AA1313" s="883"/>
    </row>
    <row r="1314" spans="1:27" s="211" customFormat="1" ht="15.75" customHeight="1">
      <c r="A1314" s="204" t="str">
        <f>IF(B1314&lt;&gt;"",IF(AND(B1314&gt;=_TM1,B1314&lt;=_TM2,OR(TH!L1314="1111",TH!M1314="1111")),TH!D1314,""),"")</f>
        <v/>
      </c>
      <c r="B1314" s="36">
        <f t="shared" si="442"/>
        <v>9</v>
      </c>
      <c r="C1314" s="191">
        <f t="shared" si="443"/>
        <v>41544</v>
      </c>
      <c r="D1314" s="191" t="s">
        <v>1292</v>
      </c>
      <c r="E1314" s="191">
        <v>41544</v>
      </c>
      <c r="F1314" s="192" t="s">
        <v>591</v>
      </c>
      <c r="G1314" s="487" t="s">
        <v>939</v>
      </c>
      <c r="H1314" s="7" t="s">
        <v>1284</v>
      </c>
      <c r="I1314" s="256">
        <v>172</v>
      </c>
      <c r="J1314" s="256">
        <v>29568</v>
      </c>
      <c r="K1314" s="602">
        <f t="shared" si="444"/>
        <v>5085696</v>
      </c>
      <c r="L1314" s="39" t="s">
        <v>165</v>
      </c>
      <c r="M1314" s="603" t="s">
        <v>159</v>
      </c>
      <c r="N1314" s="39" t="str">
        <f>IF(AND('331-CT'!$E$7=TH!H1314,OR(L1314="331",M1314="331")),"331",IF(AND(OR(L1314="131",M1314="131"),H1314='131-CT'!$E$7),"131",""))</f>
        <v/>
      </c>
      <c r="O1314" s="39" t="str">
        <f>IF(AND($B1314&gt;='111'!$N$11,$B1314&lt;='111'!$O$11,OR($L1314=$O$7,$M1314=$O$7)),"x","")</f>
        <v/>
      </c>
      <c r="P1314" s="39" t="str">
        <f>IF(AND($L1314=$O$7,$B1314&lt;'111'!$N$11),"x","")</f>
        <v/>
      </c>
      <c r="Q1314" s="39" t="str">
        <f>IF(AND($M1314=$O$7,$B1314&lt;'111'!$N$11),"x","")</f>
        <v/>
      </c>
      <c r="R1314" s="39" t="str">
        <f>IF(ISERROR(FIND('112'!$M$9,G1314,1)),"",IF((AND(FIND('112'!$M$9,G1314,1)&gt;=1,$B1314&gt;='112'!$N$8,$B1314&lt;='112'!$O$8,OR($L1314='112'!$I$6,$M1314='112'!$I$6))),"x",""))</f>
        <v/>
      </c>
      <c r="S1314" s="39" t="str">
        <f>IF(ISERROR(FIND('112'!$M$9,G1314,1)),"",IF((AND(LEFT(G1314,2)=LEFT('112'!$M$9,2),B1314&lt;'112'!$N$8,$L1314='112'!$I$6)),"x",""))</f>
        <v/>
      </c>
      <c r="T1314" s="39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39" t="str">
        <f>IF(OR(TH!L1314=TH!$V$7,M1314=TH!$V$7),"x","")</f>
        <v/>
      </c>
      <c r="W1314" s="39" t="str">
        <f>IF(AND(B1314&gt;='IN-NX'!$P$3,B1314&lt;='IN-NX'!$Q$3,'IN-NX'!$D$7=D1314,OR(LEFT(L1314,2)="15",AND(LEFT(M1314,2)&lt;&gt;"15",LEFT(M1314,2)&lt;&gt;"33"))),"x","")</f>
        <v/>
      </c>
      <c r="X1314" s="39" t="str">
        <f>IF(AND(OR(LEFT(TH!L1314,2)="15",LEFT(TH!M1314,2)="15"),'152-CT'!$J$8=TH!F1314),"x","")</f>
        <v/>
      </c>
      <c r="Y1314" s="39" t="str">
        <f>IF(AND(OR(LEFT(TH!L1314,2)="15",LEFT(TH!M1314,2)="15"),TK!$E$7=TH!F1314),"x","")</f>
        <v/>
      </c>
      <c r="Z1314" s="39" t="str">
        <f>IF(AND(B1314&lt;=NKC!$N$8,B1314&gt;=NKC!$M$8),"x","")</f>
        <v>x</v>
      </c>
      <c r="AA1314" s="883"/>
    </row>
    <row r="1315" spans="1:27" s="211" customFormat="1" ht="15.75" customHeight="1">
      <c r="A1315" s="204" t="str">
        <f>IF(B1315&lt;&gt;"",IF(AND(B1315&gt;=_TM1,B1315&lt;=_TM2,OR(TH!L1315="1111",TH!M1315="1111")),TH!D1315,""),"")</f>
        <v/>
      </c>
      <c r="B1315" s="36">
        <f t="shared" si="442"/>
        <v>9</v>
      </c>
      <c r="C1315" s="191">
        <f t="shared" si="443"/>
        <v>41544</v>
      </c>
      <c r="D1315" s="191" t="s">
        <v>1292</v>
      </c>
      <c r="E1315" s="191">
        <v>41544</v>
      </c>
      <c r="F1315" s="192" t="s">
        <v>1253</v>
      </c>
      <c r="G1315" s="487" t="s">
        <v>942</v>
      </c>
      <c r="H1315" s="7" t="s">
        <v>1284</v>
      </c>
      <c r="I1315" s="256">
        <v>168</v>
      </c>
      <c r="J1315" s="256">
        <v>23102</v>
      </c>
      <c r="K1315" s="602">
        <f t="shared" si="444"/>
        <v>3881136</v>
      </c>
      <c r="L1315" s="39" t="s">
        <v>165</v>
      </c>
      <c r="M1315" s="603" t="s">
        <v>159</v>
      </c>
      <c r="N1315" s="39" t="str">
        <f>IF(AND('331-CT'!$E$7=TH!H1315,OR(L1315="331",M1315="331")),"331",IF(AND(OR(L1315="131",M1315="131"),H1315='131-CT'!$E$7),"131",""))</f>
        <v/>
      </c>
      <c r="O1315" s="39" t="str">
        <f>IF(AND($B1315&gt;='111'!$N$11,$B1315&lt;='111'!$O$11,OR($L1315=$O$7,$M1315=$O$7)),"x","")</f>
        <v/>
      </c>
      <c r="P1315" s="39" t="str">
        <f>IF(AND($L1315=$O$7,$B1315&lt;'111'!$N$11),"x","")</f>
        <v/>
      </c>
      <c r="Q1315" s="39" t="str">
        <f>IF(AND($M1315=$O$7,$B1315&lt;'111'!$N$11),"x","")</f>
        <v/>
      </c>
      <c r="R1315" s="39" t="str">
        <f>IF(ISERROR(FIND('112'!$M$9,G1315,1)),"",IF((AND(FIND('112'!$M$9,G1315,1)&gt;=1,$B1315&gt;='112'!$N$8,$B1315&lt;='112'!$O$8,OR($L1315='112'!$I$6,$M1315='112'!$I$6))),"x",""))</f>
        <v/>
      </c>
      <c r="S1315" s="39" t="str">
        <f>IF(ISERROR(FIND('112'!$M$9,G1315,1)),"",IF((AND(LEFT(G1315,2)=LEFT('112'!$M$9,2),B1315&lt;'112'!$N$8,$L1315='112'!$I$6)),"x",""))</f>
        <v/>
      </c>
      <c r="T1315" s="39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39" t="str">
        <f>IF(OR(TH!L1315=TH!$V$7,M1315=TH!$V$7),"x","")</f>
        <v/>
      </c>
      <c r="W1315" s="39" t="str">
        <f>IF(AND(B1315&gt;='IN-NX'!$P$3,B1315&lt;='IN-NX'!$Q$3,'IN-NX'!$D$7=D1315,OR(LEFT(L1315,2)="15",AND(LEFT(M1315,2)&lt;&gt;"15",LEFT(M1315,2)&lt;&gt;"33"))),"x","")</f>
        <v/>
      </c>
      <c r="X1315" s="39" t="str">
        <f>IF(AND(OR(LEFT(TH!L1315,2)="15",LEFT(TH!M1315,2)="15"),'152-CT'!$J$8=TH!F1315),"x","")</f>
        <v/>
      </c>
      <c r="Y1315" s="39" t="str">
        <f>IF(AND(OR(LEFT(TH!L1315,2)="15",LEFT(TH!M1315,2)="15"),TK!$E$7=TH!F1315),"x","")</f>
        <v/>
      </c>
      <c r="Z1315" s="39" t="str">
        <f>IF(AND(B1315&lt;=NKC!$N$8,B1315&gt;=NKC!$M$8),"x","")</f>
        <v>x</v>
      </c>
      <c r="AA1315" s="883"/>
    </row>
    <row r="1316" spans="1:27" s="211" customFormat="1" ht="15.75" customHeight="1">
      <c r="A1316" s="204" t="str">
        <f>IF(B1316&lt;&gt;"",IF(AND(B1316&gt;=_TM1,B1316&lt;=_TM2,OR(TH!L1316="1111",TH!M1316="1111")),TH!D1316,""),"")</f>
        <v/>
      </c>
      <c r="B1316" s="36">
        <f t="shared" si="442"/>
        <v>9</v>
      </c>
      <c r="C1316" s="191">
        <f t="shared" si="443"/>
        <v>41544</v>
      </c>
      <c r="D1316" s="191" t="s">
        <v>1292</v>
      </c>
      <c r="E1316" s="191">
        <v>41544</v>
      </c>
      <c r="F1316" s="192" t="s">
        <v>702</v>
      </c>
      <c r="G1316" s="487" t="s">
        <v>942</v>
      </c>
      <c r="H1316" s="7" t="s">
        <v>1284</v>
      </c>
      <c r="I1316" s="256">
        <v>125</v>
      </c>
      <c r="J1316" s="256">
        <v>14112</v>
      </c>
      <c r="K1316" s="602">
        <f t="shared" si="444"/>
        <v>1764000</v>
      </c>
      <c r="L1316" s="39" t="s">
        <v>165</v>
      </c>
      <c r="M1316" s="603" t="s">
        <v>159</v>
      </c>
      <c r="N1316" s="39" t="str">
        <f>IF(AND('331-CT'!$E$7=TH!H1316,OR(L1316="331",M1316="331")),"331",IF(AND(OR(L1316="131",M1316="131"),H1316='131-CT'!$E$7),"131",""))</f>
        <v/>
      </c>
      <c r="O1316" s="39" t="str">
        <f>IF(AND($B1316&gt;='111'!$N$11,$B1316&lt;='111'!$O$11,OR($L1316=$O$7,$M1316=$O$7)),"x","")</f>
        <v/>
      </c>
      <c r="P1316" s="39" t="str">
        <f>IF(AND($L1316=$O$7,$B1316&lt;'111'!$N$11),"x","")</f>
        <v/>
      </c>
      <c r="Q1316" s="39" t="str">
        <f>IF(AND($M1316=$O$7,$B1316&lt;'111'!$N$11),"x","")</f>
        <v/>
      </c>
      <c r="R1316" s="39" t="str">
        <f>IF(ISERROR(FIND('112'!$M$9,G1316,1)),"",IF((AND(FIND('112'!$M$9,G1316,1)&gt;=1,$B1316&gt;='112'!$N$8,$B1316&lt;='112'!$O$8,OR($L1316='112'!$I$6,$M1316='112'!$I$6))),"x",""))</f>
        <v/>
      </c>
      <c r="S1316" s="39" t="str">
        <f>IF(ISERROR(FIND('112'!$M$9,G1316,1)),"",IF((AND(LEFT(G1316,2)=LEFT('112'!$M$9,2),B1316&lt;'112'!$N$8,$L1316='112'!$I$6)),"x",""))</f>
        <v/>
      </c>
      <c r="T1316" s="39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39" t="str">
        <f>IF(OR(TH!L1316=TH!$V$7,M1316=TH!$V$7),"x","")</f>
        <v/>
      </c>
      <c r="W1316" s="39" t="str">
        <f>IF(AND(B1316&gt;='IN-NX'!$P$3,B1316&lt;='IN-NX'!$Q$3,'IN-NX'!$D$7=D1316,OR(LEFT(L1316,2)="15",AND(LEFT(M1316,2)&lt;&gt;"15",LEFT(M1316,2)&lt;&gt;"33"))),"x","")</f>
        <v/>
      </c>
      <c r="X1316" s="39" t="str">
        <f>IF(AND(OR(LEFT(TH!L1316,2)="15",LEFT(TH!M1316,2)="15"),'152-CT'!$J$8=TH!F1316),"x","")</f>
        <v/>
      </c>
      <c r="Y1316" s="39" t="str">
        <f>IF(AND(OR(LEFT(TH!L1316,2)="15",LEFT(TH!M1316,2)="15"),TK!$E$7=TH!F1316),"x","")</f>
        <v/>
      </c>
      <c r="Z1316" s="39" t="str">
        <f>IF(AND(B1316&lt;=NKC!$N$8,B1316&gt;=NKC!$M$8),"x","")</f>
        <v>x</v>
      </c>
      <c r="AA1316" s="883"/>
    </row>
    <row r="1317" spans="1:27" s="211" customFormat="1" ht="15.75" customHeight="1">
      <c r="A1317" s="204" t="str">
        <f>IF(B1317&lt;&gt;"",IF(AND(B1317&gt;=_TM1,B1317&lt;=_TM2,OR(TH!L1317="1111",TH!M1317="1111")),TH!D1317,""),"")</f>
        <v/>
      </c>
      <c r="B1317" s="36">
        <f t="shared" si="442"/>
        <v>9</v>
      </c>
      <c r="C1317" s="191">
        <f t="shared" si="443"/>
        <v>41544</v>
      </c>
      <c r="D1317" s="191" t="s">
        <v>1292</v>
      </c>
      <c r="E1317" s="191">
        <v>41544</v>
      </c>
      <c r="F1317" s="192" t="s">
        <v>702</v>
      </c>
      <c r="G1317" s="487" t="s">
        <v>942</v>
      </c>
      <c r="H1317" s="7" t="s">
        <v>1284</v>
      </c>
      <c r="I1317" s="256">
        <v>125</v>
      </c>
      <c r="J1317" s="256">
        <v>14112</v>
      </c>
      <c r="K1317" s="602">
        <f t="shared" si="444"/>
        <v>1764000</v>
      </c>
      <c r="L1317" s="39" t="s">
        <v>165</v>
      </c>
      <c r="M1317" s="603" t="s">
        <v>159</v>
      </c>
      <c r="N1317" s="39" t="str">
        <f>IF(AND('331-CT'!$E$7=TH!H1317,OR(L1317="331",M1317="331")),"331",IF(AND(OR(L1317="131",M1317="131"),H1317='131-CT'!$E$7),"131",""))</f>
        <v/>
      </c>
      <c r="O1317" s="39" t="str">
        <f>IF(AND($B1317&gt;='111'!$N$11,$B1317&lt;='111'!$O$11,OR($L1317=$O$7,$M1317=$O$7)),"x","")</f>
        <v/>
      </c>
      <c r="P1317" s="39" t="str">
        <f>IF(AND($L1317=$O$7,$B1317&lt;'111'!$N$11),"x","")</f>
        <v/>
      </c>
      <c r="Q1317" s="39" t="str">
        <f>IF(AND($M1317=$O$7,$B1317&lt;'111'!$N$11),"x","")</f>
        <v/>
      </c>
      <c r="R1317" s="39" t="str">
        <f>IF(ISERROR(FIND('112'!$M$9,G1317,1)),"",IF((AND(FIND('112'!$M$9,G1317,1)&gt;=1,$B1317&gt;='112'!$N$8,$B1317&lt;='112'!$O$8,OR($L1317='112'!$I$6,$M1317='112'!$I$6))),"x",""))</f>
        <v/>
      </c>
      <c r="S1317" s="39" t="str">
        <f>IF(ISERROR(FIND('112'!$M$9,G1317,1)),"",IF((AND(LEFT(G1317,2)=LEFT('112'!$M$9,2),B1317&lt;'112'!$N$8,$L1317='112'!$I$6)),"x",""))</f>
        <v/>
      </c>
      <c r="T1317" s="39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39" t="str">
        <f>IF(OR(TH!L1317=TH!$V$7,M1317=TH!$V$7),"x","")</f>
        <v/>
      </c>
      <c r="W1317" s="39" t="str">
        <f>IF(AND(B1317&gt;='IN-NX'!$P$3,B1317&lt;='IN-NX'!$Q$3,'IN-NX'!$D$7=D1317,OR(LEFT(L1317,2)="15",AND(LEFT(M1317,2)&lt;&gt;"15",LEFT(M1317,2)&lt;&gt;"33"))),"x","")</f>
        <v/>
      </c>
      <c r="X1317" s="39" t="str">
        <f>IF(AND(OR(LEFT(TH!L1317,2)="15",LEFT(TH!M1317,2)="15"),'152-CT'!$J$8=TH!F1317),"x","")</f>
        <v/>
      </c>
      <c r="Y1317" s="39" t="str">
        <f>IF(AND(OR(LEFT(TH!L1317,2)="15",LEFT(TH!M1317,2)="15"),TK!$E$7=TH!F1317),"x","")</f>
        <v/>
      </c>
      <c r="Z1317" s="39" t="str">
        <f>IF(AND(B1317&lt;=NKC!$N$8,B1317&gt;=NKC!$M$8),"x","")</f>
        <v>x</v>
      </c>
      <c r="AA1317" s="883"/>
    </row>
    <row r="1318" spans="1:27" s="211" customFormat="1" ht="15.75" customHeight="1">
      <c r="A1318" s="204" t="str">
        <f>IF(B1318&lt;&gt;"",IF(AND(B1318&gt;=_TM1,B1318&lt;=_TM2,OR(TH!L1318="1111",TH!M1318="1111")),TH!D1318,""),"")</f>
        <v/>
      </c>
      <c r="B1318" s="36">
        <f t="shared" si="442"/>
        <v>9</v>
      </c>
      <c r="C1318" s="191">
        <f t="shared" si="443"/>
        <v>41544</v>
      </c>
      <c r="D1318" s="191" t="s">
        <v>1292</v>
      </c>
      <c r="E1318" s="37">
        <v>41544</v>
      </c>
      <c r="F1318" s="40" t="s">
        <v>1196</v>
      </c>
      <c r="G1318" s="40" t="s">
        <v>942</v>
      </c>
      <c r="H1318" s="7" t="s">
        <v>1284</v>
      </c>
      <c r="I1318" s="256">
        <v>105</v>
      </c>
      <c r="J1318" s="256">
        <v>17259</v>
      </c>
      <c r="K1318" s="602">
        <f t="shared" si="444"/>
        <v>1812195</v>
      </c>
      <c r="L1318" s="39" t="s">
        <v>165</v>
      </c>
      <c r="M1318" s="603" t="s">
        <v>159</v>
      </c>
      <c r="N1318" s="39" t="str">
        <f>IF(AND('331-CT'!$E$7=TH!H1318,OR(L1318="331",M1318="331")),"331",IF(AND(OR(L1318="131",M1318="131"),H1318='131-CT'!$E$7),"131",""))</f>
        <v/>
      </c>
      <c r="O1318" s="39" t="str">
        <f>IF(AND($B1318&gt;='111'!$N$11,$B1318&lt;='111'!$O$11,OR($L1318=$O$7,$M1318=$O$7)),"x","")</f>
        <v/>
      </c>
      <c r="P1318" s="39" t="str">
        <f>IF(AND($L1318=$O$7,$B1318&lt;'111'!$N$11),"x","")</f>
        <v/>
      </c>
      <c r="Q1318" s="39" t="str">
        <f>IF(AND($M1318=$O$7,$B1318&lt;'111'!$N$11),"x","")</f>
        <v/>
      </c>
      <c r="R1318" s="39" t="str">
        <f>IF(ISERROR(FIND('112'!$M$9,G1318,1)),"",IF((AND(FIND('112'!$M$9,G1318,1)&gt;=1,$B1318&gt;='112'!$N$8,$B1318&lt;='112'!$O$8,OR($L1318='112'!$I$6,$M1318='112'!$I$6))),"x",""))</f>
        <v/>
      </c>
      <c r="S1318" s="39" t="str">
        <f>IF(ISERROR(FIND('112'!$M$9,G1318,1)),"",IF((AND(LEFT(G1318,2)=LEFT('112'!$M$9,2),B1318&lt;'112'!$N$8,$L1318='112'!$I$6)),"x",""))</f>
        <v/>
      </c>
      <c r="T1318" s="39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39" t="str">
        <f>IF(OR(TH!L1318=TH!$V$7,M1318=TH!$V$7),"x","")</f>
        <v/>
      </c>
      <c r="W1318" s="39" t="str">
        <f>IF(AND(B1318&gt;='IN-NX'!$P$3,B1318&lt;='IN-NX'!$Q$3,'IN-NX'!$D$7=D1318,OR(LEFT(L1318,2)="15",AND(LEFT(M1318,2)&lt;&gt;"15",LEFT(M1318,2)&lt;&gt;"33"))),"x","")</f>
        <v/>
      </c>
      <c r="X1318" s="39" t="str">
        <f>IF(AND(OR(LEFT(TH!L1318,2)="15",LEFT(TH!M1318,2)="15"),'152-CT'!$J$8=TH!F1318),"x","")</f>
        <v/>
      </c>
      <c r="Y1318" s="39" t="str">
        <f>IF(AND(OR(LEFT(TH!L1318,2)="15",LEFT(TH!M1318,2)="15"),TK!$E$7=TH!F1318),"x","")</f>
        <v/>
      </c>
      <c r="Z1318" s="39" t="str">
        <f>IF(AND(B1318&lt;=NKC!$N$8,B1318&gt;=NKC!$M$8),"x","")</f>
        <v>x</v>
      </c>
      <c r="AA1318" s="883"/>
    </row>
    <row r="1319" spans="1:27" s="211" customFormat="1" ht="15.75" customHeight="1">
      <c r="A1319" s="204" t="str">
        <f>IF(B1319&lt;&gt;"",IF(AND(B1319&gt;=_TM1,B1319&lt;=_TM2,OR(TH!L1319="1111",TH!M1319="1111")),TH!D1319,""),"")</f>
        <v/>
      </c>
      <c r="B1319" s="36">
        <f t="shared" si="442"/>
        <v>9</v>
      </c>
      <c r="C1319" s="191">
        <f t="shared" si="443"/>
        <v>41544</v>
      </c>
      <c r="D1319" s="191" t="s">
        <v>1292</v>
      </c>
      <c r="E1319" s="37">
        <v>41544</v>
      </c>
      <c r="F1319" s="40" t="s">
        <v>713</v>
      </c>
      <c r="G1319" s="40" t="s">
        <v>945</v>
      </c>
      <c r="H1319" s="7" t="s">
        <v>1284</v>
      </c>
      <c r="I1319" s="256">
        <v>705</v>
      </c>
      <c r="J1319" s="256">
        <v>20635.247863247863</v>
      </c>
      <c r="K1319" s="602">
        <f t="shared" si="444"/>
        <v>14547850</v>
      </c>
      <c r="L1319" s="39" t="s">
        <v>165</v>
      </c>
      <c r="M1319" s="603" t="s">
        <v>159</v>
      </c>
      <c r="N1319" s="39" t="str">
        <f>IF(AND('331-CT'!$E$7=TH!H1319,OR(L1319="331",M1319="331")),"331",IF(AND(OR(L1319="131",M1319="131"),H1319='131-CT'!$E$7),"131",""))</f>
        <v/>
      </c>
      <c r="O1319" s="39" t="str">
        <f>IF(AND($B1319&gt;='111'!$N$11,$B1319&lt;='111'!$O$11,OR($L1319=$O$7,$M1319=$O$7)),"x","")</f>
        <v/>
      </c>
      <c r="P1319" s="39" t="str">
        <f>IF(AND($L1319=$O$7,$B1319&lt;'111'!$N$11),"x","")</f>
        <v/>
      </c>
      <c r="Q1319" s="39" t="str">
        <f>IF(AND($M1319=$O$7,$B1319&lt;'111'!$N$11),"x","")</f>
        <v/>
      </c>
      <c r="R1319" s="39" t="str">
        <f>IF(ISERROR(FIND('112'!$M$9,G1319,1)),"",IF((AND(FIND('112'!$M$9,G1319,1)&gt;=1,$B1319&gt;='112'!$N$8,$B1319&lt;='112'!$O$8,OR($L1319='112'!$I$6,$M1319='112'!$I$6))),"x",""))</f>
        <v/>
      </c>
      <c r="S1319" s="39" t="str">
        <f>IF(ISERROR(FIND('112'!$M$9,G1319,1)),"",IF((AND(LEFT(G1319,2)=LEFT('112'!$M$9,2),B1319&lt;'112'!$N$8,$L1319='112'!$I$6)),"x",""))</f>
        <v/>
      </c>
      <c r="T1319" s="39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39" t="str">
        <f>IF(OR(TH!L1319=TH!$V$7,M1319=TH!$V$7),"x","")</f>
        <v/>
      </c>
      <c r="W1319" s="39" t="str">
        <f>IF(AND(B1319&gt;='IN-NX'!$P$3,B1319&lt;='IN-NX'!$Q$3,'IN-NX'!$D$7=D1319,OR(LEFT(L1319,2)="15",AND(LEFT(M1319,2)&lt;&gt;"15",LEFT(M1319,2)&lt;&gt;"33"))),"x","")</f>
        <v/>
      </c>
      <c r="X1319" s="39" t="str">
        <f>IF(AND(OR(LEFT(TH!L1319,2)="15",LEFT(TH!M1319,2)="15"),'152-CT'!$J$8=TH!F1319),"x","")</f>
        <v/>
      </c>
      <c r="Y1319" s="39" t="str">
        <f>IF(AND(OR(LEFT(TH!L1319,2)="15",LEFT(TH!M1319,2)="15"),TK!$E$7=TH!F1319),"x","")</f>
        <v/>
      </c>
      <c r="Z1319" s="39" t="str">
        <f>IF(AND(B1319&lt;=NKC!$N$8,B1319&gt;=NKC!$M$8),"x","")</f>
        <v>x</v>
      </c>
      <c r="AA1319" s="883"/>
    </row>
    <row r="1320" spans="1:27" s="840" customFormat="1" ht="15.75" customHeight="1">
      <c r="A1320" s="902" t="str">
        <f>IF(B1320&lt;&gt;"",IF(AND(B1320&gt;=_TM1,B1320&lt;=_TM2,OR(TH!L1320="1111",TH!M1320="1111")),TH!D1320,""),"")</f>
        <v/>
      </c>
      <c r="B1320" s="838">
        <f t="shared" ref="B1320:B1383" si="445">IF(C1320&lt;&gt;"",MONTH(C1320),"")</f>
        <v>9</v>
      </c>
      <c r="C1320" s="903">
        <f t="shared" si="443"/>
        <v>41545</v>
      </c>
      <c r="D1320" s="191" t="s">
        <v>1292</v>
      </c>
      <c r="E1320" s="904">
        <v>41545</v>
      </c>
      <c r="F1320" s="905" t="s">
        <v>688</v>
      </c>
      <c r="G1320" s="905" t="s">
        <v>946</v>
      </c>
      <c r="H1320" s="906" t="s">
        <v>1284</v>
      </c>
      <c r="I1320" s="914">
        <v>64</v>
      </c>
      <c r="J1320" s="914">
        <v>16000</v>
      </c>
      <c r="K1320" s="835">
        <f t="shared" si="444"/>
        <v>1024000</v>
      </c>
      <c r="L1320" s="828" t="s">
        <v>165</v>
      </c>
      <c r="M1320" s="909" t="s">
        <v>159</v>
      </c>
      <c r="N1320" s="828" t="str">
        <f>IF(AND('331-CT'!$E$7=TH!H1320,OR(L1320="331",M1320="331")),"331",IF(AND(OR(L1320="131",M1320="131"),H1320='131-CT'!$E$7),"131",""))</f>
        <v/>
      </c>
      <c r="O1320" s="828" t="str">
        <f>IF(AND($B1320&gt;='111'!$N$11,$B1320&lt;='111'!$O$11,OR($L1320=$O$7,$M1320=$O$7)),"x","")</f>
        <v/>
      </c>
      <c r="P1320" s="828" t="str">
        <f>IF(AND($L1320=$O$7,$B1320&lt;'111'!$N$11),"x","")</f>
        <v/>
      </c>
      <c r="Q1320" s="828" t="str">
        <f>IF(AND($M1320=$O$7,$B1320&lt;'111'!$N$11),"x","")</f>
        <v/>
      </c>
      <c r="R1320" s="828" t="str">
        <f>IF(ISERROR(FIND('112'!$M$9,G1320,1)),"",IF((AND(FIND('112'!$M$9,G1320,1)&gt;=1,$B1320&gt;='112'!$N$8,$B1320&lt;='112'!$O$8,OR($L1320='112'!$I$6,$M1320='112'!$I$6))),"x",""))</f>
        <v/>
      </c>
      <c r="S1320" s="828" t="str">
        <f>IF(ISERROR(FIND('112'!$M$9,G1320,1)),"",IF((AND(LEFT(G1320,2)=LEFT('112'!$M$9,2),B1320&lt;'112'!$N$8,$L1320='112'!$I$6)),"x",""))</f>
        <v/>
      </c>
      <c r="T1320" s="828" t="str">
        <f>IF(ISERROR(FIND('112'!$M$9,G1320,1)),"",IF((AND(RIGHT(G1320,2)=RIGHT('112'!$M$9,2),B1320&lt;'112'!$N$8,$M1320='112'!$I$6)),"x",""))</f>
        <v/>
      </c>
      <c r="U1320" s="828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828" t="str">
        <f>IF(OR(TH!L1320=TH!$V$7,M1320=TH!$V$7),"x","")</f>
        <v/>
      </c>
      <c r="W1320" s="828" t="str">
        <f>IF(AND(B1320&gt;='IN-NX'!$P$3,B1320&lt;='IN-NX'!$Q$3,'IN-NX'!$D$7=D1320,OR(LEFT(L1320,2)="15",AND(LEFT(M1320,2)&lt;&gt;"15",LEFT(M1320,2)&lt;&gt;"33"))),"x","")</f>
        <v/>
      </c>
      <c r="X1320" s="828" t="str">
        <f>IF(AND(OR(LEFT(TH!L1320,2)="15",LEFT(TH!M1320,2)="15"),'152-CT'!$J$8=TH!F1320),"x","")</f>
        <v/>
      </c>
      <c r="Y1320" s="828" t="str">
        <f>IF(AND(OR(LEFT(TH!L1320,2)="15",LEFT(TH!M1320,2)="15"),TK!$E$7=TH!F1320),"x","")</f>
        <v/>
      </c>
      <c r="Z1320" s="828" t="str">
        <f>IF(AND(B1320&lt;=NKC!$N$8,B1320&gt;=NKC!$M$8),"x","")</f>
        <v>x</v>
      </c>
      <c r="AA1320" s="910"/>
    </row>
    <row r="1321" spans="1:27" s="211" customFormat="1" ht="15.75" customHeight="1">
      <c r="A1321" s="204" t="str">
        <f>IF(B1321&lt;&gt;"",IF(AND(B1321&gt;=_TM1,B1321&lt;=_TM2,OR(TH!L1321="1111",TH!M1321="1111")),TH!D1321,""),"")</f>
        <v/>
      </c>
      <c r="B1321" s="36">
        <f t="shared" si="445"/>
        <v>9</v>
      </c>
      <c r="C1321" s="191">
        <f t="shared" si="443"/>
        <v>41545</v>
      </c>
      <c r="D1321" s="191" t="s">
        <v>1292</v>
      </c>
      <c r="E1321" s="37">
        <v>41545</v>
      </c>
      <c r="F1321" s="40" t="s">
        <v>630</v>
      </c>
      <c r="G1321" s="40" t="s">
        <v>946</v>
      </c>
      <c r="H1321" s="7" t="s">
        <v>1284</v>
      </c>
      <c r="I1321" s="256">
        <v>98</v>
      </c>
      <c r="J1321" s="256">
        <v>14784</v>
      </c>
      <c r="K1321" s="602">
        <f t="shared" si="444"/>
        <v>1448832</v>
      </c>
      <c r="L1321" s="39" t="s">
        <v>165</v>
      </c>
      <c r="M1321" s="603" t="s">
        <v>159</v>
      </c>
      <c r="N1321" s="39" t="str">
        <f>IF(AND('331-CT'!$E$7=TH!H1321,OR(L1321="331",M1321="331")),"331",IF(AND(OR(L1321="131",M1321="131"),H1321='131-CT'!$E$7),"131",""))</f>
        <v/>
      </c>
      <c r="O1321" s="39" t="str">
        <f>IF(AND($B1321&gt;='111'!$N$11,$B1321&lt;='111'!$O$11,OR($L1321=$O$7,$M1321=$O$7)),"x","")</f>
        <v/>
      </c>
      <c r="P1321" s="39" t="str">
        <f>IF(AND($L1321=$O$7,$B1321&lt;'111'!$N$11),"x","")</f>
        <v/>
      </c>
      <c r="Q1321" s="39" t="str">
        <f>IF(AND($M1321=$O$7,$B1321&lt;'111'!$N$11),"x","")</f>
        <v/>
      </c>
      <c r="R1321" s="39" t="str">
        <f>IF(ISERROR(FIND('112'!$M$9,G1321,1)),"",IF((AND(FIND('112'!$M$9,G1321,1)&gt;=1,$B1321&gt;='112'!$N$8,$B1321&lt;='112'!$O$8,OR($L1321='112'!$I$6,$M1321='112'!$I$6))),"x",""))</f>
        <v/>
      </c>
      <c r="S1321" s="39" t="str">
        <f>IF(ISERROR(FIND('112'!$M$9,G1321,1)),"",IF((AND(LEFT(G1321,2)=LEFT('112'!$M$9,2),B1321&lt;'112'!$N$8,$L1321='112'!$I$6)),"x",""))</f>
        <v/>
      </c>
      <c r="T1321" s="39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39" t="str">
        <f>IF(OR(TH!L1321=TH!$V$7,M1321=TH!$V$7),"x","")</f>
        <v/>
      </c>
      <c r="W1321" s="39" t="str">
        <f>IF(AND(B1321&gt;='IN-NX'!$P$3,B1321&lt;='IN-NX'!$Q$3,'IN-NX'!$D$7=D1321,OR(LEFT(L1321,2)="15",AND(LEFT(M1321,2)&lt;&gt;"15",LEFT(M1321,2)&lt;&gt;"33"))),"x","")</f>
        <v/>
      </c>
      <c r="X1321" s="39" t="str">
        <f>IF(AND(OR(LEFT(TH!L1321,2)="15",LEFT(TH!M1321,2)="15"),'152-CT'!$J$8=TH!F1321),"x","")</f>
        <v/>
      </c>
      <c r="Y1321" s="39" t="str">
        <f>IF(AND(OR(LEFT(TH!L1321,2)="15",LEFT(TH!M1321,2)="15"),TK!$E$7=TH!F1321),"x","")</f>
        <v/>
      </c>
      <c r="Z1321" s="39" t="str">
        <f>IF(AND(B1321&lt;=NKC!$N$8,B1321&gt;=NKC!$M$8),"x","")</f>
        <v>x</v>
      </c>
      <c r="AA1321" s="883"/>
    </row>
    <row r="1322" spans="1:27" s="211" customFormat="1" ht="15.75" customHeight="1">
      <c r="A1322" s="204" t="str">
        <f>IF(B1322&lt;&gt;"",IF(AND(B1322&gt;=_TM1,B1322&lt;=_TM2,OR(TH!L1322="1111",TH!M1322="1111")),TH!D1322,""),"")</f>
        <v/>
      </c>
      <c r="B1322" s="36">
        <f t="shared" si="445"/>
        <v>9</v>
      </c>
      <c r="C1322" s="191">
        <f t="shared" si="443"/>
        <v>41545</v>
      </c>
      <c r="D1322" s="191" t="s">
        <v>1292</v>
      </c>
      <c r="E1322" s="37">
        <v>41545</v>
      </c>
      <c r="F1322" s="40" t="s">
        <v>611</v>
      </c>
      <c r="G1322" s="40" t="s">
        <v>947</v>
      </c>
      <c r="H1322" s="7" t="s">
        <v>1284</v>
      </c>
      <c r="I1322" s="256">
        <v>682</v>
      </c>
      <c r="J1322" s="256">
        <v>8461</v>
      </c>
      <c r="K1322" s="602">
        <f t="shared" si="444"/>
        <v>5770402</v>
      </c>
      <c r="L1322" s="39" t="s">
        <v>165</v>
      </c>
      <c r="M1322" s="603" t="s">
        <v>159</v>
      </c>
      <c r="N1322" s="39" t="str">
        <f>IF(AND('331-CT'!$E$7=TH!H1322,OR(L1322="331",M1322="331")),"331",IF(AND(OR(L1322="131",M1322="131"),H1322='131-CT'!$E$7),"131",""))</f>
        <v/>
      </c>
      <c r="O1322" s="39" t="str">
        <f>IF(AND($B1322&gt;='111'!$N$11,$B1322&lt;='111'!$O$11,OR($L1322=$O$7,$M1322=$O$7)),"x","")</f>
        <v/>
      </c>
      <c r="P1322" s="39" t="str">
        <f>IF(AND($L1322=$O$7,$B1322&lt;'111'!$N$11),"x","")</f>
        <v/>
      </c>
      <c r="Q1322" s="39" t="str">
        <f>IF(AND($M1322=$O$7,$B1322&lt;'111'!$N$11),"x","")</f>
        <v/>
      </c>
      <c r="R1322" s="39" t="str">
        <f>IF(ISERROR(FIND('112'!$M$9,G1322,1)),"",IF((AND(FIND('112'!$M$9,G1322,1)&gt;=1,$B1322&gt;='112'!$N$8,$B1322&lt;='112'!$O$8,OR($L1322='112'!$I$6,$M1322='112'!$I$6))),"x",""))</f>
        <v/>
      </c>
      <c r="S1322" s="39" t="str">
        <f>IF(ISERROR(FIND('112'!$M$9,G1322,1)),"",IF((AND(LEFT(G1322,2)=LEFT('112'!$M$9,2),B1322&lt;'112'!$N$8,$L1322='112'!$I$6)),"x",""))</f>
        <v/>
      </c>
      <c r="T1322" s="39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39" t="str">
        <f>IF(OR(TH!L1322=TH!$V$7,M1322=TH!$V$7),"x","")</f>
        <v/>
      </c>
      <c r="W1322" s="39" t="str">
        <f>IF(AND(B1322&gt;='IN-NX'!$P$3,B1322&lt;='IN-NX'!$Q$3,'IN-NX'!$D$7=D1322,OR(LEFT(L1322,2)="15",AND(LEFT(M1322,2)&lt;&gt;"15",LEFT(M1322,2)&lt;&gt;"33"))),"x","")</f>
        <v/>
      </c>
      <c r="X1322" s="39" t="str">
        <f>IF(AND(OR(LEFT(TH!L1322,2)="15",LEFT(TH!M1322,2)="15"),'152-CT'!$J$8=TH!F1322),"x","")</f>
        <v/>
      </c>
      <c r="Y1322" s="39" t="str">
        <f>IF(AND(OR(LEFT(TH!L1322,2)="15",LEFT(TH!M1322,2)="15"),TK!$E$7=TH!F1322),"x","")</f>
        <v/>
      </c>
      <c r="Z1322" s="39" t="str">
        <f>IF(AND(B1322&lt;=NKC!$N$8,B1322&gt;=NKC!$M$8),"x","")</f>
        <v>x</v>
      </c>
      <c r="AA1322" s="883"/>
    </row>
    <row r="1323" spans="1:27" s="211" customFormat="1" ht="15.75" customHeight="1">
      <c r="A1323" s="204" t="str">
        <f>IF(B1323&lt;&gt;"",IF(AND(B1323&gt;=_TM1,B1323&lt;=_TM2,OR(TH!L1323="1111",TH!M1323="1111")),TH!D1323,""),"")</f>
        <v/>
      </c>
      <c r="B1323" s="36">
        <f t="shared" si="445"/>
        <v>9</v>
      </c>
      <c r="C1323" s="191">
        <f t="shared" si="443"/>
        <v>41545</v>
      </c>
      <c r="D1323" s="191" t="s">
        <v>1292</v>
      </c>
      <c r="E1323" s="37">
        <v>41545</v>
      </c>
      <c r="F1323" s="40" t="s">
        <v>674</v>
      </c>
      <c r="G1323" s="40" t="s">
        <v>947</v>
      </c>
      <c r="H1323" s="7" t="s">
        <v>1284</v>
      </c>
      <c r="I1323" s="256">
        <v>575</v>
      </c>
      <c r="J1323" s="256">
        <v>9577</v>
      </c>
      <c r="K1323" s="602">
        <f t="shared" si="444"/>
        <v>5506775</v>
      </c>
      <c r="L1323" s="39" t="s">
        <v>165</v>
      </c>
      <c r="M1323" s="603" t="s">
        <v>159</v>
      </c>
      <c r="N1323" s="39" t="str">
        <f>IF(AND('331-CT'!$E$7=TH!H1323,OR(L1323="331",M1323="331")),"331",IF(AND(OR(L1323="131",M1323="131"),H1323='131-CT'!$E$7),"131",""))</f>
        <v/>
      </c>
      <c r="O1323" s="39" t="str">
        <f>IF(AND($B1323&gt;='111'!$N$11,$B1323&lt;='111'!$O$11,OR($L1323=$O$7,$M1323=$O$7)),"x","")</f>
        <v/>
      </c>
      <c r="P1323" s="39" t="str">
        <f>IF(AND($L1323=$O$7,$B1323&lt;'111'!$N$11),"x","")</f>
        <v/>
      </c>
      <c r="Q1323" s="39" t="str">
        <f>IF(AND($M1323=$O$7,$B1323&lt;'111'!$N$11),"x","")</f>
        <v/>
      </c>
      <c r="R1323" s="39" t="str">
        <f>IF(ISERROR(FIND('112'!$M$9,G1323,1)),"",IF((AND(FIND('112'!$M$9,G1323,1)&gt;=1,$B1323&gt;='112'!$N$8,$B1323&lt;='112'!$O$8,OR($L1323='112'!$I$6,$M1323='112'!$I$6))),"x",""))</f>
        <v/>
      </c>
      <c r="S1323" s="39" t="str">
        <f>IF(ISERROR(FIND('112'!$M$9,G1323,1)),"",IF((AND(LEFT(G1323,2)=LEFT('112'!$M$9,2),B1323&lt;'112'!$N$8,$L1323='112'!$I$6)),"x",""))</f>
        <v/>
      </c>
      <c r="T1323" s="39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39" t="str">
        <f>IF(OR(TH!L1323=TH!$V$7,M1323=TH!$V$7),"x","")</f>
        <v/>
      </c>
      <c r="W1323" s="39" t="str">
        <f>IF(AND(B1323&gt;='IN-NX'!$P$3,B1323&lt;='IN-NX'!$Q$3,'IN-NX'!$D$7=D1323,OR(LEFT(L1323,2)="15",AND(LEFT(M1323,2)&lt;&gt;"15",LEFT(M1323,2)&lt;&gt;"33"))),"x","")</f>
        <v/>
      </c>
      <c r="X1323" s="39" t="str">
        <f>IF(AND(OR(LEFT(TH!L1323,2)="15",LEFT(TH!M1323,2)="15"),'152-CT'!$J$8=TH!F1323),"x","")</f>
        <v/>
      </c>
      <c r="Y1323" s="39" t="str">
        <f>IF(AND(OR(LEFT(TH!L1323,2)="15",LEFT(TH!M1323,2)="15"),TK!$E$7=TH!F1323),"x","")</f>
        <v/>
      </c>
      <c r="Z1323" s="39" t="str">
        <f>IF(AND(B1323&lt;=NKC!$N$8,B1323&gt;=NKC!$M$8),"x","")</f>
        <v>x</v>
      </c>
      <c r="AA1323" s="883"/>
    </row>
    <row r="1324" spans="1:27" s="211" customFormat="1" ht="15.75" customHeight="1">
      <c r="A1324" s="204" t="str">
        <f>IF(B1324&lt;&gt;"",IF(AND(B1324&gt;=_TM1,B1324&lt;=_TM2,OR(TH!L1324="1111",TH!M1324="1111")),TH!D1324,""),"")</f>
        <v/>
      </c>
      <c r="B1324" s="36">
        <f t="shared" si="445"/>
        <v>9</v>
      </c>
      <c r="C1324" s="191">
        <f t="shared" si="443"/>
        <v>41545</v>
      </c>
      <c r="D1324" s="191" t="s">
        <v>1292</v>
      </c>
      <c r="E1324" s="37">
        <v>41545</v>
      </c>
      <c r="F1324" s="192" t="s">
        <v>688</v>
      </c>
      <c r="G1324" s="40" t="s">
        <v>948</v>
      </c>
      <c r="H1324" s="7" t="s">
        <v>1284</v>
      </c>
      <c r="I1324" s="256">
        <v>240</v>
      </c>
      <c r="J1324" s="256">
        <v>16000</v>
      </c>
      <c r="K1324" s="602">
        <f t="shared" si="444"/>
        <v>3840000</v>
      </c>
      <c r="L1324" s="39" t="s">
        <v>165</v>
      </c>
      <c r="M1324" s="603" t="s">
        <v>159</v>
      </c>
      <c r="N1324" s="39" t="str">
        <f>IF(AND('331-CT'!$E$7=TH!H1324,OR(L1324="331",M1324="331")),"331",IF(AND(OR(L1324="131",M1324="131"),H1324='131-CT'!$E$7),"131",""))</f>
        <v/>
      </c>
      <c r="O1324" s="39" t="str">
        <f>IF(AND($B1324&gt;='111'!$N$11,$B1324&lt;='111'!$O$11,OR($L1324=$O$7,$M1324=$O$7)),"x","")</f>
        <v/>
      </c>
      <c r="P1324" s="39" t="str">
        <f>IF(AND($L1324=$O$7,$B1324&lt;'111'!$N$11),"x","")</f>
        <v/>
      </c>
      <c r="Q1324" s="39" t="str">
        <f>IF(AND($M1324=$O$7,$B1324&lt;'111'!$N$11),"x","")</f>
        <v/>
      </c>
      <c r="R1324" s="39" t="str">
        <f>IF(ISERROR(FIND('112'!$M$9,G1324,1)),"",IF((AND(FIND('112'!$M$9,G1324,1)&gt;=1,$B1324&gt;='112'!$N$8,$B1324&lt;='112'!$O$8,OR($L1324='112'!$I$6,$M1324='112'!$I$6))),"x",""))</f>
        <v/>
      </c>
      <c r="S1324" s="39" t="str">
        <f>IF(ISERROR(FIND('112'!$M$9,G1324,1)),"",IF((AND(LEFT(G1324,2)=LEFT('112'!$M$9,2),B1324&lt;'112'!$N$8,$L1324='112'!$I$6)),"x",""))</f>
        <v/>
      </c>
      <c r="T1324" s="39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39" t="str">
        <f>IF(OR(TH!L1324=TH!$V$7,M1324=TH!$V$7),"x","")</f>
        <v/>
      </c>
      <c r="W1324" s="39" t="str">
        <f>IF(AND(B1324&gt;='IN-NX'!$P$3,B1324&lt;='IN-NX'!$Q$3,'IN-NX'!$D$7=D1324,OR(LEFT(L1324,2)="15",AND(LEFT(M1324,2)&lt;&gt;"15",LEFT(M1324,2)&lt;&gt;"33"))),"x","")</f>
        <v/>
      </c>
      <c r="X1324" s="39" t="str">
        <f>IF(AND(OR(LEFT(TH!L1324,2)="15",LEFT(TH!M1324,2)="15"),'152-CT'!$J$8=TH!F1324),"x","")</f>
        <v/>
      </c>
      <c r="Y1324" s="39" t="str">
        <f>IF(AND(OR(LEFT(TH!L1324,2)="15",LEFT(TH!M1324,2)="15"),TK!$E$7=TH!F1324),"x","")</f>
        <v/>
      </c>
      <c r="Z1324" s="39" t="str">
        <f>IF(AND(B1324&lt;=NKC!$N$8,B1324&gt;=NKC!$M$8),"x","")</f>
        <v>x</v>
      </c>
      <c r="AA1324" s="883"/>
    </row>
    <row r="1325" spans="1:27" s="211" customFormat="1" ht="15.75" customHeight="1">
      <c r="A1325" s="204" t="str">
        <f>IF(B1325&lt;&gt;"",IF(AND(B1325&gt;=_TM1,B1325&lt;=_TM2,OR(TH!L1325="1111",TH!M1325="1111")),TH!D1325,""),"")</f>
        <v/>
      </c>
      <c r="B1325" s="36">
        <f t="shared" si="445"/>
        <v>9</v>
      </c>
      <c r="C1325" s="191">
        <f t="shared" si="443"/>
        <v>41546</v>
      </c>
      <c r="D1325" s="191" t="s">
        <v>1292</v>
      </c>
      <c r="E1325" s="37">
        <v>41546</v>
      </c>
      <c r="F1325" s="40" t="s">
        <v>644</v>
      </c>
      <c r="G1325" s="40" t="s">
        <v>949</v>
      </c>
      <c r="H1325" s="7" t="s">
        <v>1284</v>
      </c>
      <c r="I1325" s="256">
        <v>500</v>
      </c>
      <c r="J1325" s="256">
        <v>19312</v>
      </c>
      <c r="K1325" s="602">
        <f t="shared" si="444"/>
        <v>9656000</v>
      </c>
      <c r="L1325" s="39" t="s">
        <v>165</v>
      </c>
      <c r="M1325" s="603" t="s">
        <v>159</v>
      </c>
      <c r="N1325" s="39" t="str">
        <f>IF(AND('331-CT'!$E$7=TH!H1325,OR(L1325="331",M1325="331")),"331",IF(AND(OR(L1325="131",M1325="131"),H1325='131-CT'!$E$7),"131",""))</f>
        <v/>
      </c>
      <c r="O1325" s="39" t="str">
        <f>IF(AND($B1325&gt;='111'!$N$11,$B1325&lt;='111'!$O$11,OR($L1325=$O$7,$M1325=$O$7)),"x","")</f>
        <v/>
      </c>
      <c r="P1325" s="39" t="str">
        <f>IF(AND($L1325=$O$7,$B1325&lt;'111'!$N$11),"x","")</f>
        <v/>
      </c>
      <c r="Q1325" s="39" t="str">
        <f>IF(AND($M1325=$O$7,$B1325&lt;'111'!$N$11),"x","")</f>
        <v/>
      </c>
      <c r="R1325" s="39" t="str">
        <f>IF(ISERROR(FIND('112'!$M$9,G1325,1)),"",IF((AND(FIND('112'!$M$9,G1325,1)&gt;=1,$B1325&gt;='112'!$N$8,$B1325&lt;='112'!$O$8,OR($L1325='112'!$I$6,$M1325='112'!$I$6))),"x",""))</f>
        <v/>
      </c>
      <c r="S1325" s="39" t="str">
        <f>IF(ISERROR(FIND('112'!$M$9,G1325,1)),"",IF((AND(LEFT(G1325,2)=LEFT('112'!$M$9,2),B1325&lt;'112'!$N$8,$L1325='112'!$I$6)),"x",""))</f>
        <v/>
      </c>
      <c r="T1325" s="39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39" t="str">
        <f>IF(OR(TH!L1325=TH!$V$7,M1325=TH!$V$7),"x","")</f>
        <v/>
      </c>
      <c r="W1325" s="39" t="str">
        <f>IF(AND(B1325&gt;='IN-NX'!$P$3,B1325&lt;='IN-NX'!$Q$3,'IN-NX'!$D$7=D1325,OR(LEFT(L1325,2)="15",AND(LEFT(M1325,2)&lt;&gt;"15",LEFT(M1325,2)&lt;&gt;"33"))),"x","")</f>
        <v/>
      </c>
      <c r="X1325" s="39" t="str">
        <f>IF(AND(OR(LEFT(TH!L1325,2)="15",LEFT(TH!M1325,2)="15"),'152-CT'!$J$8=TH!F1325),"x","")</f>
        <v/>
      </c>
      <c r="Y1325" s="39" t="str">
        <f>IF(AND(OR(LEFT(TH!L1325,2)="15",LEFT(TH!M1325,2)="15"),TK!$E$7=TH!F1325),"x","")</f>
        <v/>
      </c>
      <c r="Z1325" s="39" t="str">
        <f>IF(AND(B1325&lt;=NKC!$N$8,B1325&gt;=NKC!$M$8),"x","")</f>
        <v>x</v>
      </c>
      <c r="AA1325" s="883"/>
    </row>
    <row r="1326" spans="1:27" s="211" customFormat="1" ht="15.75" customHeight="1">
      <c r="A1326" s="204" t="str">
        <f>IF(B1326&lt;&gt;"",IF(AND(B1326&gt;=_TM1,B1326&lt;=_TM2,OR(TH!L1326="1111",TH!M1326="1111")),TH!D1326,""),"")</f>
        <v/>
      </c>
      <c r="B1326" s="36">
        <f t="shared" si="445"/>
        <v>9</v>
      </c>
      <c r="C1326" s="191">
        <f t="shared" si="443"/>
        <v>41547</v>
      </c>
      <c r="D1326" s="191" t="s">
        <v>1292</v>
      </c>
      <c r="E1326" s="37">
        <v>41547</v>
      </c>
      <c r="F1326" s="40" t="s">
        <v>1204</v>
      </c>
      <c r="G1326" s="40" t="s">
        <v>951</v>
      </c>
      <c r="H1326" s="7" t="s">
        <v>1284</v>
      </c>
      <c r="I1326" s="256">
        <v>100</v>
      </c>
      <c r="J1326" s="256">
        <v>17876</v>
      </c>
      <c r="K1326" s="602">
        <f t="shared" si="444"/>
        <v>1787600</v>
      </c>
      <c r="L1326" s="39" t="s">
        <v>165</v>
      </c>
      <c r="M1326" s="603" t="s">
        <v>159</v>
      </c>
      <c r="N1326" s="39" t="str">
        <f>IF(AND('331-CT'!$E$7=TH!H1326,OR(L1326="331",M1326="331")),"331",IF(AND(OR(L1326="131",M1326="131"),H1326='131-CT'!$E$7),"131",""))</f>
        <v/>
      </c>
      <c r="O1326" s="39" t="str">
        <f>IF(AND($B1326&gt;='111'!$N$11,$B1326&lt;='111'!$O$11,OR($L1326=$O$7,$M1326=$O$7)),"x","")</f>
        <v/>
      </c>
      <c r="P1326" s="39" t="str">
        <f>IF(AND($L1326=$O$7,$B1326&lt;'111'!$N$11),"x","")</f>
        <v/>
      </c>
      <c r="Q1326" s="39" t="str">
        <f>IF(AND($M1326=$O$7,$B1326&lt;'111'!$N$11),"x","")</f>
        <v/>
      </c>
      <c r="R1326" s="39" t="str">
        <f>IF(ISERROR(FIND('112'!$M$9,G1326,1)),"",IF((AND(FIND('112'!$M$9,G1326,1)&gt;=1,$B1326&gt;='112'!$N$8,$B1326&lt;='112'!$O$8,OR($L1326='112'!$I$6,$M1326='112'!$I$6))),"x",""))</f>
        <v/>
      </c>
      <c r="S1326" s="39" t="str">
        <f>IF(ISERROR(FIND('112'!$M$9,G1326,1)),"",IF((AND(LEFT(G1326,2)=LEFT('112'!$M$9,2),B1326&lt;'112'!$N$8,$L1326='112'!$I$6)),"x",""))</f>
        <v/>
      </c>
      <c r="T1326" s="39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39" t="str">
        <f>IF(OR(TH!L1326=TH!$V$7,M1326=TH!$V$7),"x","")</f>
        <v/>
      </c>
      <c r="W1326" s="39" t="str">
        <f>IF(AND(B1326&gt;='IN-NX'!$P$3,B1326&lt;='IN-NX'!$Q$3,'IN-NX'!$D$7=D1326,OR(LEFT(L1326,2)="15",AND(LEFT(M1326,2)&lt;&gt;"15",LEFT(M1326,2)&lt;&gt;"33"))),"x","")</f>
        <v/>
      </c>
      <c r="X1326" s="39" t="str">
        <f>IF(AND(OR(LEFT(TH!L1326,2)="15",LEFT(TH!M1326,2)="15"),'152-CT'!$J$8=TH!F1326),"x","")</f>
        <v/>
      </c>
      <c r="Y1326" s="39" t="str">
        <f>IF(AND(OR(LEFT(TH!L1326,2)="15",LEFT(TH!M1326,2)="15"),TK!$E$7=TH!F1326),"x","")</f>
        <v/>
      </c>
      <c r="Z1326" s="39" t="str">
        <f>IF(AND(B1326&lt;=NKC!$N$8,B1326&gt;=NKC!$M$8),"x","")</f>
        <v>x</v>
      </c>
      <c r="AA1326" s="883"/>
    </row>
    <row r="1327" spans="1:27" s="211" customFormat="1" ht="15.75" customHeight="1">
      <c r="A1327" s="204" t="str">
        <f>IF(B1327&lt;&gt;"",IF(AND(B1327&gt;=_TM1,B1327&lt;=_TM2,OR(TH!L1327="1111",TH!M1327="1111")),TH!D1327,""),"")</f>
        <v/>
      </c>
      <c r="B1327" s="36">
        <f t="shared" si="445"/>
        <v>9</v>
      </c>
      <c r="C1327" s="191">
        <f t="shared" si="443"/>
        <v>41547</v>
      </c>
      <c r="D1327" s="191" t="s">
        <v>1292</v>
      </c>
      <c r="E1327" s="37">
        <v>41547</v>
      </c>
      <c r="F1327" s="40" t="s">
        <v>1232</v>
      </c>
      <c r="G1327" s="40" t="s">
        <v>951</v>
      </c>
      <c r="H1327" s="7" t="s">
        <v>1284</v>
      </c>
      <c r="I1327" s="256">
        <v>150</v>
      </c>
      <c r="J1327" s="256">
        <v>12635</v>
      </c>
      <c r="K1327" s="602">
        <f t="shared" si="444"/>
        <v>1895250</v>
      </c>
      <c r="L1327" s="39" t="s">
        <v>165</v>
      </c>
      <c r="M1327" s="603" t="s">
        <v>159</v>
      </c>
      <c r="N1327" s="39" t="str">
        <f>IF(AND('331-CT'!$E$7=TH!H1327,OR(L1327="331",M1327="331")),"331",IF(AND(OR(L1327="131",M1327="131"),H1327='131-CT'!$E$7),"131",""))</f>
        <v/>
      </c>
      <c r="O1327" s="39" t="str">
        <f>IF(AND($B1327&gt;='111'!$N$11,$B1327&lt;='111'!$O$11,OR($L1327=$O$7,$M1327=$O$7)),"x","")</f>
        <v/>
      </c>
      <c r="P1327" s="39" t="str">
        <f>IF(AND($L1327=$O$7,$B1327&lt;'111'!$N$11),"x","")</f>
        <v/>
      </c>
      <c r="Q1327" s="39" t="str">
        <f>IF(AND($M1327=$O$7,$B1327&lt;'111'!$N$11),"x","")</f>
        <v/>
      </c>
      <c r="R1327" s="39" t="str">
        <f>IF(ISERROR(FIND('112'!$M$9,G1327,1)),"",IF((AND(FIND('112'!$M$9,G1327,1)&gt;=1,$B1327&gt;='112'!$N$8,$B1327&lt;='112'!$O$8,OR($L1327='112'!$I$6,$M1327='112'!$I$6))),"x",""))</f>
        <v/>
      </c>
      <c r="S1327" s="39" t="str">
        <f>IF(ISERROR(FIND('112'!$M$9,G1327,1)),"",IF((AND(LEFT(G1327,2)=LEFT('112'!$M$9,2),B1327&lt;'112'!$N$8,$L1327='112'!$I$6)),"x",""))</f>
        <v/>
      </c>
      <c r="T1327" s="39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39" t="str">
        <f>IF(OR(TH!L1327=TH!$V$7,M1327=TH!$V$7),"x","")</f>
        <v/>
      </c>
      <c r="W1327" s="39" t="str">
        <f>IF(AND(B1327&gt;='IN-NX'!$P$3,B1327&lt;='IN-NX'!$Q$3,'IN-NX'!$D$7=D1327,OR(LEFT(L1327,2)="15",AND(LEFT(M1327,2)&lt;&gt;"15",LEFT(M1327,2)&lt;&gt;"33"))),"x","")</f>
        <v/>
      </c>
      <c r="X1327" s="39" t="str">
        <f>IF(AND(OR(LEFT(TH!L1327,2)="15",LEFT(TH!M1327,2)="15"),'152-CT'!$J$8=TH!F1327),"x","")</f>
        <v/>
      </c>
      <c r="Y1327" s="39" t="str">
        <f>IF(AND(OR(LEFT(TH!L1327,2)="15",LEFT(TH!M1327,2)="15"),TK!$E$7=TH!F1327),"x","")</f>
        <v/>
      </c>
      <c r="Z1327" s="39" t="str">
        <f>IF(AND(B1327&lt;=NKC!$N$8,B1327&gt;=NKC!$M$8),"x","")</f>
        <v>x</v>
      </c>
      <c r="AA1327" s="883"/>
    </row>
    <row r="1328" spans="1:27" s="211" customFormat="1" ht="15.75" customHeight="1">
      <c r="A1328" s="204" t="str">
        <f>IF(B1328&lt;&gt;"",IF(AND(B1328&gt;=_TM1,B1328&lt;=_TM2,OR(TH!L1328="1111",TH!M1328="1111")),TH!D1328,""),"")</f>
        <v/>
      </c>
      <c r="B1328" s="36">
        <f t="shared" si="445"/>
        <v>10</v>
      </c>
      <c r="C1328" s="191">
        <f t="shared" si="443"/>
        <v>41549</v>
      </c>
      <c r="D1328" s="191" t="s">
        <v>1292</v>
      </c>
      <c r="E1328" s="37">
        <v>41549</v>
      </c>
      <c r="F1328" s="40" t="s">
        <v>628</v>
      </c>
      <c r="G1328" s="40" t="s">
        <v>953</v>
      </c>
      <c r="H1328" s="7" t="s">
        <v>1284</v>
      </c>
      <c r="I1328" s="256">
        <v>37</v>
      </c>
      <c r="J1328" s="256">
        <v>8385</v>
      </c>
      <c r="K1328" s="602">
        <f t="shared" si="444"/>
        <v>310245</v>
      </c>
      <c r="L1328" s="39" t="s">
        <v>165</v>
      </c>
      <c r="M1328" s="603" t="s">
        <v>159</v>
      </c>
      <c r="N1328" s="39" t="str">
        <f>IF(AND('331-CT'!$E$7=TH!H1328,OR(L1328="331",M1328="331")),"331",IF(AND(OR(L1328="131",M1328="131"),H1328='131-CT'!$E$7),"131",""))</f>
        <v/>
      </c>
      <c r="O1328" s="39" t="str">
        <f>IF(AND($B1328&gt;='111'!$N$11,$B1328&lt;='111'!$O$11,OR($L1328=$O$7,$M1328=$O$7)),"x","")</f>
        <v/>
      </c>
      <c r="P1328" s="39" t="str">
        <f>IF(AND($L1328=$O$7,$B1328&lt;'111'!$N$11),"x","")</f>
        <v/>
      </c>
      <c r="Q1328" s="39" t="str">
        <f>IF(AND($M1328=$O$7,$B1328&lt;'111'!$N$11),"x","")</f>
        <v/>
      </c>
      <c r="R1328" s="39" t="str">
        <f>IF(ISERROR(FIND('112'!$M$9,G1328,1)),"",IF((AND(FIND('112'!$M$9,G1328,1)&gt;=1,$B1328&gt;='112'!$N$8,$B1328&lt;='112'!$O$8,OR($L1328='112'!$I$6,$M1328='112'!$I$6))),"x",""))</f>
        <v/>
      </c>
      <c r="S1328" s="39" t="str">
        <f>IF(ISERROR(FIND('112'!$M$9,G1328,1)),"",IF((AND(LEFT(G1328,2)=LEFT('112'!$M$9,2),B1328&lt;'112'!$N$8,$L1328='112'!$I$6)),"x",""))</f>
        <v/>
      </c>
      <c r="T1328" s="39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39" t="str">
        <f>IF(OR(TH!L1328=TH!$V$7,M1328=TH!$V$7),"x","")</f>
        <v/>
      </c>
      <c r="W1328" s="39" t="str">
        <f>IF(AND(B1328&gt;='IN-NX'!$P$3,B1328&lt;='IN-NX'!$Q$3,'IN-NX'!$D$7=D1328,OR(LEFT(L1328,2)="15",AND(LEFT(M1328,2)&lt;&gt;"15",LEFT(M1328,2)&lt;&gt;"33"))),"x","")</f>
        <v/>
      </c>
      <c r="X1328" s="39" t="str">
        <f>IF(AND(OR(LEFT(TH!L1328,2)="15",LEFT(TH!M1328,2)="15"),'152-CT'!$J$8=TH!F1328),"x","")</f>
        <v/>
      </c>
      <c r="Y1328" s="39" t="str">
        <f>IF(AND(OR(LEFT(TH!L1328,2)="15",LEFT(TH!M1328,2)="15"),TK!$E$7=TH!F1328),"x","")</f>
        <v/>
      </c>
      <c r="Z1328" s="39" t="str">
        <f>IF(AND(B1328&lt;=NKC!$N$8,B1328&gt;=NKC!$M$8),"x","")</f>
        <v/>
      </c>
      <c r="AA1328" s="883"/>
    </row>
    <row r="1329" spans="1:27" s="211" customFormat="1" ht="15.75" customHeight="1">
      <c r="A1329" s="204" t="str">
        <f>IF(B1329&lt;&gt;"",IF(AND(B1329&gt;=_TM1,B1329&lt;=_TM2,OR(TH!L1329="1111",TH!M1329="1111")),TH!D1329,""),"")</f>
        <v/>
      </c>
      <c r="B1329" s="36">
        <f t="shared" si="445"/>
        <v>10</v>
      </c>
      <c r="C1329" s="191">
        <f t="shared" si="443"/>
        <v>41549</v>
      </c>
      <c r="D1329" s="191" t="s">
        <v>1292</v>
      </c>
      <c r="E1329" s="37">
        <v>41549</v>
      </c>
      <c r="F1329" s="40" t="s">
        <v>716</v>
      </c>
      <c r="G1329" s="40" t="s">
        <v>953</v>
      </c>
      <c r="H1329" s="7" t="s">
        <v>1284</v>
      </c>
      <c r="I1329" s="256">
        <v>410</v>
      </c>
      <c r="J1329" s="256">
        <v>21907.443037974685</v>
      </c>
      <c r="K1329" s="602">
        <f t="shared" si="444"/>
        <v>8982052</v>
      </c>
      <c r="L1329" s="39" t="s">
        <v>165</v>
      </c>
      <c r="M1329" s="603" t="s">
        <v>159</v>
      </c>
      <c r="N1329" s="39" t="str">
        <f>IF(AND('331-CT'!$E$7=TH!H1329,OR(L1329="331",M1329="331")),"331",IF(AND(OR(L1329="131",M1329="131"),H1329='131-CT'!$E$7),"131",""))</f>
        <v/>
      </c>
      <c r="O1329" s="39" t="str">
        <f>IF(AND($B1329&gt;='111'!$N$11,$B1329&lt;='111'!$O$11,OR($L1329=$O$7,$M1329=$O$7)),"x","")</f>
        <v/>
      </c>
      <c r="P1329" s="39" t="str">
        <f>IF(AND($L1329=$O$7,$B1329&lt;'111'!$N$11),"x","")</f>
        <v/>
      </c>
      <c r="Q1329" s="39" t="str">
        <f>IF(AND($M1329=$O$7,$B1329&lt;'111'!$N$11),"x","")</f>
        <v/>
      </c>
      <c r="R1329" s="39" t="str">
        <f>IF(ISERROR(FIND('112'!$M$9,G1329,1)),"",IF((AND(FIND('112'!$M$9,G1329,1)&gt;=1,$B1329&gt;='112'!$N$8,$B1329&lt;='112'!$O$8,OR($L1329='112'!$I$6,$M1329='112'!$I$6))),"x",""))</f>
        <v/>
      </c>
      <c r="S1329" s="39" t="str">
        <f>IF(ISERROR(FIND('112'!$M$9,G1329,1)),"",IF((AND(LEFT(G1329,2)=LEFT('112'!$M$9,2),B1329&lt;'112'!$N$8,$L1329='112'!$I$6)),"x",""))</f>
        <v/>
      </c>
      <c r="T1329" s="39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39" t="str">
        <f>IF(OR(TH!L1329=TH!$V$7,M1329=TH!$V$7),"x","")</f>
        <v/>
      </c>
      <c r="W1329" s="39" t="str">
        <f>IF(AND(B1329&gt;='IN-NX'!$P$3,B1329&lt;='IN-NX'!$Q$3,'IN-NX'!$D$7=D1329,OR(LEFT(L1329,2)="15",AND(LEFT(M1329,2)&lt;&gt;"15",LEFT(M1329,2)&lt;&gt;"33"))),"x","")</f>
        <v/>
      </c>
      <c r="X1329" s="39" t="str">
        <f>IF(AND(OR(LEFT(TH!L1329,2)="15",LEFT(TH!M1329,2)="15"),'152-CT'!$J$8=TH!F1329),"x","")</f>
        <v/>
      </c>
      <c r="Y1329" s="39" t="str">
        <f>IF(AND(OR(LEFT(TH!L1329,2)="15",LEFT(TH!M1329,2)="15"),TK!$E$7=TH!F1329),"x","")</f>
        <v/>
      </c>
      <c r="Z1329" s="39" t="str">
        <f>IF(AND(B1329&lt;=NKC!$N$8,B1329&gt;=NKC!$M$8),"x","")</f>
        <v/>
      </c>
      <c r="AA1329" s="883"/>
    </row>
    <row r="1330" spans="1:27" s="211" customFormat="1" ht="15.75" customHeight="1">
      <c r="A1330" s="204" t="str">
        <f>IF(B1330&lt;&gt;"",IF(AND(B1330&gt;=_TM1,B1330&lt;=_TM2,OR(TH!L1330="1111",TH!M1330="1111")),TH!D1330,""),"")</f>
        <v/>
      </c>
      <c r="B1330" s="36">
        <f t="shared" si="445"/>
        <v>10</v>
      </c>
      <c r="C1330" s="191">
        <f t="shared" si="443"/>
        <v>41549</v>
      </c>
      <c r="D1330" s="191" t="s">
        <v>1292</v>
      </c>
      <c r="E1330" s="37">
        <v>41549</v>
      </c>
      <c r="F1330" s="40" t="s">
        <v>719</v>
      </c>
      <c r="G1330" s="40" t="s">
        <v>954</v>
      </c>
      <c r="H1330" s="7" t="s">
        <v>1284</v>
      </c>
      <c r="I1330" s="256">
        <v>1130</v>
      </c>
      <c r="J1330" s="256">
        <v>11149</v>
      </c>
      <c r="K1330" s="602">
        <f t="shared" si="444"/>
        <v>12598370</v>
      </c>
      <c r="L1330" s="39" t="s">
        <v>165</v>
      </c>
      <c r="M1330" s="603" t="s">
        <v>159</v>
      </c>
      <c r="N1330" s="39" t="str">
        <f>IF(AND('331-CT'!$E$7=TH!H1330,OR(L1330="331",M1330="331")),"331",IF(AND(OR(L1330="131",M1330="131"),H1330='131-CT'!$E$7),"131",""))</f>
        <v/>
      </c>
      <c r="O1330" s="39" t="str">
        <f>IF(AND($B1330&gt;='111'!$N$11,$B1330&lt;='111'!$O$11,OR($L1330=$O$7,$M1330=$O$7)),"x","")</f>
        <v/>
      </c>
      <c r="P1330" s="39" t="str">
        <f>IF(AND($L1330=$O$7,$B1330&lt;'111'!$N$11),"x","")</f>
        <v/>
      </c>
      <c r="Q1330" s="39" t="str">
        <f>IF(AND($M1330=$O$7,$B1330&lt;'111'!$N$11),"x","")</f>
        <v/>
      </c>
      <c r="R1330" s="39" t="str">
        <f>IF(ISERROR(FIND('112'!$M$9,G1330,1)),"",IF((AND(FIND('112'!$M$9,G1330,1)&gt;=1,$B1330&gt;='112'!$N$8,$B1330&lt;='112'!$O$8,OR($L1330='112'!$I$6,$M1330='112'!$I$6))),"x",""))</f>
        <v/>
      </c>
      <c r="S1330" s="39" t="str">
        <f>IF(ISERROR(FIND('112'!$M$9,G1330,1)),"",IF((AND(LEFT(G1330,2)=LEFT('112'!$M$9,2),B1330&lt;'112'!$N$8,$L1330='112'!$I$6)),"x",""))</f>
        <v/>
      </c>
      <c r="T1330" s="39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39" t="str">
        <f>IF(OR(TH!L1330=TH!$V$7,M1330=TH!$V$7),"x","")</f>
        <v/>
      </c>
      <c r="W1330" s="39" t="str">
        <f>IF(AND(B1330&gt;='IN-NX'!$P$3,B1330&lt;='IN-NX'!$Q$3,'IN-NX'!$D$7=D1330,OR(LEFT(L1330,2)="15",AND(LEFT(M1330,2)&lt;&gt;"15",LEFT(M1330,2)&lt;&gt;"33"))),"x","")</f>
        <v/>
      </c>
      <c r="X1330" s="39" t="str">
        <f>IF(AND(OR(LEFT(TH!L1330,2)="15",LEFT(TH!M1330,2)="15"),'152-CT'!$J$8=TH!F1330),"x","")</f>
        <v/>
      </c>
      <c r="Y1330" s="39" t="str">
        <f>IF(AND(OR(LEFT(TH!L1330,2)="15",LEFT(TH!M1330,2)="15"),TK!$E$7=TH!F1330),"x","")</f>
        <v/>
      </c>
      <c r="Z1330" s="39" t="str">
        <f>IF(AND(B1330&lt;=NKC!$N$8,B1330&gt;=NKC!$M$8),"x","")</f>
        <v/>
      </c>
      <c r="AA1330" s="883"/>
    </row>
    <row r="1331" spans="1:27" s="211" customFormat="1" ht="15.75" customHeight="1">
      <c r="A1331" s="204" t="str">
        <f>IF(B1331&lt;&gt;"",IF(AND(B1331&gt;=_TM1,B1331&lt;=_TM2,OR(TH!L1331="1111",TH!M1331="1111")),TH!D1331,""),"")</f>
        <v/>
      </c>
      <c r="B1331" s="36">
        <f t="shared" si="445"/>
        <v>10</v>
      </c>
      <c r="C1331" s="191">
        <f t="shared" si="443"/>
        <v>41552</v>
      </c>
      <c r="D1331" s="191" t="s">
        <v>1292</v>
      </c>
      <c r="E1331" s="37">
        <v>41552</v>
      </c>
      <c r="F1331" s="192" t="s">
        <v>679</v>
      </c>
      <c r="G1331" s="40" t="s">
        <v>955</v>
      </c>
      <c r="H1331" s="7" t="s">
        <v>1284</v>
      </c>
      <c r="I1331" s="256">
        <v>520</v>
      </c>
      <c r="J1331" s="256">
        <v>18709</v>
      </c>
      <c r="K1331" s="602">
        <f t="shared" si="444"/>
        <v>9728680</v>
      </c>
      <c r="L1331" s="39" t="s">
        <v>165</v>
      </c>
      <c r="M1331" s="603" t="s">
        <v>159</v>
      </c>
      <c r="N1331" s="39" t="str">
        <f>IF(AND('331-CT'!$E$7=TH!H1331,OR(L1331="331",M1331="331")),"331",IF(AND(OR(L1331="131",M1331="131"),H1331='131-CT'!$E$7),"131",""))</f>
        <v/>
      </c>
      <c r="O1331" s="39" t="str">
        <f>IF(AND($B1331&gt;='111'!$N$11,$B1331&lt;='111'!$O$11,OR($L1331=$O$7,$M1331=$O$7)),"x","")</f>
        <v/>
      </c>
      <c r="P1331" s="39" t="str">
        <f>IF(AND($L1331=$O$7,$B1331&lt;'111'!$N$11),"x","")</f>
        <v/>
      </c>
      <c r="Q1331" s="39" t="str">
        <f>IF(AND($M1331=$O$7,$B1331&lt;'111'!$N$11),"x","")</f>
        <v/>
      </c>
      <c r="R1331" s="39" t="str">
        <f>IF(ISERROR(FIND('112'!$M$9,G1331,1)),"",IF((AND(FIND('112'!$M$9,G1331,1)&gt;=1,$B1331&gt;='112'!$N$8,$B1331&lt;='112'!$O$8,OR($L1331='112'!$I$6,$M1331='112'!$I$6))),"x",""))</f>
        <v/>
      </c>
      <c r="S1331" s="39" t="str">
        <f>IF(ISERROR(FIND('112'!$M$9,G1331,1)),"",IF((AND(LEFT(G1331,2)=LEFT('112'!$M$9,2),B1331&lt;'112'!$N$8,$L1331='112'!$I$6)),"x",""))</f>
        <v/>
      </c>
      <c r="T1331" s="39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39" t="str">
        <f>IF(OR(TH!L1331=TH!$V$7,M1331=TH!$V$7),"x","")</f>
        <v/>
      </c>
      <c r="W1331" s="39" t="str">
        <f>IF(AND(B1331&gt;='IN-NX'!$P$3,B1331&lt;='IN-NX'!$Q$3,'IN-NX'!$D$7=D1331,OR(LEFT(L1331,2)="15",AND(LEFT(M1331,2)&lt;&gt;"15",LEFT(M1331,2)&lt;&gt;"33"))),"x","")</f>
        <v/>
      </c>
      <c r="X1331" s="39" t="str">
        <f>IF(AND(OR(LEFT(TH!L1331,2)="15",LEFT(TH!M1331,2)="15"),'152-CT'!$J$8=TH!F1331),"x","")</f>
        <v/>
      </c>
      <c r="Y1331" s="39" t="str">
        <f>IF(AND(OR(LEFT(TH!L1331,2)="15",LEFT(TH!M1331,2)="15"),TK!$E$7=TH!F1331),"x","")</f>
        <v/>
      </c>
      <c r="Z1331" s="39" t="str">
        <f>IF(AND(B1331&lt;=NKC!$N$8,B1331&gt;=NKC!$M$8),"x","")</f>
        <v/>
      </c>
      <c r="AA1331" s="883"/>
    </row>
    <row r="1332" spans="1:27" s="211" customFormat="1" ht="15.75" customHeight="1">
      <c r="A1332" s="204" t="str">
        <f>IF(B1332&lt;&gt;"",IF(AND(B1332&gt;=_TM1,B1332&lt;=_TM2,OR(TH!L1332="1111",TH!M1332="1111")),TH!D1332,""),"")</f>
        <v/>
      </c>
      <c r="B1332" s="36">
        <f t="shared" si="445"/>
        <v>10</v>
      </c>
      <c r="C1332" s="191">
        <f t="shared" si="443"/>
        <v>41554</v>
      </c>
      <c r="D1332" s="191" t="s">
        <v>1292</v>
      </c>
      <c r="E1332" s="37">
        <v>41554</v>
      </c>
      <c r="F1332" s="192" t="s">
        <v>634</v>
      </c>
      <c r="G1332" s="40" t="s">
        <v>956</v>
      </c>
      <c r="H1332" s="7" t="s">
        <v>1284</v>
      </c>
      <c r="I1332" s="256">
        <v>152</v>
      </c>
      <c r="J1332" s="256">
        <v>11126</v>
      </c>
      <c r="K1332" s="602">
        <f t="shared" si="444"/>
        <v>1691152</v>
      </c>
      <c r="L1332" s="39" t="s">
        <v>165</v>
      </c>
      <c r="M1332" s="603" t="s">
        <v>159</v>
      </c>
      <c r="N1332" s="39" t="str">
        <f>IF(AND('331-CT'!$E$7=TH!H1332,OR(L1332="331",M1332="331")),"331",IF(AND(OR(L1332="131",M1332="131"),H1332='131-CT'!$E$7),"131",""))</f>
        <v/>
      </c>
      <c r="O1332" s="39" t="str">
        <f>IF(AND($B1332&gt;='111'!$N$11,$B1332&lt;='111'!$O$11,OR($L1332=$O$7,$M1332=$O$7)),"x","")</f>
        <v/>
      </c>
      <c r="P1332" s="39" t="str">
        <f>IF(AND($L1332=$O$7,$B1332&lt;'111'!$N$11),"x","")</f>
        <v/>
      </c>
      <c r="Q1332" s="39" t="str">
        <f>IF(AND($M1332=$O$7,$B1332&lt;'111'!$N$11),"x","")</f>
        <v/>
      </c>
      <c r="R1332" s="39" t="str">
        <f>IF(ISERROR(FIND('112'!$M$9,G1332,1)),"",IF((AND(FIND('112'!$M$9,G1332,1)&gt;=1,$B1332&gt;='112'!$N$8,$B1332&lt;='112'!$O$8,OR($L1332='112'!$I$6,$M1332='112'!$I$6))),"x",""))</f>
        <v/>
      </c>
      <c r="S1332" s="39" t="str">
        <f>IF(ISERROR(FIND('112'!$M$9,G1332,1)),"",IF((AND(LEFT(G1332,2)=LEFT('112'!$M$9,2),B1332&lt;'112'!$N$8,$L1332='112'!$I$6)),"x",""))</f>
        <v/>
      </c>
      <c r="T1332" s="39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39" t="str">
        <f>IF(OR(TH!L1332=TH!$V$7,M1332=TH!$V$7),"x","")</f>
        <v/>
      </c>
      <c r="W1332" s="39" t="str">
        <f>IF(AND(B1332&gt;='IN-NX'!$P$3,B1332&lt;='IN-NX'!$Q$3,'IN-NX'!$D$7=D1332,OR(LEFT(L1332,2)="15",AND(LEFT(M1332,2)&lt;&gt;"15",LEFT(M1332,2)&lt;&gt;"33"))),"x","")</f>
        <v/>
      </c>
      <c r="X1332" s="39" t="str">
        <f>IF(AND(OR(LEFT(TH!L1332,2)="15",LEFT(TH!M1332,2)="15"),'152-CT'!$J$8=TH!F1332),"x","")</f>
        <v/>
      </c>
      <c r="Y1332" s="39" t="str">
        <f>IF(AND(OR(LEFT(TH!L1332,2)="15",LEFT(TH!M1332,2)="15"),TK!$E$7=TH!F1332),"x","")</f>
        <v/>
      </c>
      <c r="Z1332" s="39" t="str">
        <f>IF(AND(B1332&lt;=NKC!$N$8,B1332&gt;=NKC!$M$8),"x","")</f>
        <v/>
      </c>
      <c r="AA1332" s="883"/>
    </row>
    <row r="1333" spans="1:27" s="211" customFormat="1" ht="15.75" customHeight="1">
      <c r="A1333" s="204" t="str">
        <f>IF(B1333&lt;&gt;"",IF(AND(B1333&gt;=_TM1,B1333&lt;=_TM2,OR(TH!L1333="1111",TH!M1333="1111")),TH!D1333,""),"")</f>
        <v/>
      </c>
      <c r="B1333" s="36">
        <f t="shared" si="445"/>
        <v>10</v>
      </c>
      <c r="C1333" s="191">
        <f t="shared" si="443"/>
        <v>41560</v>
      </c>
      <c r="D1333" s="191" t="s">
        <v>1292</v>
      </c>
      <c r="E1333" s="37">
        <v>41560</v>
      </c>
      <c r="F1333" s="40" t="s">
        <v>685</v>
      </c>
      <c r="G1333" s="40" t="s">
        <v>957</v>
      </c>
      <c r="H1333" s="7" t="s">
        <v>1284</v>
      </c>
      <c r="I1333" s="256">
        <v>1000</v>
      </c>
      <c r="J1333" s="256">
        <v>8500</v>
      </c>
      <c r="K1333" s="602">
        <f t="shared" si="444"/>
        <v>8500000</v>
      </c>
      <c r="L1333" s="39" t="s">
        <v>165</v>
      </c>
      <c r="M1333" s="603" t="s">
        <v>159</v>
      </c>
      <c r="N1333" s="39" t="str">
        <f>IF(AND('331-CT'!$E$7=TH!H1333,OR(L1333="331",M1333="331")),"331",IF(AND(OR(L1333="131",M1333="131"),H1333='131-CT'!$E$7),"131",""))</f>
        <v/>
      </c>
      <c r="O1333" s="39" t="str">
        <f>IF(AND($B1333&gt;='111'!$N$11,$B1333&lt;='111'!$O$11,OR($L1333=$O$7,$M1333=$O$7)),"x","")</f>
        <v/>
      </c>
      <c r="P1333" s="39" t="str">
        <f>IF(AND($L1333=$O$7,$B1333&lt;'111'!$N$11),"x","")</f>
        <v/>
      </c>
      <c r="Q1333" s="39" t="str">
        <f>IF(AND($M1333=$O$7,$B1333&lt;'111'!$N$11),"x","")</f>
        <v/>
      </c>
      <c r="R1333" s="39" t="str">
        <f>IF(ISERROR(FIND('112'!$M$9,G1333,1)),"",IF((AND(FIND('112'!$M$9,G1333,1)&gt;=1,$B1333&gt;='112'!$N$8,$B1333&lt;='112'!$O$8,OR($L1333='112'!$I$6,$M1333='112'!$I$6))),"x",""))</f>
        <v/>
      </c>
      <c r="S1333" s="39" t="str">
        <f>IF(ISERROR(FIND('112'!$M$9,G1333,1)),"",IF((AND(LEFT(G1333,2)=LEFT('112'!$M$9,2),B1333&lt;'112'!$N$8,$L1333='112'!$I$6)),"x",""))</f>
        <v/>
      </c>
      <c r="T1333" s="39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39" t="str">
        <f>IF(OR(TH!L1333=TH!$V$7,M1333=TH!$V$7),"x","")</f>
        <v/>
      </c>
      <c r="W1333" s="39" t="str">
        <f>IF(AND(B1333&gt;='IN-NX'!$P$3,B1333&lt;='IN-NX'!$Q$3,'IN-NX'!$D$7=D1333,OR(LEFT(L1333,2)="15",AND(LEFT(M1333,2)&lt;&gt;"15",LEFT(M1333,2)&lt;&gt;"33"))),"x","")</f>
        <v/>
      </c>
      <c r="X1333" s="39" t="str">
        <f>IF(AND(OR(LEFT(TH!L1333,2)="15",LEFT(TH!M1333,2)="15"),'152-CT'!$J$8=TH!F1333),"x","")</f>
        <v>x</v>
      </c>
      <c r="Y1333" s="39" t="str">
        <f>IF(AND(OR(LEFT(TH!L1333,2)="15",LEFT(TH!M1333,2)="15"),TK!$E$7=TH!F1333),"x","")</f>
        <v/>
      </c>
      <c r="Z1333" s="39" t="str">
        <f>IF(AND(B1333&lt;=NKC!$N$8,B1333&gt;=NKC!$M$8),"x","")</f>
        <v/>
      </c>
      <c r="AA1333" s="883"/>
    </row>
    <row r="1334" spans="1:27" s="211" customFormat="1" ht="15.75" customHeight="1">
      <c r="A1334" s="204" t="str">
        <f>IF(B1334&lt;&gt;"",IF(AND(B1334&gt;=_TM1,B1334&lt;=_TM2,OR(TH!L1334="1111",TH!M1334="1111")),TH!D1334,""),"")</f>
        <v/>
      </c>
      <c r="B1334" s="36">
        <f t="shared" si="445"/>
        <v>10</v>
      </c>
      <c r="C1334" s="191">
        <f t="shared" si="443"/>
        <v>41560</v>
      </c>
      <c r="D1334" s="191" t="s">
        <v>1292</v>
      </c>
      <c r="E1334" s="37">
        <v>41560</v>
      </c>
      <c r="F1334" s="40" t="s">
        <v>719</v>
      </c>
      <c r="G1334" s="40" t="s">
        <v>958</v>
      </c>
      <c r="H1334" s="7" t="s">
        <v>1284</v>
      </c>
      <c r="I1334" s="256">
        <v>490</v>
      </c>
      <c r="J1334" s="256">
        <v>11149</v>
      </c>
      <c r="K1334" s="602">
        <f t="shared" si="444"/>
        <v>5463010</v>
      </c>
      <c r="L1334" s="39" t="s">
        <v>165</v>
      </c>
      <c r="M1334" s="603" t="s">
        <v>159</v>
      </c>
      <c r="N1334" s="39" t="str">
        <f>IF(AND('331-CT'!$E$7=TH!H1334,OR(L1334="331",M1334="331")),"331",IF(AND(OR(L1334="131",M1334="131"),H1334='131-CT'!$E$7),"131",""))</f>
        <v/>
      </c>
      <c r="O1334" s="39" t="str">
        <f>IF(AND($B1334&gt;='111'!$N$11,$B1334&lt;='111'!$O$11,OR($L1334=$O$7,$M1334=$O$7)),"x","")</f>
        <v/>
      </c>
      <c r="P1334" s="39" t="str">
        <f>IF(AND($L1334=$O$7,$B1334&lt;'111'!$N$11),"x","")</f>
        <v/>
      </c>
      <c r="Q1334" s="39" t="str">
        <f>IF(AND($M1334=$O$7,$B1334&lt;'111'!$N$11),"x","")</f>
        <v/>
      </c>
      <c r="R1334" s="39" t="str">
        <f>IF(ISERROR(FIND('112'!$M$9,G1334,1)),"",IF((AND(FIND('112'!$M$9,G1334,1)&gt;=1,$B1334&gt;='112'!$N$8,$B1334&lt;='112'!$O$8,OR($L1334='112'!$I$6,$M1334='112'!$I$6))),"x",""))</f>
        <v/>
      </c>
      <c r="S1334" s="39" t="str">
        <f>IF(ISERROR(FIND('112'!$M$9,G1334,1)),"",IF((AND(LEFT(G1334,2)=LEFT('112'!$M$9,2),B1334&lt;'112'!$N$8,$L1334='112'!$I$6)),"x",""))</f>
        <v/>
      </c>
      <c r="T1334" s="39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39" t="str">
        <f>IF(OR(TH!L1334=TH!$V$7,M1334=TH!$V$7),"x","")</f>
        <v/>
      </c>
      <c r="W1334" s="39" t="str">
        <f>IF(AND(B1334&gt;='IN-NX'!$P$3,B1334&lt;='IN-NX'!$Q$3,'IN-NX'!$D$7=D1334,OR(LEFT(L1334,2)="15",AND(LEFT(M1334,2)&lt;&gt;"15",LEFT(M1334,2)&lt;&gt;"33"))),"x","")</f>
        <v/>
      </c>
      <c r="X1334" s="39" t="str">
        <f>IF(AND(OR(LEFT(TH!L1334,2)="15",LEFT(TH!M1334,2)="15"),'152-CT'!$J$8=TH!F1334),"x","")</f>
        <v/>
      </c>
      <c r="Y1334" s="39" t="str">
        <f>IF(AND(OR(LEFT(TH!L1334,2)="15",LEFT(TH!M1334,2)="15"),TK!$E$7=TH!F1334),"x","")</f>
        <v/>
      </c>
      <c r="Z1334" s="39" t="str">
        <f>IF(AND(B1334&lt;=NKC!$N$8,B1334&gt;=NKC!$M$8),"x","")</f>
        <v/>
      </c>
      <c r="AA1334" s="883"/>
    </row>
    <row r="1335" spans="1:27" s="211" customFormat="1" ht="15.75" customHeight="1">
      <c r="A1335" s="204" t="str">
        <f>IF(B1335&lt;&gt;"",IF(AND(B1335&gt;=_TM1,B1335&lt;=_TM2,OR(TH!L1335="1111",TH!M1335="1111")),TH!D1335,""),"")</f>
        <v/>
      </c>
      <c r="B1335" s="36">
        <f t="shared" si="445"/>
        <v>10</v>
      </c>
      <c r="C1335" s="191">
        <f t="shared" si="443"/>
        <v>41560</v>
      </c>
      <c r="D1335" s="191" t="s">
        <v>1292</v>
      </c>
      <c r="E1335" s="37">
        <v>41560</v>
      </c>
      <c r="F1335" s="40" t="s">
        <v>703</v>
      </c>
      <c r="G1335" s="40" t="s">
        <v>959</v>
      </c>
      <c r="H1335" s="7" t="s">
        <v>1284</v>
      </c>
      <c r="I1335" s="256">
        <v>1000</v>
      </c>
      <c r="J1335" s="256">
        <v>16800</v>
      </c>
      <c r="K1335" s="602">
        <f t="shared" si="444"/>
        <v>16800000</v>
      </c>
      <c r="L1335" s="39" t="s">
        <v>165</v>
      </c>
      <c r="M1335" s="603" t="s">
        <v>159</v>
      </c>
      <c r="N1335" s="39" t="str">
        <f>IF(AND('331-CT'!$E$7=TH!H1335,OR(L1335="331",M1335="331")),"331",IF(AND(OR(L1335="131",M1335="131"),H1335='131-CT'!$E$7),"131",""))</f>
        <v/>
      </c>
      <c r="O1335" s="39" t="str">
        <f>IF(AND($B1335&gt;='111'!$N$11,$B1335&lt;='111'!$O$11,OR($L1335=$O$7,$M1335=$O$7)),"x","")</f>
        <v/>
      </c>
      <c r="P1335" s="39" t="str">
        <f>IF(AND($L1335=$O$7,$B1335&lt;'111'!$N$11),"x","")</f>
        <v/>
      </c>
      <c r="Q1335" s="39" t="str">
        <f>IF(AND($M1335=$O$7,$B1335&lt;'111'!$N$11),"x","")</f>
        <v/>
      </c>
      <c r="R1335" s="39" t="str">
        <f>IF(ISERROR(FIND('112'!$M$9,G1335,1)),"",IF((AND(FIND('112'!$M$9,G1335,1)&gt;=1,$B1335&gt;='112'!$N$8,$B1335&lt;='112'!$O$8,OR($L1335='112'!$I$6,$M1335='112'!$I$6))),"x",""))</f>
        <v/>
      </c>
      <c r="S1335" s="39" t="str">
        <f>IF(ISERROR(FIND('112'!$M$9,G1335,1)),"",IF((AND(LEFT(G1335,2)=LEFT('112'!$M$9,2),B1335&lt;'112'!$N$8,$L1335='112'!$I$6)),"x",""))</f>
        <v/>
      </c>
      <c r="T1335" s="39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39" t="str">
        <f>IF(OR(TH!L1335=TH!$V$7,M1335=TH!$V$7),"x","")</f>
        <v/>
      </c>
      <c r="W1335" s="39" t="str">
        <f>IF(AND(B1335&gt;='IN-NX'!$P$3,B1335&lt;='IN-NX'!$Q$3,'IN-NX'!$D$7=D1335,OR(LEFT(L1335,2)="15",AND(LEFT(M1335,2)&lt;&gt;"15",LEFT(M1335,2)&lt;&gt;"33"))),"x","")</f>
        <v/>
      </c>
      <c r="X1335" s="39" t="str">
        <f>IF(AND(OR(LEFT(TH!L1335,2)="15",LEFT(TH!M1335,2)="15"),'152-CT'!$J$8=TH!F1335),"x","")</f>
        <v/>
      </c>
      <c r="Y1335" s="39" t="str">
        <f>IF(AND(OR(LEFT(TH!L1335,2)="15",LEFT(TH!M1335,2)="15"),TK!$E$7=TH!F1335),"x","")</f>
        <v/>
      </c>
      <c r="Z1335" s="39" t="str">
        <f>IF(AND(B1335&lt;=NKC!$N$8,B1335&gt;=NKC!$M$8),"x","")</f>
        <v/>
      </c>
      <c r="AA1335" s="883"/>
    </row>
    <row r="1336" spans="1:27" s="211" customFormat="1" ht="15.75" customHeight="1">
      <c r="A1336" s="204" t="str">
        <f>IF(B1336&lt;&gt;"",IF(AND(B1336&gt;=_TM1,B1336&lt;=_TM2,OR(TH!L1336="1111",TH!M1336="1111")),TH!D1336,""),"")</f>
        <v/>
      </c>
      <c r="B1336" s="36">
        <f t="shared" si="445"/>
        <v>10</v>
      </c>
      <c r="C1336" s="191">
        <f t="shared" si="443"/>
        <v>41562</v>
      </c>
      <c r="D1336" s="191" t="s">
        <v>1292</v>
      </c>
      <c r="E1336" s="37">
        <v>41562</v>
      </c>
      <c r="F1336" s="40" t="s">
        <v>688</v>
      </c>
      <c r="G1336" s="40" t="s">
        <v>960</v>
      </c>
      <c r="H1336" s="7" t="s">
        <v>1284</v>
      </c>
      <c r="I1336" s="256">
        <v>106</v>
      </c>
      <c r="J1336" s="256">
        <v>16000</v>
      </c>
      <c r="K1336" s="602">
        <f t="shared" si="444"/>
        <v>1696000</v>
      </c>
      <c r="L1336" s="39" t="s">
        <v>165</v>
      </c>
      <c r="M1336" s="603" t="s">
        <v>159</v>
      </c>
      <c r="N1336" s="39" t="str">
        <f>IF(AND('331-CT'!$E$7=TH!H1336,OR(L1336="331",M1336="331")),"331",IF(AND(OR(L1336="131",M1336="131"),H1336='131-CT'!$E$7),"131",""))</f>
        <v/>
      </c>
      <c r="O1336" s="39" t="str">
        <f>IF(AND($B1336&gt;='111'!$N$11,$B1336&lt;='111'!$O$11,OR($L1336=$O$7,$M1336=$O$7)),"x","")</f>
        <v/>
      </c>
      <c r="P1336" s="39" t="str">
        <f>IF(AND($L1336=$O$7,$B1336&lt;'111'!$N$11),"x","")</f>
        <v/>
      </c>
      <c r="Q1336" s="39" t="str">
        <f>IF(AND($M1336=$O$7,$B1336&lt;'111'!$N$11),"x","")</f>
        <v/>
      </c>
      <c r="R1336" s="39" t="str">
        <f>IF(ISERROR(FIND('112'!$M$9,G1336,1)),"",IF((AND(FIND('112'!$M$9,G1336,1)&gt;=1,$B1336&gt;='112'!$N$8,$B1336&lt;='112'!$O$8,OR($L1336='112'!$I$6,$M1336='112'!$I$6))),"x",""))</f>
        <v/>
      </c>
      <c r="S1336" s="39" t="str">
        <f>IF(ISERROR(FIND('112'!$M$9,G1336,1)),"",IF((AND(LEFT(G1336,2)=LEFT('112'!$M$9,2),B1336&lt;'112'!$N$8,$L1336='112'!$I$6)),"x",""))</f>
        <v/>
      </c>
      <c r="T1336" s="39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39" t="str">
        <f>IF(OR(TH!L1336=TH!$V$7,M1336=TH!$V$7),"x","")</f>
        <v/>
      </c>
      <c r="W1336" s="39" t="str">
        <f>IF(AND(B1336&gt;='IN-NX'!$P$3,B1336&lt;='IN-NX'!$Q$3,'IN-NX'!$D$7=D1336,OR(LEFT(L1336,2)="15",AND(LEFT(M1336,2)&lt;&gt;"15",LEFT(M1336,2)&lt;&gt;"33"))),"x","")</f>
        <v/>
      </c>
      <c r="X1336" s="39" t="str">
        <f>IF(AND(OR(LEFT(TH!L1336,2)="15",LEFT(TH!M1336,2)="15"),'152-CT'!$J$8=TH!F1336),"x","")</f>
        <v/>
      </c>
      <c r="Y1336" s="39" t="str">
        <f>IF(AND(OR(LEFT(TH!L1336,2)="15",LEFT(TH!M1336,2)="15"),TK!$E$7=TH!F1336),"x","")</f>
        <v/>
      </c>
      <c r="Z1336" s="39" t="str">
        <f>IF(AND(B1336&lt;=NKC!$N$8,B1336&gt;=NKC!$M$8),"x","")</f>
        <v/>
      </c>
      <c r="AA1336" s="883"/>
    </row>
    <row r="1337" spans="1:27" s="211" customFormat="1" ht="15.75" customHeight="1">
      <c r="A1337" s="204" t="str">
        <f>IF(B1337&lt;&gt;"",IF(AND(B1337&gt;=_TM1,B1337&lt;=_TM2,OR(TH!L1337="1111",TH!M1337="1111")),TH!D1337,""),"")</f>
        <v/>
      </c>
      <c r="B1337" s="36">
        <f t="shared" si="445"/>
        <v>10</v>
      </c>
      <c r="C1337" s="191">
        <f t="shared" si="443"/>
        <v>41563</v>
      </c>
      <c r="D1337" s="191" t="s">
        <v>1292</v>
      </c>
      <c r="E1337" s="37">
        <v>41563</v>
      </c>
      <c r="F1337" s="40" t="s">
        <v>598</v>
      </c>
      <c r="G1337" s="40" t="s">
        <v>961</v>
      </c>
      <c r="H1337" s="7" t="s">
        <v>1284</v>
      </c>
      <c r="I1337" s="256">
        <v>244</v>
      </c>
      <c r="J1337" s="256">
        <v>17722</v>
      </c>
      <c r="K1337" s="602">
        <f t="shared" si="444"/>
        <v>4324168</v>
      </c>
      <c r="L1337" s="39" t="s">
        <v>165</v>
      </c>
      <c r="M1337" s="603" t="s">
        <v>159</v>
      </c>
      <c r="N1337" s="39" t="str">
        <f>IF(AND('331-CT'!$E$7=TH!H1337,OR(L1337="331",M1337="331")),"331",IF(AND(OR(L1337="131",M1337="131"),H1337='131-CT'!$E$7),"131",""))</f>
        <v/>
      </c>
      <c r="O1337" s="39" t="str">
        <f>IF(AND($B1337&gt;='111'!$N$11,$B1337&lt;='111'!$O$11,OR($L1337=$O$7,$M1337=$O$7)),"x","")</f>
        <v/>
      </c>
      <c r="P1337" s="39" t="str">
        <f>IF(AND($L1337=$O$7,$B1337&lt;'111'!$N$11),"x","")</f>
        <v/>
      </c>
      <c r="Q1337" s="39" t="str">
        <f>IF(AND($M1337=$O$7,$B1337&lt;'111'!$N$11),"x","")</f>
        <v/>
      </c>
      <c r="R1337" s="39" t="str">
        <f>IF(ISERROR(FIND('112'!$M$9,G1337,1)),"",IF((AND(FIND('112'!$M$9,G1337,1)&gt;=1,$B1337&gt;='112'!$N$8,$B1337&lt;='112'!$O$8,OR($L1337='112'!$I$6,$M1337='112'!$I$6))),"x",""))</f>
        <v/>
      </c>
      <c r="S1337" s="39" t="str">
        <f>IF(ISERROR(FIND('112'!$M$9,G1337,1)),"",IF((AND(LEFT(G1337,2)=LEFT('112'!$M$9,2),B1337&lt;'112'!$N$8,$L1337='112'!$I$6)),"x",""))</f>
        <v/>
      </c>
      <c r="T1337" s="39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39" t="str">
        <f>IF(OR(TH!L1337=TH!$V$7,M1337=TH!$V$7),"x","")</f>
        <v/>
      </c>
      <c r="W1337" s="39" t="str">
        <f>IF(AND(B1337&gt;='IN-NX'!$P$3,B1337&lt;='IN-NX'!$Q$3,'IN-NX'!$D$7=D1337,OR(LEFT(L1337,2)="15",AND(LEFT(M1337,2)&lt;&gt;"15",LEFT(M1337,2)&lt;&gt;"33"))),"x","")</f>
        <v/>
      </c>
      <c r="X1337" s="39" t="str">
        <f>IF(AND(OR(LEFT(TH!L1337,2)="15",LEFT(TH!M1337,2)="15"),'152-CT'!$J$8=TH!F1337),"x","")</f>
        <v/>
      </c>
      <c r="Y1337" s="39" t="str">
        <f>IF(AND(OR(LEFT(TH!L1337,2)="15",LEFT(TH!M1337,2)="15"),TK!$E$7=TH!F1337),"x","")</f>
        <v/>
      </c>
      <c r="Z1337" s="39" t="str">
        <f>IF(AND(B1337&lt;=NKC!$N$8,B1337&gt;=NKC!$M$8),"x","")</f>
        <v/>
      </c>
      <c r="AA1337" s="883"/>
    </row>
    <row r="1338" spans="1:27" s="211" customFormat="1" ht="15.75" customHeight="1">
      <c r="A1338" s="204" t="str">
        <f>IF(B1338&lt;&gt;"",IF(AND(B1338&gt;=_TM1,B1338&lt;=_TM2,OR(TH!L1338="1111",TH!M1338="1111")),TH!D1338,""),"")</f>
        <v/>
      </c>
      <c r="B1338" s="36">
        <f t="shared" si="445"/>
        <v>10</v>
      </c>
      <c r="C1338" s="191">
        <f t="shared" si="443"/>
        <v>41563</v>
      </c>
      <c r="D1338" s="191" t="s">
        <v>1292</v>
      </c>
      <c r="E1338" s="37">
        <v>41563</v>
      </c>
      <c r="F1338" s="40" t="s">
        <v>694</v>
      </c>
      <c r="G1338" s="40" t="s">
        <v>961</v>
      </c>
      <c r="H1338" s="7" t="s">
        <v>1284</v>
      </c>
      <c r="I1338" s="256">
        <v>230</v>
      </c>
      <c r="J1338" s="256">
        <v>6656</v>
      </c>
      <c r="K1338" s="602">
        <f t="shared" si="444"/>
        <v>1530880</v>
      </c>
      <c r="L1338" s="39" t="s">
        <v>165</v>
      </c>
      <c r="M1338" s="603" t="s">
        <v>159</v>
      </c>
      <c r="N1338" s="39" t="str">
        <f>IF(AND('331-CT'!$E$7=TH!H1338,OR(L1338="331",M1338="331")),"331",IF(AND(OR(L1338="131",M1338="131"),H1338='131-CT'!$E$7),"131",""))</f>
        <v/>
      </c>
      <c r="O1338" s="39" t="str">
        <f>IF(AND($B1338&gt;='111'!$N$11,$B1338&lt;='111'!$O$11,OR($L1338=$O$7,$M1338=$O$7)),"x","")</f>
        <v/>
      </c>
      <c r="P1338" s="39" t="str">
        <f>IF(AND($L1338=$O$7,$B1338&lt;'111'!$N$11),"x","")</f>
        <v/>
      </c>
      <c r="Q1338" s="39" t="str">
        <f>IF(AND($M1338=$O$7,$B1338&lt;'111'!$N$11),"x","")</f>
        <v/>
      </c>
      <c r="R1338" s="39" t="str">
        <f>IF(ISERROR(FIND('112'!$M$9,G1338,1)),"",IF((AND(FIND('112'!$M$9,G1338,1)&gt;=1,$B1338&gt;='112'!$N$8,$B1338&lt;='112'!$O$8,OR($L1338='112'!$I$6,$M1338='112'!$I$6))),"x",""))</f>
        <v/>
      </c>
      <c r="S1338" s="39" t="str">
        <f>IF(ISERROR(FIND('112'!$M$9,G1338,1)),"",IF((AND(LEFT(G1338,2)=LEFT('112'!$M$9,2),B1338&lt;'112'!$N$8,$L1338='112'!$I$6)),"x",""))</f>
        <v/>
      </c>
      <c r="T1338" s="39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39" t="str">
        <f>IF(OR(TH!L1338=TH!$V$7,M1338=TH!$V$7),"x","")</f>
        <v/>
      </c>
      <c r="W1338" s="39" t="str">
        <f>IF(AND(B1338&gt;='IN-NX'!$P$3,B1338&lt;='IN-NX'!$Q$3,'IN-NX'!$D$7=D1338,OR(LEFT(L1338,2)="15",AND(LEFT(M1338,2)&lt;&gt;"15",LEFT(M1338,2)&lt;&gt;"33"))),"x","")</f>
        <v/>
      </c>
      <c r="X1338" s="39" t="str">
        <f>IF(AND(OR(LEFT(TH!L1338,2)="15",LEFT(TH!M1338,2)="15"),'152-CT'!$J$8=TH!F1338),"x","")</f>
        <v/>
      </c>
      <c r="Y1338" s="39" t="str">
        <f>IF(AND(OR(LEFT(TH!L1338,2)="15",LEFT(TH!M1338,2)="15"),TK!$E$7=TH!F1338),"x","")</f>
        <v/>
      </c>
      <c r="Z1338" s="39" t="str">
        <f>IF(AND(B1338&lt;=NKC!$N$8,B1338&gt;=NKC!$M$8),"x","")</f>
        <v/>
      </c>
      <c r="AA1338" s="883"/>
    </row>
    <row r="1339" spans="1:27" s="211" customFormat="1" ht="15.75" customHeight="1">
      <c r="A1339" s="204" t="str">
        <f>IF(B1339&lt;&gt;"",IF(AND(B1339&gt;=_TM1,B1339&lt;=_TM2,OR(TH!L1339="1111",TH!M1339="1111")),TH!D1339,""),"")</f>
        <v/>
      </c>
      <c r="B1339" s="36">
        <f t="shared" si="445"/>
        <v>10</v>
      </c>
      <c r="C1339" s="191">
        <f t="shared" si="443"/>
        <v>41565</v>
      </c>
      <c r="D1339" s="191" t="s">
        <v>1292</v>
      </c>
      <c r="E1339" s="37">
        <v>41565</v>
      </c>
      <c r="F1339" s="40" t="s">
        <v>646</v>
      </c>
      <c r="G1339" s="40" t="s">
        <v>963</v>
      </c>
      <c r="H1339" s="7" t="s">
        <v>1284</v>
      </c>
      <c r="I1339" s="256">
        <v>530</v>
      </c>
      <c r="J1339" s="256">
        <v>7400</v>
      </c>
      <c r="K1339" s="602">
        <f t="shared" si="444"/>
        <v>3922000</v>
      </c>
      <c r="L1339" s="39" t="s">
        <v>165</v>
      </c>
      <c r="M1339" s="603" t="s">
        <v>159</v>
      </c>
      <c r="N1339" s="39" t="str">
        <f>IF(AND('331-CT'!$E$7=TH!H1339,OR(L1339="331",M1339="331")),"331",IF(AND(OR(L1339="131",M1339="131"),H1339='131-CT'!$E$7),"131",""))</f>
        <v/>
      </c>
      <c r="O1339" s="39" t="str">
        <f>IF(AND($B1339&gt;='111'!$N$11,$B1339&lt;='111'!$O$11,OR($L1339=$O$7,$M1339=$O$7)),"x","")</f>
        <v/>
      </c>
      <c r="P1339" s="39" t="str">
        <f>IF(AND($L1339=$O$7,$B1339&lt;'111'!$N$11),"x","")</f>
        <v/>
      </c>
      <c r="Q1339" s="39" t="str">
        <f>IF(AND($M1339=$O$7,$B1339&lt;'111'!$N$11),"x","")</f>
        <v/>
      </c>
      <c r="R1339" s="39" t="str">
        <f>IF(ISERROR(FIND('112'!$M$9,G1339,1)),"",IF((AND(FIND('112'!$M$9,G1339,1)&gt;=1,$B1339&gt;='112'!$N$8,$B1339&lt;='112'!$O$8,OR($L1339='112'!$I$6,$M1339='112'!$I$6))),"x",""))</f>
        <v/>
      </c>
      <c r="S1339" s="39" t="str">
        <f>IF(ISERROR(FIND('112'!$M$9,G1339,1)),"",IF((AND(LEFT(G1339,2)=LEFT('112'!$M$9,2),B1339&lt;'112'!$N$8,$L1339='112'!$I$6)),"x",""))</f>
        <v/>
      </c>
      <c r="T1339" s="39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39" t="str">
        <f>IF(OR(TH!L1339=TH!$V$7,M1339=TH!$V$7),"x","")</f>
        <v/>
      </c>
      <c r="W1339" s="39" t="str">
        <f>IF(AND(B1339&gt;='IN-NX'!$P$3,B1339&lt;='IN-NX'!$Q$3,'IN-NX'!$D$7=D1339,OR(LEFT(L1339,2)="15",AND(LEFT(M1339,2)&lt;&gt;"15",LEFT(M1339,2)&lt;&gt;"33"))),"x","")</f>
        <v/>
      </c>
      <c r="X1339" s="39" t="str">
        <f>IF(AND(OR(LEFT(TH!L1339,2)="15",LEFT(TH!M1339,2)="15"),'152-CT'!$J$8=TH!F1339),"x","")</f>
        <v/>
      </c>
      <c r="Y1339" s="39" t="str">
        <f>IF(AND(OR(LEFT(TH!L1339,2)="15",LEFT(TH!M1339,2)="15"),TK!$E$7=TH!F1339),"x","")</f>
        <v/>
      </c>
      <c r="Z1339" s="39" t="str">
        <f>IF(AND(B1339&lt;=NKC!$N$8,B1339&gt;=NKC!$M$8),"x","")</f>
        <v/>
      </c>
      <c r="AA1339" s="883"/>
    </row>
    <row r="1340" spans="1:27" s="211" customFormat="1" ht="15.75" customHeight="1">
      <c r="A1340" s="204" t="str">
        <f>IF(B1340&lt;&gt;"",IF(AND(B1340&gt;=_TM1,B1340&lt;=_TM2,OR(TH!L1340="1111",TH!M1340="1111")),TH!D1340,""),"")</f>
        <v/>
      </c>
      <c r="B1340" s="36">
        <f t="shared" si="445"/>
        <v>10</v>
      </c>
      <c r="C1340" s="191">
        <f t="shared" si="443"/>
        <v>41565</v>
      </c>
      <c r="D1340" s="191" t="s">
        <v>1292</v>
      </c>
      <c r="E1340" s="37">
        <v>41565</v>
      </c>
      <c r="F1340" s="192" t="s">
        <v>612</v>
      </c>
      <c r="G1340" s="40" t="s">
        <v>965</v>
      </c>
      <c r="H1340" s="7" t="s">
        <v>1284</v>
      </c>
      <c r="I1340" s="256">
        <v>27</v>
      </c>
      <c r="J1340" s="256">
        <v>7274</v>
      </c>
      <c r="K1340" s="602">
        <f t="shared" si="444"/>
        <v>196398</v>
      </c>
      <c r="L1340" s="39" t="s">
        <v>165</v>
      </c>
      <c r="M1340" s="603" t="s">
        <v>159</v>
      </c>
      <c r="N1340" s="39" t="str">
        <f>IF(AND('331-CT'!$E$7=TH!H1340,OR(L1340="331",M1340="331")),"331",IF(AND(OR(L1340="131",M1340="131"),H1340='131-CT'!$E$7),"131",""))</f>
        <v/>
      </c>
      <c r="O1340" s="39" t="str">
        <f>IF(AND($B1340&gt;='111'!$N$11,$B1340&lt;='111'!$O$11,OR($L1340=$O$7,$M1340=$O$7)),"x","")</f>
        <v/>
      </c>
      <c r="P1340" s="39" t="str">
        <f>IF(AND($L1340=$O$7,$B1340&lt;'111'!$N$11),"x","")</f>
        <v/>
      </c>
      <c r="Q1340" s="39" t="str">
        <f>IF(AND($M1340=$O$7,$B1340&lt;'111'!$N$11),"x","")</f>
        <v/>
      </c>
      <c r="R1340" s="39" t="str">
        <f>IF(ISERROR(FIND('112'!$M$9,G1340,1)),"",IF((AND(FIND('112'!$M$9,G1340,1)&gt;=1,$B1340&gt;='112'!$N$8,$B1340&lt;='112'!$O$8,OR($L1340='112'!$I$6,$M1340='112'!$I$6))),"x",""))</f>
        <v/>
      </c>
      <c r="S1340" s="39" t="str">
        <f>IF(ISERROR(FIND('112'!$M$9,G1340,1)),"",IF((AND(LEFT(G1340,2)=LEFT('112'!$M$9,2),B1340&lt;'112'!$N$8,$L1340='112'!$I$6)),"x",""))</f>
        <v/>
      </c>
      <c r="T1340" s="39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39" t="str">
        <f>IF(OR(TH!L1340=TH!$V$7,M1340=TH!$V$7),"x","")</f>
        <v/>
      </c>
      <c r="W1340" s="39" t="str">
        <f>IF(AND(B1340&gt;='IN-NX'!$P$3,B1340&lt;='IN-NX'!$Q$3,'IN-NX'!$D$7=D1340,OR(LEFT(L1340,2)="15",AND(LEFT(M1340,2)&lt;&gt;"15",LEFT(M1340,2)&lt;&gt;"33"))),"x","")</f>
        <v/>
      </c>
      <c r="X1340" s="39" t="str">
        <f>IF(AND(OR(LEFT(TH!L1340,2)="15",LEFT(TH!M1340,2)="15"),'152-CT'!$J$8=TH!F1340),"x","")</f>
        <v/>
      </c>
      <c r="Y1340" s="39" t="str">
        <f>IF(AND(OR(LEFT(TH!L1340,2)="15",LEFT(TH!M1340,2)="15"),TK!$E$7=TH!F1340),"x","")</f>
        <v/>
      </c>
      <c r="Z1340" s="39" t="str">
        <f>IF(AND(B1340&lt;=NKC!$N$8,B1340&gt;=NKC!$M$8),"x","")</f>
        <v/>
      </c>
      <c r="AA1340" s="883"/>
    </row>
    <row r="1341" spans="1:27" s="211" customFormat="1" ht="15.75" customHeight="1">
      <c r="A1341" s="204" t="str">
        <f>IF(B1341&lt;&gt;"",IF(AND(B1341&gt;=_TM1,B1341&lt;=_TM2,OR(TH!L1341="1111",TH!M1341="1111")),TH!D1341,""),"")</f>
        <v/>
      </c>
      <c r="B1341" s="36">
        <f t="shared" si="445"/>
        <v>10</v>
      </c>
      <c r="C1341" s="191">
        <f t="shared" si="443"/>
        <v>41565</v>
      </c>
      <c r="D1341" s="191" t="s">
        <v>1292</v>
      </c>
      <c r="E1341" s="37">
        <v>41565</v>
      </c>
      <c r="F1341" s="40" t="s">
        <v>1229</v>
      </c>
      <c r="G1341" s="40" t="s">
        <v>965</v>
      </c>
      <c r="H1341" s="7" t="s">
        <v>1284</v>
      </c>
      <c r="I1341" s="256">
        <v>20</v>
      </c>
      <c r="J1341" s="256">
        <v>11873</v>
      </c>
      <c r="K1341" s="602">
        <f t="shared" si="444"/>
        <v>237460</v>
      </c>
      <c r="L1341" s="39" t="s">
        <v>165</v>
      </c>
      <c r="M1341" s="603" t="s">
        <v>159</v>
      </c>
      <c r="N1341" s="39" t="str">
        <f>IF(AND('331-CT'!$E$7=TH!H1341,OR(L1341="331",M1341="331")),"331",IF(AND(OR(L1341="131",M1341="131"),H1341='131-CT'!$E$7),"131",""))</f>
        <v/>
      </c>
      <c r="O1341" s="39" t="str">
        <f>IF(AND($B1341&gt;='111'!$N$11,$B1341&lt;='111'!$O$11,OR($L1341=$O$7,$M1341=$O$7)),"x","")</f>
        <v/>
      </c>
      <c r="P1341" s="39" t="str">
        <f>IF(AND($L1341=$O$7,$B1341&lt;'111'!$N$11),"x","")</f>
        <v/>
      </c>
      <c r="Q1341" s="39" t="str">
        <f>IF(AND($M1341=$O$7,$B1341&lt;'111'!$N$11),"x","")</f>
        <v/>
      </c>
      <c r="R1341" s="39" t="str">
        <f>IF(ISERROR(FIND('112'!$M$9,G1341,1)),"",IF((AND(FIND('112'!$M$9,G1341,1)&gt;=1,$B1341&gt;='112'!$N$8,$B1341&lt;='112'!$O$8,OR($L1341='112'!$I$6,$M1341='112'!$I$6))),"x",""))</f>
        <v/>
      </c>
      <c r="S1341" s="39" t="str">
        <f>IF(ISERROR(FIND('112'!$M$9,G1341,1)),"",IF((AND(LEFT(G1341,2)=LEFT('112'!$M$9,2),B1341&lt;'112'!$N$8,$L1341='112'!$I$6)),"x",""))</f>
        <v/>
      </c>
      <c r="T1341" s="39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39" t="str">
        <f>IF(OR(TH!L1341=TH!$V$7,M1341=TH!$V$7),"x","")</f>
        <v/>
      </c>
      <c r="W1341" s="39" t="str">
        <f>IF(AND(B1341&gt;='IN-NX'!$P$3,B1341&lt;='IN-NX'!$Q$3,'IN-NX'!$D$7=D1341,OR(LEFT(L1341,2)="15",AND(LEFT(M1341,2)&lt;&gt;"15",LEFT(M1341,2)&lt;&gt;"33"))),"x","")</f>
        <v/>
      </c>
      <c r="X1341" s="39" t="str">
        <f>IF(AND(OR(LEFT(TH!L1341,2)="15",LEFT(TH!M1341,2)="15"),'152-CT'!$J$8=TH!F1341),"x","")</f>
        <v/>
      </c>
      <c r="Y1341" s="39" t="str">
        <f>IF(AND(OR(LEFT(TH!L1341,2)="15",LEFT(TH!M1341,2)="15"),TK!$E$7=TH!F1341),"x","")</f>
        <v/>
      </c>
      <c r="Z1341" s="39" t="str">
        <f>IF(AND(B1341&lt;=NKC!$N$8,B1341&gt;=NKC!$M$8),"x","")</f>
        <v/>
      </c>
      <c r="AA1341" s="883"/>
    </row>
    <row r="1342" spans="1:27" s="211" customFormat="1" ht="15.75" customHeight="1">
      <c r="A1342" s="204" t="str">
        <f>IF(B1342&lt;&gt;"",IF(AND(B1342&gt;=_TM1,B1342&lt;=_TM2,OR(TH!L1342="1111",TH!M1342="1111")),TH!D1342,""),"")</f>
        <v/>
      </c>
      <c r="B1342" s="36">
        <f t="shared" si="445"/>
        <v>10</v>
      </c>
      <c r="C1342" s="191">
        <f t="shared" si="443"/>
        <v>41565</v>
      </c>
      <c r="D1342" s="191" t="s">
        <v>1292</v>
      </c>
      <c r="E1342" s="37">
        <v>41565</v>
      </c>
      <c r="F1342" s="40" t="s">
        <v>612</v>
      </c>
      <c r="G1342" s="40" t="s">
        <v>965</v>
      </c>
      <c r="H1342" s="7" t="s">
        <v>1284</v>
      </c>
      <c r="I1342" s="256">
        <v>40</v>
      </c>
      <c r="J1342" s="256">
        <v>7274</v>
      </c>
      <c r="K1342" s="602">
        <f t="shared" si="444"/>
        <v>290960</v>
      </c>
      <c r="L1342" s="39" t="s">
        <v>165</v>
      </c>
      <c r="M1342" s="603" t="s">
        <v>159</v>
      </c>
      <c r="N1342" s="39" t="str">
        <f>IF(AND('331-CT'!$E$7=TH!H1342,OR(L1342="331",M1342="331")),"331",IF(AND(OR(L1342="131",M1342="131"),H1342='131-CT'!$E$7),"131",""))</f>
        <v/>
      </c>
      <c r="O1342" s="39" t="str">
        <f>IF(AND($B1342&gt;='111'!$N$11,$B1342&lt;='111'!$O$11,OR($L1342=$O$7,$M1342=$O$7)),"x","")</f>
        <v/>
      </c>
      <c r="P1342" s="39" t="str">
        <f>IF(AND($L1342=$O$7,$B1342&lt;'111'!$N$11),"x","")</f>
        <v/>
      </c>
      <c r="Q1342" s="39" t="str">
        <f>IF(AND($M1342=$O$7,$B1342&lt;'111'!$N$11),"x","")</f>
        <v/>
      </c>
      <c r="R1342" s="39" t="str">
        <f>IF(ISERROR(FIND('112'!$M$9,G1342,1)),"",IF((AND(FIND('112'!$M$9,G1342,1)&gt;=1,$B1342&gt;='112'!$N$8,$B1342&lt;='112'!$O$8,OR($L1342='112'!$I$6,$M1342='112'!$I$6))),"x",""))</f>
        <v/>
      </c>
      <c r="S1342" s="39" t="str">
        <f>IF(ISERROR(FIND('112'!$M$9,G1342,1)),"",IF((AND(LEFT(G1342,2)=LEFT('112'!$M$9,2),B1342&lt;'112'!$N$8,$L1342='112'!$I$6)),"x",""))</f>
        <v/>
      </c>
      <c r="T1342" s="39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39" t="str">
        <f>IF(OR(TH!L1342=TH!$V$7,M1342=TH!$V$7),"x","")</f>
        <v/>
      </c>
      <c r="W1342" s="39" t="str">
        <f>IF(AND(B1342&gt;='IN-NX'!$P$3,B1342&lt;='IN-NX'!$Q$3,'IN-NX'!$D$7=D1342,OR(LEFT(L1342,2)="15",AND(LEFT(M1342,2)&lt;&gt;"15",LEFT(M1342,2)&lt;&gt;"33"))),"x","")</f>
        <v/>
      </c>
      <c r="X1342" s="39" t="str">
        <f>IF(AND(OR(LEFT(TH!L1342,2)="15",LEFT(TH!M1342,2)="15"),'152-CT'!$J$8=TH!F1342),"x","")</f>
        <v/>
      </c>
      <c r="Y1342" s="39" t="str">
        <f>IF(AND(OR(LEFT(TH!L1342,2)="15",LEFT(TH!M1342,2)="15"),TK!$E$7=TH!F1342),"x","")</f>
        <v/>
      </c>
      <c r="Z1342" s="39" t="str">
        <f>IF(AND(B1342&lt;=NKC!$N$8,B1342&gt;=NKC!$M$8),"x","")</f>
        <v/>
      </c>
      <c r="AA1342" s="883"/>
    </row>
    <row r="1343" spans="1:27" s="211" customFormat="1" ht="15.75" customHeight="1">
      <c r="A1343" s="204" t="str">
        <f>IF(B1343&lt;&gt;"",IF(AND(B1343&gt;=_TM1,B1343&lt;=_TM2,OR(TH!L1343="1111",TH!M1343="1111")),TH!D1343,""),"")</f>
        <v/>
      </c>
      <c r="B1343" s="36">
        <f t="shared" si="445"/>
        <v>10</v>
      </c>
      <c r="C1343" s="191">
        <f t="shared" si="443"/>
        <v>41565</v>
      </c>
      <c r="D1343" s="191" t="s">
        <v>1292</v>
      </c>
      <c r="E1343" s="37">
        <v>41565</v>
      </c>
      <c r="F1343" s="40" t="s">
        <v>611</v>
      </c>
      <c r="G1343" s="40" t="s">
        <v>965</v>
      </c>
      <c r="H1343" s="7" t="s">
        <v>1284</v>
      </c>
      <c r="I1343" s="256">
        <v>30</v>
      </c>
      <c r="J1343" s="256">
        <v>8461</v>
      </c>
      <c r="K1343" s="602">
        <f t="shared" si="444"/>
        <v>253830</v>
      </c>
      <c r="L1343" s="39" t="s">
        <v>165</v>
      </c>
      <c r="M1343" s="603" t="s">
        <v>159</v>
      </c>
      <c r="N1343" s="39" t="str">
        <f>IF(AND('331-CT'!$E$7=TH!H1343,OR(L1343="331",M1343="331")),"331",IF(AND(OR(L1343="131",M1343="131"),H1343='131-CT'!$E$7),"131",""))</f>
        <v/>
      </c>
      <c r="O1343" s="39" t="str">
        <f>IF(AND($B1343&gt;='111'!$N$11,$B1343&lt;='111'!$O$11,OR($L1343=$O$7,$M1343=$O$7)),"x","")</f>
        <v/>
      </c>
      <c r="P1343" s="39" t="str">
        <f>IF(AND($L1343=$O$7,$B1343&lt;'111'!$N$11),"x","")</f>
        <v/>
      </c>
      <c r="Q1343" s="39" t="str">
        <f>IF(AND($M1343=$O$7,$B1343&lt;'111'!$N$11),"x","")</f>
        <v/>
      </c>
      <c r="R1343" s="39" t="str">
        <f>IF(ISERROR(FIND('112'!$M$9,G1343,1)),"",IF((AND(FIND('112'!$M$9,G1343,1)&gt;=1,$B1343&gt;='112'!$N$8,$B1343&lt;='112'!$O$8,OR($L1343='112'!$I$6,$M1343='112'!$I$6))),"x",""))</f>
        <v/>
      </c>
      <c r="S1343" s="39" t="str">
        <f>IF(ISERROR(FIND('112'!$M$9,G1343,1)),"",IF((AND(LEFT(G1343,2)=LEFT('112'!$M$9,2),B1343&lt;'112'!$N$8,$L1343='112'!$I$6)),"x",""))</f>
        <v/>
      </c>
      <c r="T1343" s="39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39" t="str">
        <f>IF(OR(TH!L1343=TH!$V$7,M1343=TH!$V$7),"x","")</f>
        <v/>
      </c>
      <c r="W1343" s="39" t="str">
        <f>IF(AND(B1343&gt;='IN-NX'!$P$3,B1343&lt;='IN-NX'!$Q$3,'IN-NX'!$D$7=D1343,OR(LEFT(L1343,2)="15",AND(LEFT(M1343,2)&lt;&gt;"15",LEFT(M1343,2)&lt;&gt;"33"))),"x","")</f>
        <v/>
      </c>
      <c r="X1343" s="39" t="str">
        <f>IF(AND(OR(LEFT(TH!L1343,2)="15",LEFT(TH!M1343,2)="15"),'152-CT'!$J$8=TH!F1343),"x","")</f>
        <v/>
      </c>
      <c r="Y1343" s="39" t="str">
        <f>IF(AND(OR(LEFT(TH!L1343,2)="15",LEFT(TH!M1343,2)="15"),TK!$E$7=TH!F1343),"x","")</f>
        <v/>
      </c>
      <c r="Z1343" s="39" t="str">
        <f>IF(AND(B1343&lt;=NKC!$N$8,B1343&gt;=NKC!$M$8),"x","")</f>
        <v/>
      </c>
      <c r="AA1343" s="883"/>
    </row>
    <row r="1344" spans="1:27" s="211" customFormat="1" ht="15.75" customHeight="1">
      <c r="A1344" s="204" t="str">
        <f>IF(B1344&lt;&gt;"",IF(AND(B1344&gt;=_TM1,B1344&lt;=_TM2,OR(TH!L1344="1111",TH!M1344="1111")),TH!D1344,""),"")</f>
        <v/>
      </c>
      <c r="B1344" s="36">
        <f t="shared" si="445"/>
        <v>10</v>
      </c>
      <c r="C1344" s="191">
        <f t="shared" si="443"/>
        <v>41565</v>
      </c>
      <c r="D1344" s="191" t="s">
        <v>1292</v>
      </c>
      <c r="E1344" s="37">
        <v>41565</v>
      </c>
      <c r="F1344" s="40" t="s">
        <v>634</v>
      </c>
      <c r="G1344" s="40" t="s">
        <v>965</v>
      </c>
      <c r="H1344" s="7" t="s">
        <v>1284</v>
      </c>
      <c r="I1344" s="256">
        <v>40</v>
      </c>
      <c r="J1344" s="256">
        <v>11126</v>
      </c>
      <c r="K1344" s="602">
        <f t="shared" si="444"/>
        <v>445040</v>
      </c>
      <c r="L1344" s="39" t="s">
        <v>165</v>
      </c>
      <c r="M1344" s="603" t="s">
        <v>159</v>
      </c>
      <c r="N1344" s="39" t="str">
        <f>IF(AND('331-CT'!$E$7=TH!H1344,OR(L1344="331",M1344="331")),"331",IF(AND(OR(L1344="131",M1344="131"),H1344='131-CT'!$E$7),"131",""))</f>
        <v/>
      </c>
      <c r="O1344" s="39" t="str">
        <f>IF(AND($B1344&gt;='111'!$N$11,$B1344&lt;='111'!$O$11,OR($L1344=$O$7,$M1344=$O$7)),"x","")</f>
        <v/>
      </c>
      <c r="P1344" s="39" t="str">
        <f>IF(AND($L1344=$O$7,$B1344&lt;'111'!$N$11),"x","")</f>
        <v/>
      </c>
      <c r="Q1344" s="39" t="str">
        <f>IF(AND($M1344=$O$7,$B1344&lt;'111'!$N$11),"x","")</f>
        <v/>
      </c>
      <c r="R1344" s="39" t="str">
        <f>IF(ISERROR(FIND('112'!$M$9,G1344,1)),"",IF((AND(FIND('112'!$M$9,G1344,1)&gt;=1,$B1344&gt;='112'!$N$8,$B1344&lt;='112'!$O$8,OR($L1344='112'!$I$6,$M1344='112'!$I$6))),"x",""))</f>
        <v/>
      </c>
      <c r="S1344" s="39" t="str">
        <f>IF(ISERROR(FIND('112'!$M$9,G1344,1)),"",IF((AND(LEFT(G1344,2)=LEFT('112'!$M$9,2),B1344&lt;'112'!$N$8,$L1344='112'!$I$6)),"x",""))</f>
        <v/>
      </c>
      <c r="T1344" s="39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39" t="str">
        <f>IF(OR(TH!L1344=TH!$V$7,M1344=TH!$V$7),"x","")</f>
        <v/>
      </c>
      <c r="W1344" s="39" t="str">
        <f>IF(AND(B1344&gt;='IN-NX'!$P$3,B1344&lt;='IN-NX'!$Q$3,'IN-NX'!$D$7=D1344,OR(LEFT(L1344,2)="15",AND(LEFT(M1344,2)&lt;&gt;"15",LEFT(M1344,2)&lt;&gt;"33"))),"x","")</f>
        <v/>
      </c>
      <c r="X1344" s="39" t="str">
        <f>IF(AND(OR(LEFT(TH!L1344,2)="15",LEFT(TH!M1344,2)="15"),'152-CT'!$J$8=TH!F1344),"x","")</f>
        <v/>
      </c>
      <c r="Y1344" s="39" t="str">
        <f>IF(AND(OR(LEFT(TH!L1344,2)="15",LEFT(TH!M1344,2)="15"),TK!$E$7=TH!F1344),"x","")</f>
        <v/>
      </c>
      <c r="Z1344" s="39" t="str">
        <f>IF(AND(B1344&lt;=NKC!$N$8,B1344&gt;=NKC!$M$8),"x","")</f>
        <v/>
      </c>
      <c r="AA1344" s="883"/>
    </row>
    <row r="1345" spans="1:27" s="211" customFormat="1" ht="15.75" customHeight="1">
      <c r="A1345" s="204" t="str">
        <f>IF(B1345&lt;&gt;"",IF(AND(B1345&gt;=_TM1,B1345&lt;=_TM2,OR(TH!L1345="1111",TH!M1345="1111")),TH!D1345,""),"")</f>
        <v/>
      </c>
      <c r="B1345" s="36">
        <f t="shared" si="445"/>
        <v>10</v>
      </c>
      <c r="C1345" s="191">
        <f t="shared" si="443"/>
        <v>41565</v>
      </c>
      <c r="D1345" s="191" t="s">
        <v>1292</v>
      </c>
      <c r="E1345" s="37">
        <v>41565</v>
      </c>
      <c r="F1345" s="40" t="s">
        <v>1218</v>
      </c>
      <c r="G1345" s="40" t="s">
        <v>965</v>
      </c>
      <c r="H1345" s="7" t="s">
        <v>1284</v>
      </c>
      <c r="I1345" s="256">
        <v>100</v>
      </c>
      <c r="J1345" s="256">
        <v>4429</v>
      </c>
      <c r="K1345" s="602">
        <f t="shared" si="444"/>
        <v>442900</v>
      </c>
      <c r="L1345" s="39" t="s">
        <v>165</v>
      </c>
      <c r="M1345" s="603" t="s">
        <v>159</v>
      </c>
      <c r="N1345" s="39" t="str">
        <f>IF(AND('331-CT'!$E$7=TH!H1345,OR(L1345="331",M1345="331")),"331",IF(AND(OR(L1345="131",M1345="131"),H1345='131-CT'!$E$7),"131",""))</f>
        <v/>
      </c>
      <c r="O1345" s="39" t="str">
        <f>IF(AND($B1345&gt;='111'!$N$11,$B1345&lt;='111'!$O$11,OR($L1345=$O$7,$M1345=$O$7)),"x","")</f>
        <v/>
      </c>
      <c r="P1345" s="39" t="str">
        <f>IF(AND($L1345=$O$7,$B1345&lt;'111'!$N$11),"x","")</f>
        <v/>
      </c>
      <c r="Q1345" s="39" t="str">
        <f>IF(AND($M1345=$O$7,$B1345&lt;'111'!$N$11),"x","")</f>
        <v/>
      </c>
      <c r="R1345" s="39" t="str">
        <f>IF(ISERROR(FIND('112'!$M$9,G1345,1)),"",IF((AND(FIND('112'!$M$9,G1345,1)&gt;=1,$B1345&gt;='112'!$N$8,$B1345&lt;='112'!$O$8,OR($L1345='112'!$I$6,$M1345='112'!$I$6))),"x",""))</f>
        <v/>
      </c>
      <c r="S1345" s="39" t="str">
        <f>IF(ISERROR(FIND('112'!$M$9,G1345,1)),"",IF((AND(LEFT(G1345,2)=LEFT('112'!$M$9,2),B1345&lt;'112'!$N$8,$L1345='112'!$I$6)),"x",""))</f>
        <v/>
      </c>
      <c r="T1345" s="39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39" t="str">
        <f>IF(OR(TH!L1345=TH!$V$7,M1345=TH!$V$7),"x","")</f>
        <v/>
      </c>
      <c r="W1345" s="39" t="str">
        <f>IF(AND(B1345&gt;='IN-NX'!$P$3,B1345&lt;='IN-NX'!$Q$3,'IN-NX'!$D$7=D1345,OR(LEFT(L1345,2)="15",AND(LEFT(M1345,2)&lt;&gt;"15",LEFT(M1345,2)&lt;&gt;"33"))),"x","")</f>
        <v/>
      </c>
      <c r="X1345" s="39" t="str">
        <f>IF(AND(OR(LEFT(TH!L1345,2)="15",LEFT(TH!M1345,2)="15"),'152-CT'!$J$8=TH!F1345),"x","")</f>
        <v/>
      </c>
      <c r="Y1345" s="39" t="str">
        <f>IF(AND(OR(LEFT(TH!L1345,2)="15",LEFT(TH!M1345,2)="15"),TK!$E$7=TH!F1345),"x","")</f>
        <v/>
      </c>
      <c r="Z1345" s="39" t="str">
        <f>IF(AND(B1345&lt;=NKC!$N$8,B1345&gt;=NKC!$M$8),"x","")</f>
        <v/>
      </c>
      <c r="AA1345" s="883"/>
    </row>
    <row r="1346" spans="1:27" s="211" customFormat="1" ht="15.75" customHeight="1">
      <c r="A1346" s="204" t="str">
        <f>IF(B1346&lt;&gt;"",IF(AND(B1346&gt;=_TM1,B1346&lt;=_TM2,OR(TH!L1346="1111",TH!M1346="1111")),TH!D1346,""),"")</f>
        <v/>
      </c>
      <c r="B1346" s="36">
        <f t="shared" si="445"/>
        <v>10</v>
      </c>
      <c r="C1346" s="191">
        <f t="shared" si="443"/>
        <v>41565</v>
      </c>
      <c r="D1346" s="191" t="s">
        <v>1292</v>
      </c>
      <c r="E1346" s="37">
        <v>41565</v>
      </c>
      <c r="F1346" s="40" t="s">
        <v>1241</v>
      </c>
      <c r="G1346" s="40" t="s">
        <v>970</v>
      </c>
      <c r="H1346" s="7" t="s">
        <v>1284</v>
      </c>
      <c r="I1346" s="256">
        <v>15</v>
      </c>
      <c r="J1346" s="256">
        <v>19910.04</v>
      </c>
      <c r="K1346" s="602">
        <f t="shared" si="444"/>
        <v>298651</v>
      </c>
      <c r="L1346" s="39" t="s">
        <v>165</v>
      </c>
      <c r="M1346" s="603" t="s">
        <v>159</v>
      </c>
      <c r="N1346" s="39" t="str">
        <f>IF(AND('331-CT'!$E$7=TH!H1346,OR(L1346="331",M1346="331")),"331",IF(AND(OR(L1346="131",M1346="131"),H1346='131-CT'!$E$7),"131",""))</f>
        <v/>
      </c>
      <c r="O1346" s="39" t="str">
        <f>IF(AND($B1346&gt;='111'!$N$11,$B1346&lt;='111'!$O$11,OR($L1346=$O$7,$M1346=$O$7)),"x","")</f>
        <v/>
      </c>
      <c r="P1346" s="39" t="str">
        <f>IF(AND($L1346=$O$7,$B1346&lt;'111'!$N$11),"x","")</f>
        <v/>
      </c>
      <c r="Q1346" s="39" t="str">
        <f>IF(AND($M1346=$O$7,$B1346&lt;'111'!$N$11),"x","")</f>
        <v/>
      </c>
      <c r="R1346" s="39" t="str">
        <f>IF(ISERROR(FIND('112'!$M$9,G1346,1)),"",IF((AND(FIND('112'!$M$9,G1346,1)&gt;=1,$B1346&gt;='112'!$N$8,$B1346&lt;='112'!$O$8,OR($L1346='112'!$I$6,$M1346='112'!$I$6))),"x",""))</f>
        <v/>
      </c>
      <c r="S1346" s="39" t="str">
        <f>IF(ISERROR(FIND('112'!$M$9,G1346,1)),"",IF((AND(LEFT(G1346,2)=LEFT('112'!$M$9,2),B1346&lt;'112'!$N$8,$L1346='112'!$I$6)),"x",""))</f>
        <v/>
      </c>
      <c r="T1346" s="39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39" t="str">
        <f>IF(OR(TH!L1346=TH!$V$7,M1346=TH!$V$7),"x","")</f>
        <v/>
      </c>
      <c r="W1346" s="39" t="str">
        <f>IF(AND(B1346&gt;='IN-NX'!$P$3,B1346&lt;='IN-NX'!$Q$3,'IN-NX'!$D$7=D1346,OR(LEFT(L1346,2)="15",AND(LEFT(M1346,2)&lt;&gt;"15",LEFT(M1346,2)&lt;&gt;"33"))),"x","")</f>
        <v/>
      </c>
      <c r="X1346" s="39" t="str">
        <f>IF(AND(OR(LEFT(TH!L1346,2)="15",LEFT(TH!M1346,2)="15"),'152-CT'!$J$8=TH!F1346),"x","")</f>
        <v/>
      </c>
      <c r="Y1346" s="39" t="str">
        <f>IF(AND(OR(LEFT(TH!L1346,2)="15",LEFT(TH!M1346,2)="15"),TK!$E$7=TH!F1346),"x","")</f>
        <v/>
      </c>
      <c r="Z1346" s="39" t="str">
        <f>IF(AND(B1346&lt;=NKC!$N$8,B1346&gt;=NKC!$M$8),"x","")</f>
        <v/>
      </c>
      <c r="AA1346" s="883"/>
    </row>
    <row r="1347" spans="1:27" s="211" customFormat="1" ht="15.75" customHeight="1">
      <c r="A1347" s="204" t="str">
        <f>IF(B1347&lt;&gt;"",IF(AND(B1347&gt;=_TM1,B1347&lt;=_TM2,OR(TH!L1347="1111",TH!M1347="1111")),TH!D1347,""),"")</f>
        <v/>
      </c>
      <c r="B1347" s="36">
        <f t="shared" si="445"/>
        <v>10</v>
      </c>
      <c r="C1347" s="191">
        <f t="shared" si="443"/>
        <v>41565</v>
      </c>
      <c r="D1347" s="191" t="s">
        <v>1292</v>
      </c>
      <c r="E1347" s="37">
        <v>41565</v>
      </c>
      <c r="F1347" s="192" t="s">
        <v>612</v>
      </c>
      <c r="G1347" s="40" t="s">
        <v>970</v>
      </c>
      <c r="H1347" s="7" t="s">
        <v>1284</v>
      </c>
      <c r="I1347" s="256">
        <v>30</v>
      </c>
      <c r="J1347" s="256">
        <v>7274</v>
      </c>
      <c r="K1347" s="602">
        <f t="shared" si="444"/>
        <v>218220</v>
      </c>
      <c r="L1347" s="39" t="s">
        <v>165</v>
      </c>
      <c r="M1347" s="603" t="s">
        <v>159</v>
      </c>
      <c r="N1347" s="39" t="str">
        <f>IF(AND('331-CT'!$E$7=TH!H1347,OR(L1347="331",M1347="331")),"331",IF(AND(OR(L1347="131",M1347="131"),H1347='131-CT'!$E$7),"131",""))</f>
        <v/>
      </c>
      <c r="O1347" s="39" t="str">
        <f>IF(AND($B1347&gt;='111'!$N$11,$B1347&lt;='111'!$O$11,OR($L1347=$O$7,$M1347=$O$7)),"x","")</f>
        <v/>
      </c>
      <c r="P1347" s="39" t="str">
        <f>IF(AND($L1347=$O$7,$B1347&lt;'111'!$N$11),"x","")</f>
        <v/>
      </c>
      <c r="Q1347" s="39" t="str">
        <f>IF(AND($M1347=$O$7,$B1347&lt;'111'!$N$11),"x","")</f>
        <v/>
      </c>
      <c r="R1347" s="39" t="str">
        <f>IF(ISERROR(FIND('112'!$M$9,G1347,1)),"",IF((AND(FIND('112'!$M$9,G1347,1)&gt;=1,$B1347&gt;='112'!$N$8,$B1347&lt;='112'!$O$8,OR($L1347='112'!$I$6,$M1347='112'!$I$6))),"x",""))</f>
        <v/>
      </c>
      <c r="S1347" s="39" t="str">
        <f>IF(ISERROR(FIND('112'!$M$9,G1347,1)),"",IF((AND(LEFT(G1347,2)=LEFT('112'!$M$9,2),B1347&lt;'112'!$N$8,$L1347='112'!$I$6)),"x",""))</f>
        <v/>
      </c>
      <c r="T1347" s="39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39" t="str">
        <f>IF(OR(TH!L1347=TH!$V$7,M1347=TH!$V$7),"x","")</f>
        <v/>
      </c>
      <c r="W1347" s="39" t="str">
        <f>IF(AND(B1347&gt;='IN-NX'!$P$3,B1347&lt;='IN-NX'!$Q$3,'IN-NX'!$D$7=D1347,OR(LEFT(L1347,2)="15",AND(LEFT(M1347,2)&lt;&gt;"15",LEFT(M1347,2)&lt;&gt;"33"))),"x","")</f>
        <v/>
      </c>
      <c r="X1347" s="39" t="str">
        <f>IF(AND(OR(LEFT(TH!L1347,2)="15",LEFT(TH!M1347,2)="15"),'152-CT'!$J$8=TH!F1347),"x","")</f>
        <v/>
      </c>
      <c r="Y1347" s="39" t="str">
        <f>IF(AND(OR(LEFT(TH!L1347,2)="15",LEFT(TH!M1347,2)="15"),TK!$E$7=TH!F1347),"x","")</f>
        <v/>
      </c>
      <c r="Z1347" s="39" t="str">
        <f>IF(AND(B1347&lt;=NKC!$N$8,B1347&gt;=NKC!$M$8),"x","")</f>
        <v/>
      </c>
      <c r="AA1347" s="883"/>
    </row>
    <row r="1348" spans="1:27" s="211" customFormat="1" ht="15.75" customHeight="1">
      <c r="A1348" s="204" t="str">
        <f>IF(B1348&lt;&gt;"",IF(AND(B1348&gt;=_TM1,B1348&lt;=_TM2,OR(TH!L1348="1111",TH!M1348="1111")),TH!D1348,""),"")</f>
        <v/>
      </c>
      <c r="B1348" s="36">
        <f t="shared" si="445"/>
        <v>10</v>
      </c>
      <c r="C1348" s="191">
        <f t="shared" si="443"/>
        <v>41565</v>
      </c>
      <c r="D1348" s="191" t="s">
        <v>1292</v>
      </c>
      <c r="E1348" s="37">
        <v>41565</v>
      </c>
      <c r="F1348" s="192" t="s">
        <v>1218</v>
      </c>
      <c r="G1348" s="40" t="s">
        <v>970</v>
      </c>
      <c r="H1348" s="7" t="s">
        <v>1284</v>
      </c>
      <c r="I1348" s="256">
        <v>100</v>
      </c>
      <c r="J1348" s="256">
        <v>4429</v>
      </c>
      <c r="K1348" s="602">
        <f t="shared" si="444"/>
        <v>442900</v>
      </c>
      <c r="L1348" s="39" t="s">
        <v>165</v>
      </c>
      <c r="M1348" s="603" t="s">
        <v>159</v>
      </c>
      <c r="N1348" s="39" t="str">
        <f>IF(AND('331-CT'!$E$7=TH!H1348,OR(L1348="331",M1348="331")),"331",IF(AND(OR(L1348="131",M1348="131"),H1348='131-CT'!$E$7),"131",""))</f>
        <v/>
      </c>
      <c r="O1348" s="39" t="str">
        <f>IF(AND($B1348&gt;='111'!$N$11,$B1348&lt;='111'!$O$11,OR($L1348=$O$7,$M1348=$O$7)),"x","")</f>
        <v/>
      </c>
      <c r="P1348" s="39" t="str">
        <f>IF(AND($L1348=$O$7,$B1348&lt;'111'!$N$11),"x","")</f>
        <v/>
      </c>
      <c r="Q1348" s="39" t="str">
        <f>IF(AND($M1348=$O$7,$B1348&lt;'111'!$N$11),"x","")</f>
        <v/>
      </c>
      <c r="R1348" s="39" t="str">
        <f>IF(ISERROR(FIND('112'!$M$9,G1348,1)),"",IF((AND(FIND('112'!$M$9,G1348,1)&gt;=1,$B1348&gt;='112'!$N$8,$B1348&lt;='112'!$O$8,OR($L1348='112'!$I$6,$M1348='112'!$I$6))),"x",""))</f>
        <v/>
      </c>
      <c r="S1348" s="39" t="str">
        <f>IF(ISERROR(FIND('112'!$M$9,G1348,1)),"",IF((AND(LEFT(G1348,2)=LEFT('112'!$M$9,2),B1348&lt;'112'!$N$8,$L1348='112'!$I$6)),"x",""))</f>
        <v/>
      </c>
      <c r="T1348" s="39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39" t="str">
        <f>IF(OR(TH!L1348=TH!$V$7,M1348=TH!$V$7),"x","")</f>
        <v/>
      </c>
      <c r="W1348" s="39" t="str">
        <f>IF(AND(B1348&gt;='IN-NX'!$P$3,B1348&lt;='IN-NX'!$Q$3,'IN-NX'!$D$7=D1348,OR(LEFT(L1348,2)="15",AND(LEFT(M1348,2)&lt;&gt;"15",LEFT(M1348,2)&lt;&gt;"33"))),"x","")</f>
        <v/>
      </c>
      <c r="X1348" s="39" t="str">
        <f>IF(AND(OR(LEFT(TH!L1348,2)="15",LEFT(TH!M1348,2)="15"),'152-CT'!$J$8=TH!F1348),"x","")</f>
        <v/>
      </c>
      <c r="Y1348" s="39" t="str">
        <f>IF(AND(OR(LEFT(TH!L1348,2)="15",LEFT(TH!M1348,2)="15"),TK!$E$7=TH!F1348),"x","")</f>
        <v/>
      </c>
      <c r="Z1348" s="39" t="str">
        <f>IF(AND(B1348&lt;=NKC!$N$8,B1348&gt;=NKC!$M$8),"x","")</f>
        <v/>
      </c>
      <c r="AA1348" s="883"/>
    </row>
    <row r="1349" spans="1:27" s="211" customFormat="1" ht="15.75" customHeight="1">
      <c r="A1349" s="204" t="str">
        <f>IF(B1349&lt;&gt;"",IF(AND(B1349&gt;=_TM1,B1349&lt;=_TM2,OR(TH!L1349="1111",TH!M1349="1111")),TH!D1349,""),"")</f>
        <v/>
      </c>
      <c r="B1349" s="36">
        <f t="shared" si="445"/>
        <v>10</v>
      </c>
      <c r="C1349" s="191">
        <f t="shared" si="443"/>
        <v>41565</v>
      </c>
      <c r="D1349" s="191" t="s">
        <v>1292</v>
      </c>
      <c r="E1349" s="37">
        <v>41565</v>
      </c>
      <c r="F1349" s="40" t="s">
        <v>628</v>
      </c>
      <c r="G1349" s="40" t="s">
        <v>970</v>
      </c>
      <c r="H1349" s="7" t="s">
        <v>1284</v>
      </c>
      <c r="I1349" s="256">
        <v>15</v>
      </c>
      <c r="J1349" s="256">
        <v>8385</v>
      </c>
      <c r="K1349" s="602">
        <f t="shared" si="444"/>
        <v>125775</v>
      </c>
      <c r="L1349" s="39" t="s">
        <v>165</v>
      </c>
      <c r="M1349" s="603" t="s">
        <v>159</v>
      </c>
      <c r="N1349" s="39" t="str">
        <f>IF(AND('331-CT'!$E$7=TH!H1349,OR(L1349="331",M1349="331")),"331",IF(AND(OR(L1349="131",M1349="131"),H1349='131-CT'!$E$7),"131",""))</f>
        <v/>
      </c>
      <c r="O1349" s="39" t="str">
        <f>IF(AND($B1349&gt;='111'!$N$11,$B1349&lt;='111'!$O$11,OR($L1349=$O$7,$M1349=$O$7)),"x","")</f>
        <v/>
      </c>
      <c r="P1349" s="39" t="str">
        <f>IF(AND($L1349=$O$7,$B1349&lt;'111'!$N$11),"x","")</f>
        <v/>
      </c>
      <c r="Q1349" s="39" t="str">
        <f>IF(AND($M1349=$O$7,$B1349&lt;'111'!$N$11),"x","")</f>
        <v/>
      </c>
      <c r="R1349" s="39" t="str">
        <f>IF(ISERROR(FIND('112'!$M$9,G1349,1)),"",IF((AND(FIND('112'!$M$9,G1349,1)&gt;=1,$B1349&gt;='112'!$N$8,$B1349&lt;='112'!$O$8,OR($L1349='112'!$I$6,$M1349='112'!$I$6))),"x",""))</f>
        <v/>
      </c>
      <c r="S1349" s="39" t="str">
        <f>IF(ISERROR(FIND('112'!$M$9,G1349,1)),"",IF((AND(LEFT(G1349,2)=LEFT('112'!$M$9,2),B1349&lt;'112'!$N$8,$L1349='112'!$I$6)),"x",""))</f>
        <v/>
      </c>
      <c r="T1349" s="39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39" t="str">
        <f>IF(OR(TH!L1349=TH!$V$7,M1349=TH!$V$7),"x","")</f>
        <v/>
      </c>
      <c r="W1349" s="39" t="str">
        <f>IF(AND(B1349&gt;='IN-NX'!$P$3,B1349&lt;='IN-NX'!$Q$3,'IN-NX'!$D$7=D1349,OR(LEFT(L1349,2)="15",AND(LEFT(M1349,2)&lt;&gt;"15",LEFT(M1349,2)&lt;&gt;"33"))),"x","")</f>
        <v/>
      </c>
      <c r="X1349" s="39" t="str">
        <f>IF(AND(OR(LEFT(TH!L1349,2)="15",LEFT(TH!M1349,2)="15"),'152-CT'!$J$8=TH!F1349),"x","")</f>
        <v/>
      </c>
      <c r="Y1349" s="39" t="str">
        <f>IF(AND(OR(LEFT(TH!L1349,2)="15",LEFT(TH!M1349,2)="15"),TK!$E$7=TH!F1349),"x","")</f>
        <v/>
      </c>
      <c r="Z1349" s="39" t="str">
        <f>IF(AND(B1349&lt;=NKC!$N$8,B1349&gt;=NKC!$M$8),"x","")</f>
        <v/>
      </c>
      <c r="AA1349" s="883"/>
    </row>
    <row r="1350" spans="1:27" s="211" customFormat="1" ht="15.75" customHeight="1">
      <c r="A1350" s="204" t="str">
        <f>IF(B1350&lt;&gt;"",IF(AND(B1350&gt;=_TM1,B1350&lt;=_TM2,OR(TH!L1350="1111",TH!M1350="1111")),TH!D1350,""),"")</f>
        <v/>
      </c>
      <c r="B1350" s="36">
        <f t="shared" si="445"/>
        <v>10</v>
      </c>
      <c r="C1350" s="191">
        <f t="shared" si="443"/>
        <v>41565</v>
      </c>
      <c r="D1350" s="191" t="s">
        <v>1292</v>
      </c>
      <c r="E1350" s="37">
        <v>41565</v>
      </c>
      <c r="F1350" s="40" t="s">
        <v>656</v>
      </c>
      <c r="G1350" s="40" t="s">
        <v>970</v>
      </c>
      <c r="H1350" s="7" t="s">
        <v>1284</v>
      </c>
      <c r="I1350" s="256">
        <v>15</v>
      </c>
      <c r="J1350" s="256">
        <v>13832</v>
      </c>
      <c r="K1350" s="602">
        <f t="shared" si="444"/>
        <v>207480</v>
      </c>
      <c r="L1350" s="39" t="s">
        <v>165</v>
      </c>
      <c r="M1350" s="603" t="s">
        <v>159</v>
      </c>
      <c r="N1350" s="39" t="str">
        <f>IF(AND('331-CT'!$E$7=TH!H1350,OR(L1350="331",M1350="331")),"331",IF(AND(OR(L1350="131",M1350="131"),H1350='131-CT'!$E$7),"131",""))</f>
        <v/>
      </c>
      <c r="O1350" s="39" t="str">
        <f>IF(AND($B1350&gt;='111'!$N$11,$B1350&lt;='111'!$O$11,OR($L1350=$O$7,$M1350=$O$7)),"x","")</f>
        <v/>
      </c>
      <c r="P1350" s="39" t="str">
        <f>IF(AND($L1350=$O$7,$B1350&lt;'111'!$N$11),"x","")</f>
        <v/>
      </c>
      <c r="Q1350" s="39" t="str">
        <f>IF(AND($M1350=$O$7,$B1350&lt;'111'!$N$11),"x","")</f>
        <v/>
      </c>
      <c r="R1350" s="39" t="str">
        <f>IF(ISERROR(FIND('112'!$M$9,G1350,1)),"",IF((AND(FIND('112'!$M$9,G1350,1)&gt;=1,$B1350&gt;='112'!$N$8,$B1350&lt;='112'!$O$8,OR($L1350='112'!$I$6,$M1350='112'!$I$6))),"x",""))</f>
        <v/>
      </c>
      <c r="S1350" s="39" t="str">
        <f>IF(ISERROR(FIND('112'!$M$9,G1350,1)),"",IF((AND(LEFT(G1350,2)=LEFT('112'!$M$9,2),B1350&lt;'112'!$N$8,$L1350='112'!$I$6)),"x",""))</f>
        <v/>
      </c>
      <c r="T1350" s="39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39" t="str">
        <f>IF(OR(TH!L1350=TH!$V$7,M1350=TH!$V$7),"x","")</f>
        <v/>
      </c>
      <c r="W1350" s="39" t="str">
        <f>IF(AND(B1350&gt;='IN-NX'!$P$3,B1350&lt;='IN-NX'!$Q$3,'IN-NX'!$D$7=D1350,OR(LEFT(L1350,2)="15",AND(LEFT(M1350,2)&lt;&gt;"15",LEFT(M1350,2)&lt;&gt;"33"))),"x","")</f>
        <v/>
      </c>
      <c r="X1350" s="39" t="str">
        <f>IF(AND(OR(LEFT(TH!L1350,2)="15",LEFT(TH!M1350,2)="15"),'152-CT'!$J$8=TH!F1350),"x","")</f>
        <v/>
      </c>
      <c r="Y1350" s="39" t="str">
        <f>IF(AND(OR(LEFT(TH!L1350,2)="15",LEFT(TH!M1350,2)="15"),TK!$E$7=TH!F1350),"x","")</f>
        <v/>
      </c>
      <c r="Z1350" s="39" t="str">
        <f>IF(AND(B1350&lt;=NKC!$N$8,B1350&gt;=NKC!$M$8),"x","")</f>
        <v/>
      </c>
      <c r="AA1350" s="883"/>
    </row>
    <row r="1351" spans="1:27" s="211" customFormat="1" ht="15.75" customHeight="1">
      <c r="A1351" s="204" t="str">
        <f>IF(B1351&lt;&gt;"",IF(AND(B1351&gt;=_TM1,B1351&lt;=_TM2,OR(TH!L1351="1111",TH!M1351="1111")),TH!D1351,""),"")</f>
        <v/>
      </c>
      <c r="B1351" s="36">
        <f t="shared" si="445"/>
        <v>10</v>
      </c>
      <c r="C1351" s="191">
        <f t="shared" si="443"/>
        <v>41565</v>
      </c>
      <c r="D1351" s="191" t="s">
        <v>1292</v>
      </c>
      <c r="E1351" s="191">
        <v>41565</v>
      </c>
      <c r="F1351" s="192" t="s">
        <v>628</v>
      </c>
      <c r="G1351" s="487" t="s">
        <v>970</v>
      </c>
      <c r="H1351" s="7" t="s">
        <v>1284</v>
      </c>
      <c r="I1351" s="256">
        <v>8</v>
      </c>
      <c r="J1351" s="256">
        <v>8385</v>
      </c>
      <c r="K1351" s="602">
        <f t="shared" si="444"/>
        <v>67080</v>
      </c>
      <c r="L1351" s="39" t="s">
        <v>165</v>
      </c>
      <c r="M1351" s="603" t="s">
        <v>159</v>
      </c>
      <c r="N1351" s="39" t="str">
        <f>IF(AND('331-CT'!$E$7=TH!H1351,OR(L1351="331",M1351="331")),"331",IF(AND(OR(L1351="131",M1351="131"),H1351='131-CT'!$E$7),"131",""))</f>
        <v/>
      </c>
      <c r="O1351" s="39" t="str">
        <f>IF(AND($B1351&gt;='111'!$N$11,$B1351&lt;='111'!$O$11,OR($L1351=$O$7,$M1351=$O$7)),"x","")</f>
        <v/>
      </c>
      <c r="P1351" s="39" t="str">
        <f>IF(AND($L1351=$O$7,$B1351&lt;'111'!$N$11),"x","")</f>
        <v/>
      </c>
      <c r="Q1351" s="39" t="str">
        <f>IF(AND($M1351=$O$7,$B1351&lt;'111'!$N$11),"x","")</f>
        <v/>
      </c>
      <c r="R1351" s="39" t="str">
        <f>IF(ISERROR(FIND('112'!$M$9,G1351,1)),"",IF((AND(FIND('112'!$M$9,G1351,1)&gt;=1,$B1351&gt;='112'!$N$8,$B1351&lt;='112'!$O$8,OR($L1351='112'!$I$6,$M1351='112'!$I$6))),"x",""))</f>
        <v/>
      </c>
      <c r="S1351" s="39" t="str">
        <f>IF(ISERROR(FIND('112'!$M$9,G1351,1)),"",IF((AND(LEFT(G1351,2)=LEFT('112'!$M$9,2),B1351&lt;'112'!$N$8,$L1351='112'!$I$6)),"x",""))</f>
        <v/>
      </c>
      <c r="T1351" s="39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39" t="str">
        <f>IF(OR(TH!L1351=TH!$V$7,M1351=TH!$V$7),"x","")</f>
        <v/>
      </c>
      <c r="W1351" s="39" t="str">
        <f>IF(AND(B1351&gt;='IN-NX'!$P$3,B1351&lt;='IN-NX'!$Q$3,'IN-NX'!$D$7=D1351,OR(LEFT(L1351,2)="15",AND(LEFT(M1351,2)&lt;&gt;"15",LEFT(M1351,2)&lt;&gt;"33"))),"x","")</f>
        <v/>
      </c>
      <c r="X1351" s="39" t="str">
        <f>IF(AND(OR(LEFT(TH!L1351,2)="15",LEFT(TH!M1351,2)="15"),'152-CT'!$J$8=TH!F1351),"x","")</f>
        <v/>
      </c>
      <c r="Y1351" s="39" t="str">
        <f>IF(AND(OR(LEFT(TH!L1351,2)="15",LEFT(TH!M1351,2)="15"),TK!$E$7=TH!F1351),"x","")</f>
        <v/>
      </c>
      <c r="Z1351" s="39" t="str">
        <f>IF(AND(B1351&lt;=NKC!$N$8,B1351&gt;=NKC!$M$8),"x","")</f>
        <v/>
      </c>
      <c r="AA1351" s="883"/>
    </row>
    <row r="1352" spans="1:27" s="211" customFormat="1" ht="15.75" customHeight="1">
      <c r="A1352" s="204" t="str">
        <f>IF(B1352&lt;&gt;"",IF(AND(B1352&gt;=_TM1,B1352&lt;=_TM2,OR(TH!L1352="1111",TH!M1352="1111")),TH!D1352,""),"")</f>
        <v/>
      </c>
      <c r="B1352" s="36">
        <f t="shared" si="445"/>
        <v>10</v>
      </c>
      <c r="C1352" s="191">
        <f t="shared" si="443"/>
        <v>41565</v>
      </c>
      <c r="D1352" s="191" t="s">
        <v>1292</v>
      </c>
      <c r="E1352" s="191">
        <v>41565</v>
      </c>
      <c r="F1352" s="192" t="s">
        <v>1241</v>
      </c>
      <c r="G1352" s="487" t="s">
        <v>970</v>
      </c>
      <c r="H1352" s="7" t="s">
        <v>1284</v>
      </c>
      <c r="I1352" s="256">
        <v>5</v>
      </c>
      <c r="J1352" s="256">
        <v>19910.05909888824</v>
      </c>
      <c r="K1352" s="602">
        <f t="shared" si="444"/>
        <v>99550</v>
      </c>
      <c r="L1352" s="39" t="s">
        <v>165</v>
      </c>
      <c r="M1352" s="603" t="s">
        <v>159</v>
      </c>
      <c r="N1352" s="39" t="str">
        <f>IF(AND('331-CT'!$E$7=TH!H1352,OR(L1352="331",M1352="331")),"331",IF(AND(OR(L1352="131",M1352="131"),H1352='131-CT'!$E$7),"131",""))</f>
        <v/>
      </c>
      <c r="O1352" s="39" t="str">
        <f>IF(AND($B1352&gt;='111'!$N$11,$B1352&lt;='111'!$O$11,OR($L1352=$O$7,$M1352=$O$7)),"x","")</f>
        <v/>
      </c>
      <c r="P1352" s="39" t="str">
        <f>IF(AND($L1352=$O$7,$B1352&lt;'111'!$N$11),"x","")</f>
        <v/>
      </c>
      <c r="Q1352" s="39" t="str">
        <f>IF(AND($M1352=$O$7,$B1352&lt;'111'!$N$11),"x","")</f>
        <v/>
      </c>
      <c r="R1352" s="39" t="str">
        <f>IF(ISERROR(FIND('112'!$M$9,G1352,1)),"",IF((AND(FIND('112'!$M$9,G1352,1)&gt;=1,$B1352&gt;='112'!$N$8,$B1352&lt;='112'!$O$8,OR($L1352='112'!$I$6,$M1352='112'!$I$6))),"x",""))</f>
        <v/>
      </c>
      <c r="S1352" s="39" t="str">
        <f>IF(ISERROR(FIND('112'!$M$9,G1352,1)),"",IF((AND(LEFT(G1352,2)=LEFT('112'!$M$9,2),B1352&lt;'112'!$N$8,$L1352='112'!$I$6)),"x",""))</f>
        <v/>
      </c>
      <c r="T1352" s="39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39" t="str">
        <f>IF(OR(TH!L1352=TH!$V$7,M1352=TH!$V$7),"x","")</f>
        <v/>
      </c>
      <c r="W1352" s="39" t="str">
        <f>IF(AND(B1352&gt;='IN-NX'!$P$3,B1352&lt;='IN-NX'!$Q$3,'IN-NX'!$D$7=D1352,OR(LEFT(L1352,2)="15",AND(LEFT(M1352,2)&lt;&gt;"15",LEFT(M1352,2)&lt;&gt;"33"))),"x","")</f>
        <v/>
      </c>
      <c r="X1352" s="39" t="str">
        <f>IF(AND(OR(LEFT(TH!L1352,2)="15",LEFT(TH!M1352,2)="15"),'152-CT'!$J$8=TH!F1352),"x","")</f>
        <v/>
      </c>
      <c r="Y1352" s="39" t="str">
        <f>IF(AND(OR(LEFT(TH!L1352,2)="15",LEFT(TH!M1352,2)="15"),TK!$E$7=TH!F1352),"x","")</f>
        <v/>
      </c>
      <c r="Z1352" s="39" t="str">
        <f>IF(AND(B1352&lt;=NKC!$N$8,B1352&gt;=NKC!$M$8),"x","")</f>
        <v/>
      </c>
      <c r="AA1352" s="883"/>
    </row>
    <row r="1353" spans="1:27" s="211" customFormat="1" ht="15.75" customHeight="1">
      <c r="A1353" s="204" t="str">
        <f>IF(B1353&lt;&gt;"",IF(AND(B1353&gt;=_TM1,B1353&lt;=_TM2,OR(TH!L1353="1111",TH!M1353="1111")),TH!D1353,""),"")</f>
        <v/>
      </c>
      <c r="B1353" s="36">
        <f t="shared" si="445"/>
        <v>10</v>
      </c>
      <c r="C1353" s="191">
        <f t="shared" si="443"/>
        <v>41565</v>
      </c>
      <c r="D1353" s="191" t="s">
        <v>1292</v>
      </c>
      <c r="E1353" s="191">
        <v>41565</v>
      </c>
      <c r="F1353" s="192" t="s">
        <v>674</v>
      </c>
      <c r="G1353" s="487" t="s">
        <v>970</v>
      </c>
      <c r="H1353" s="7" t="s">
        <v>1284</v>
      </c>
      <c r="I1353" s="257">
        <v>15</v>
      </c>
      <c r="J1353" s="257">
        <v>9577</v>
      </c>
      <c r="K1353" s="602">
        <f t="shared" si="444"/>
        <v>143655</v>
      </c>
      <c r="L1353" s="39" t="s">
        <v>165</v>
      </c>
      <c r="M1353" s="603" t="s">
        <v>159</v>
      </c>
      <c r="N1353" s="39" t="str">
        <f>IF(AND('331-CT'!$E$7=TH!H1353,OR(L1353="331",M1353="331")),"331",IF(AND(OR(L1353="131",M1353="131"),H1353='131-CT'!$E$7),"131",""))</f>
        <v/>
      </c>
      <c r="O1353" s="39" t="str">
        <f>IF(AND($B1353&gt;='111'!$N$11,$B1353&lt;='111'!$O$11,OR($L1353=$O$7,$M1353=$O$7)),"x","")</f>
        <v/>
      </c>
      <c r="P1353" s="39" t="str">
        <f>IF(AND($L1353=$O$7,$B1353&lt;'111'!$N$11),"x","")</f>
        <v/>
      </c>
      <c r="Q1353" s="39" t="str">
        <f>IF(AND($M1353=$O$7,$B1353&lt;'111'!$N$11),"x","")</f>
        <v/>
      </c>
      <c r="R1353" s="39" t="str">
        <f>IF(ISERROR(FIND('112'!$M$9,G1353,1)),"",IF((AND(FIND('112'!$M$9,G1353,1)&gt;=1,$B1353&gt;='112'!$N$8,$B1353&lt;='112'!$O$8,OR($L1353='112'!$I$6,$M1353='112'!$I$6))),"x",""))</f>
        <v/>
      </c>
      <c r="S1353" s="39" t="str">
        <f>IF(ISERROR(FIND('112'!$M$9,G1353,1)),"",IF((AND(LEFT(G1353,2)=LEFT('112'!$M$9,2),B1353&lt;'112'!$N$8,$L1353='112'!$I$6)),"x",""))</f>
        <v/>
      </c>
      <c r="T1353" s="39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39" t="str">
        <f>IF(OR(TH!L1353=TH!$V$7,M1353=TH!$V$7),"x","")</f>
        <v/>
      </c>
      <c r="W1353" s="39" t="str">
        <f>IF(AND(B1353&gt;='IN-NX'!$P$3,B1353&lt;='IN-NX'!$Q$3,'IN-NX'!$D$7=D1353,OR(LEFT(L1353,2)="15",AND(LEFT(M1353,2)&lt;&gt;"15",LEFT(M1353,2)&lt;&gt;"33"))),"x","")</f>
        <v/>
      </c>
      <c r="X1353" s="39" t="str">
        <f>IF(AND(OR(LEFT(TH!L1353,2)="15",LEFT(TH!M1353,2)="15"),'152-CT'!$J$8=TH!F1353),"x","")</f>
        <v/>
      </c>
      <c r="Y1353" s="39" t="str">
        <f>IF(AND(OR(LEFT(TH!L1353,2)="15",LEFT(TH!M1353,2)="15"),TK!$E$7=TH!F1353),"x","")</f>
        <v/>
      </c>
      <c r="Z1353" s="39" t="str">
        <f>IF(AND(B1353&lt;=NKC!$N$8,B1353&gt;=NKC!$M$8),"x","")</f>
        <v/>
      </c>
      <c r="AA1353" s="883"/>
    </row>
    <row r="1354" spans="1:27" s="211" customFormat="1" ht="15.75" customHeight="1">
      <c r="A1354" s="204" t="str">
        <f>IF(B1354&lt;&gt;"",IF(AND(B1354&gt;=_TM1,B1354&lt;=_TM2,OR(TH!L1354="1111",TH!M1354="1111")),TH!D1354,""),"")</f>
        <v/>
      </c>
      <c r="B1354" s="36">
        <f t="shared" si="445"/>
        <v>10</v>
      </c>
      <c r="C1354" s="191">
        <f t="shared" si="443"/>
        <v>41565</v>
      </c>
      <c r="D1354" s="191" t="s">
        <v>1292</v>
      </c>
      <c r="E1354" s="191">
        <v>41565</v>
      </c>
      <c r="F1354" s="192" t="s">
        <v>679</v>
      </c>
      <c r="G1354" s="487" t="s">
        <v>979</v>
      </c>
      <c r="H1354" s="7" t="s">
        <v>1284</v>
      </c>
      <c r="I1354" s="256">
        <v>20</v>
      </c>
      <c r="J1354" s="256">
        <v>18709</v>
      </c>
      <c r="K1354" s="602">
        <f t="shared" si="444"/>
        <v>374180</v>
      </c>
      <c r="L1354" s="39" t="s">
        <v>165</v>
      </c>
      <c r="M1354" s="603" t="s">
        <v>159</v>
      </c>
      <c r="N1354" s="39" t="str">
        <f>IF(AND('331-CT'!$E$7=TH!H1354,OR(L1354="331",M1354="331")),"331",IF(AND(OR(L1354="131",M1354="131"),H1354='131-CT'!$E$7),"131",""))</f>
        <v/>
      </c>
      <c r="O1354" s="39" t="str">
        <f>IF(AND($B1354&gt;='111'!$N$11,$B1354&lt;='111'!$O$11,OR($L1354=$O$7,$M1354=$O$7)),"x","")</f>
        <v/>
      </c>
      <c r="P1354" s="39" t="str">
        <f>IF(AND($L1354=$O$7,$B1354&lt;'111'!$N$11),"x","")</f>
        <v/>
      </c>
      <c r="Q1354" s="39" t="str">
        <f>IF(AND($M1354=$O$7,$B1354&lt;'111'!$N$11),"x","")</f>
        <v/>
      </c>
      <c r="R1354" s="39" t="str">
        <f>IF(ISERROR(FIND('112'!$M$9,G1354,1)),"",IF((AND(FIND('112'!$M$9,G1354,1)&gt;=1,$B1354&gt;='112'!$N$8,$B1354&lt;='112'!$O$8,OR($L1354='112'!$I$6,$M1354='112'!$I$6))),"x",""))</f>
        <v/>
      </c>
      <c r="S1354" s="39" t="str">
        <f>IF(ISERROR(FIND('112'!$M$9,G1354,1)),"",IF((AND(LEFT(G1354,2)=LEFT('112'!$M$9,2),B1354&lt;'112'!$N$8,$L1354='112'!$I$6)),"x",""))</f>
        <v/>
      </c>
      <c r="T1354" s="39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39" t="str">
        <f>IF(OR(TH!L1354=TH!$V$7,M1354=TH!$V$7),"x","")</f>
        <v/>
      </c>
      <c r="W1354" s="39" t="str">
        <f>IF(AND(B1354&gt;='IN-NX'!$P$3,B1354&lt;='IN-NX'!$Q$3,'IN-NX'!$D$7=D1354,OR(LEFT(L1354,2)="15",AND(LEFT(M1354,2)&lt;&gt;"15",LEFT(M1354,2)&lt;&gt;"33"))),"x","")</f>
        <v/>
      </c>
      <c r="X1354" s="39" t="str">
        <f>IF(AND(OR(LEFT(TH!L1354,2)="15",LEFT(TH!M1354,2)="15"),'152-CT'!$J$8=TH!F1354),"x","")</f>
        <v/>
      </c>
      <c r="Y1354" s="39" t="str">
        <f>IF(AND(OR(LEFT(TH!L1354,2)="15",LEFT(TH!M1354,2)="15"),TK!$E$7=TH!F1354),"x","")</f>
        <v/>
      </c>
      <c r="Z1354" s="39" t="str">
        <f>IF(AND(B1354&lt;=NKC!$N$8,B1354&gt;=NKC!$M$8),"x","")</f>
        <v/>
      </c>
      <c r="AA1354" s="883"/>
    </row>
    <row r="1355" spans="1:27" s="211" customFormat="1" ht="15.75" customHeight="1">
      <c r="A1355" s="204" t="str">
        <f>IF(B1355&lt;&gt;"",IF(AND(B1355&gt;=_TM1,B1355&lt;=_TM2,OR(TH!L1355="1111",TH!M1355="1111")),TH!D1355,""),"")</f>
        <v/>
      </c>
      <c r="B1355" s="36">
        <f t="shared" si="445"/>
        <v>10</v>
      </c>
      <c r="C1355" s="191">
        <f t="shared" si="443"/>
        <v>41565</v>
      </c>
      <c r="D1355" s="191" t="s">
        <v>1292</v>
      </c>
      <c r="E1355" s="191">
        <v>41565</v>
      </c>
      <c r="F1355" s="192" t="s">
        <v>674</v>
      </c>
      <c r="G1355" s="487" t="s">
        <v>981</v>
      </c>
      <c r="H1355" s="7" t="s">
        <v>1284</v>
      </c>
      <c r="I1355" s="256">
        <v>60</v>
      </c>
      <c r="J1355" s="256">
        <v>9577</v>
      </c>
      <c r="K1355" s="602">
        <f t="shared" si="444"/>
        <v>574620</v>
      </c>
      <c r="L1355" s="39" t="s">
        <v>165</v>
      </c>
      <c r="M1355" s="603" t="s">
        <v>159</v>
      </c>
      <c r="N1355" s="39" t="str">
        <f>IF(AND('331-CT'!$E$7=TH!H1355,OR(L1355="331",M1355="331")),"331",IF(AND(OR(L1355="131",M1355="131"),H1355='131-CT'!$E$7),"131",""))</f>
        <v/>
      </c>
      <c r="O1355" s="39" t="str">
        <f>IF(AND($B1355&gt;='111'!$N$11,$B1355&lt;='111'!$O$11,OR($L1355=$O$7,$M1355=$O$7)),"x","")</f>
        <v/>
      </c>
      <c r="P1355" s="39" t="str">
        <f>IF(AND($L1355=$O$7,$B1355&lt;'111'!$N$11),"x","")</f>
        <v/>
      </c>
      <c r="Q1355" s="39" t="str">
        <f>IF(AND($M1355=$O$7,$B1355&lt;'111'!$N$11),"x","")</f>
        <v/>
      </c>
      <c r="R1355" s="39" t="str">
        <f>IF(ISERROR(FIND('112'!$M$9,G1355,1)),"",IF((AND(FIND('112'!$M$9,G1355,1)&gt;=1,$B1355&gt;='112'!$N$8,$B1355&lt;='112'!$O$8,OR($L1355='112'!$I$6,$M1355='112'!$I$6))),"x",""))</f>
        <v/>
      </c>
      <c r="S1355" s="39" t="str">
        <f>IF(ISERROR(FIND('112'!$M$9,G1355,1)),"",IF((AND(LEFT(G1355,2)=LEFT('112'!$M$9,2),B1355&lt;'112'!$N$8,$L1355='112'!$I$6)),"x",""))</f>
        <v/>
      </c>
      <c r="T1355" s="39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39" t="str">
        <f>IF(OR(TH!L1355=TH!$V$7,M1355=TH!$V$7),"x","")</f>
        <v/>
      </c>
      <c r="W1355" s="39" t="str">
        <f>IF(AND(B1355&gt;='IN-NX'!$P$3,B1355&lt;='IN-NX'!$Q$3,'IN-NX'!$D$7=D1355,OR(LEFT(L1355,2)="15",AND(LEFT(M1355,2)&lt;&gt;"15",LEFT(M1355,2)&lt;&gt;"33"))),"x","")</f>
        <v/>
      </c>
      <c r="X1355" s="39" t="str">
        <f>IF(AND(OR(LEFT(TH!L1355,2)="15",LEFT(TH!M1355,2)="15"),'152-CT'!$J$8=TH!F1355),"x","")</f>
        <v/>
      </c>
      <c r="Y1355" s="39" t="str">
        <f>IF(AND(OR(LEFT(TH!L1355,2)="15",LEFT(TH!M1355,2)="15"),TK!$E$7=TH!F1355),"x","")</f>
        <v/>
      </c>
      <c r="Z1355" s="39" t="str">
        <f>IF(AND(B1355&lt;=NKC!$N$8,B1355&gt;=NKC!$M$8),"x","")</f>
        <v/>
      </c>
      <c r="AA1355" s="883"/>
    </row>
    <row r="1356" spans="1:27" s="211" customFormat="1" ht="15.75" customHeight="1">
      <c r="A1356" s="204" t="str">
        <f>IF(B1356&lt;&gt;"",IF(AND(B1356&gt;=_TM1,B1356&lt;=_TM2,OR(TH!L1356="1111",TH!M1356="1111")),TH!D1356,""),"")</f>
        <v/>
      </c>
      <c r="B1356" s="36">
        <f t="shared" si="445"/>
        <v>10</v>
      </c>
      <c r="C1356" s="191">
        <f t="shared" si="443"/>
        <v>41565</v>
      </c>
      <c r="D1356" s="191" t="s">
        <v>1292</v>
      </c>
      <c r="E1356" s="191">
        <v>41565</v>
      </c>
      <c r="F1356" s="192" t="s">
        <v>670</v>
      </c>
      <c r="G1356" s="487" t="s">
        <v>983</v>
      </c>
      <c r="H1356" s="7" t="s">
        <v>1284</v>
      </c>
      <c r="I1356" s="256">
        <v>51</v>
      </c>
      <c r="J1356" s="256">
        <v>10801</v>
      </c>
      <c r="K1356" s="602">
        <f t="shared" si="444"/>
        <v>550851</v>
      </c>
      <c r="L1356" s="39" t="s">
        <v>165</v>
      </c>
      <c r="M1356" s="603" t="s">
        <v>159</v>
      </c>
      <c r="N1356" s="39" t="str">
        <f>IF(AND('331-CT'!$E$7=TH!H1356,OR(L1356="331",M1356="331")),"331",IF(AND(OR(L1356="131",M1356="131"),H1356='131-CT'!$E$7),"131",""))</f>
        <v/>
      </c>
      <c r="O1356" s="39" t="str">
        <f>IF(AND($B1356&gt;='111'!$N$11,$B1356&lt;='111'!$O$11,OR($L1356=$O$7,$M1356=$O$7)),"x","")</f>
        <v/>
      </c>
      <c r="P1356" s="39" t="str">
        <f>IF(AND($L1356=$O$7,$B1356&lt;'111'!$N$11),"x","")</f>
        <v/>
      </c>
      <c r="Q1356" s="39" t="str">
        <f>IF(AND($M1356=$O$7,$B1356&lt;'111'!$N$11),"x","")</f>
        <v/>
      </c>
      <c r="R1356" s="39" t="str">
        <f>IF(ISERROR(FIND('112'!$M$9,G1356,1)),"",IF((AND(FIND('112'!$M$9,G1356,1)&gt;=1,$B1356&gt;='112'!$N$8,$B1356&lt;='112'!$O$8,OR($L1356='112'!$I$6,$M1356='112'!$I$6))),"x",""))</f>
        <v/>
      </c>
      <c r="S1356" s="39" t="str">
        <f>IF(ISERROR(FIND('112'!$M$9,G1356,1)),"",IF((AND(LEFT(G1356,2)=LEFT('112'!$M$9,2),B1356&lt;'112'!$N$8,$L1356='112'!$I$6)),"x",""))</f>
        <v/>
      </c>
      <c r="T1356" s="39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39" t="str">
        <f>IF(OR(TH!L1356=TH!$V$7,M1356=TH!$V$7),"x","")</f>
        <v/>
      </c>
      <c r="W1356" s="39" t="str">
        <f>IF(AND(B1356&gt;='IN-NX'!$P$3,B1356&lt;='IN-NX'!$Q$3,'IN-NX'!$D$7=D1356,OR(LEFT(L1356,2)="15",AND(LEFT(M1356,2)&lt;&gt;"15",LEFT(M1356,2)&lt;&gt;"33"))),"x","")</f>
        <v/>
      </c>
      <c r="X1356" s="39" t="str">
        <f>IF(AND(OR(LEFT(TH!L1356,2)="15",LEFT(TH!M1356,2)="15"),'152-CT'!$J$8=TH!F1356),"x","")</f>
        <v/>
      </c>
      <c r="Y1356" s="39" t="str">
        <f>IF(AND(OR(LEFT(TH!L1356,2)="15",LEFT(TH!M1356,2)="15"),TK!$E$7=TH!F1356),"x","")</f>
        <v/>
      </c>
      <c r="Z1356" s="39" t="str">
        <f>IF(AND(B1356&lt;=NKC!$N$8,B1356&gt;=NKC!$M$8),"x","")</f>
        <v/>
      </c>
      <c r="AA1356" s="883"/>
    </row>
    <row r="1357" spans="1:27" s="211" customFormat="1" ht="15.75" customHeight="1">
      <c r="A1357" s="204" t="str">
        <f>IF(B1357&lt;&gt;"",IF(AND(B1357&gt;=_TM1,B1357&lt;=_TM2,OR(TH!L1357="1111",TH!M1357="1111")),TH!D1357,""),"")</f>
        <v/>
      </c>
      <c r="B1357" s="36">
        <f t="shared" si="445"/>
        <v>10</v>
      </c>
      <c r="C1357" s="191">
        <f t="shared" si="443"/>
        <v>41565</v>
      </c>
      <c r="D1357" s="191" t="s">
        <v>1292</v>
      </c>
      <c r="E1357" s="191">
        <v>41565</v>
      </c>
      <c r="F1357" s="192" t="s">
        <v>612</v>
      </c>
      <c r="G1357" s="487" t="s">
        <v>984</v>
      </c>
      <c r="H1357" s="7" t="s">
        <v>1284</v>
      </c>
      <c r="I1357" s="256">
        <v>33</v>
      </c>
      <c r="J1357" s="256">
        <v>7274</v>
      </c>
      <c r="K1357" s="602">
        <f t="shared" si="444"/>
        <v>240042</v>
      </c>
      <c r="L1357" s="39" t="s">
        <v>165</v>
      </c>
      <c r="M1357" s="603" t="s">
        <v>159</v>
      </c>
      <c r="N1357" s="39" t="str">
        <f>IF(AND('331-CT'!$E$7=TH!H1357,OR(L1357="331",M1357="331")),"331",IF(AND(OR(L1357="131",M1357="131"),H1357='131-CT'!$E$7),"131",""))</f>
        <v/>
      </c>
      <c r="O1357" s="39" t="str">
        <f>IF(AND($B1357&gt;='111'!$N$11,$B1357&lt;='111'!$O$11,OR($L1357=$O$7,$M1357=$O$7)),"x","")</f>
        <v/>
      </c>
      <c r="P1357" s="39" t="str">
        <f>IF(AND($L1357=$O$7,$B1357&lt;'111'!$N$11),"x","")</f>
        <v/>
      </c>
      <c r="Q1357" s="39" t="str">
        <f>IF(AND($M1357=$O$7,$B1357&lt;'111'!$N$11),"x","")</f>
        <v/>
      </c>
      <c r="R1357" s="39" t="str">
        <f>IF(ISERROR(FIND('112'!$M$9,G1357,1)),"",IF((AND(FIND('112'!$M$9,G1357,1)&gt;=1,$B1357&gt;='112'!$N$8,$B1357&lt;='112'!$O$8,OR($L1357='112'!$I$6,$M1357='112'!$I$6))),"x",""))</f>
        <v/>
      </c>
      <c r="S1357" s="39" t="str">
        <f>IF(ISERROR(FIND('112'!$M$9,G1357,1)),"",IF((AND(LEFT(G1357,2)=LEFT('112'!$M$9,2),B1357&lt;'112'!$N$8,$L1357='112'!$I$6)),"x",""))</f>
        <v/>
      </c>
      <c r="T1357" s="39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39" t="str">
        <f>IF(OR(TH!L1357=TH!$V$7,M1357=TH!$V$7),"x","")</f>
        <v/>
      </c>
      <c r="W1357" s="39" t="str">
        <f>IF(AND(B1357&gt;='IN-NX'!$P$3,B1357&lt;='IN-NX'!$Q$3,'IN-NX'!$D$7=D1357,OR(LEFT(L1357,2)="15",AND(LEFT(M1357,2)&lt;&gt;"15",LEFT(M1357,2)&lt;&gt;"33"))),"x","")</f>
        <v/>
      </c>
      <c r="X1357" s="39" t="str">
        <f>IF(AND(OR(LEFT(TH!L1357,2)="15",LEFT(TH!M1357,2)="15"),'152-CT'!$J$8=TH!F1357),"x","")</f>
        <v/>
      </c>
      <c r="Y1357" s="39" t="str">
        <f>IF(AND(OR(LEFT(TH!L1357,2)="15",LEFT(TH!M1357,2)="15"),TK!$E$7=TH!F1357),"x","")</f>
        <v/>
      </c>
      <c r="Z1357" s="39" t="str">
        <f>IF(AND(B1357&lt;=NKC!$N$8,B1357&gt;=NKC!$M$8),"x","")</f>
        <v/>
      </c>
      <c r="AA1357" s="883"/>
    </row>
    <row r="1358" spans="1:27" s="211" customFormat="1" ht="15.75" customHeight="1">
      <c r="A1358" s="204" t="str">
        <f>IF(B1358&lt;&gt;"",IF(AND(B1358&gt;=_TM1,B1358&lt;=_TM2,OR(TH!L1358="1111",TH!M1358="1111")),TH!D1358,""),"")</f>
        <v/>
      </c>
      <c r="B1358" s="36">
        <f t="shared" si="445"/>
        <v>10</v>
      </c>
      <c r="C1358" s="191">
        <f t="shared" ref="C1358:C1421" si="446">E1358</f>
        <v>41565</v>
      </c>
      <c r="D1358" s="191" t="s">
        <v>1292</v>
      </c>
      <c r="E1358" s="191">
        <v>41565</v>
      </c>
      <c r="F1358" s="192" t="s">
        <v>639</v>
      </c>
      <c r="G1358" s="487" t="s">
        <v>642</v>
      </c>
      <c r="H1358" s="7" t="s">
        <v>1284</v>
      </c>
      <c r="I1358" s="256">
        <v>12</v>
      </c>
      <c r="J1358" s="256">
        <v>20420</v>
      </c>
      <c r="K1358" s="602">
        <f t="shared" ref="K1358:K1421" si="447">ROUND(I1358*J1358,0)</f>
        <v>245040</v>
      </c>
      <c r="L1358" s="39" t="s">
        <v>165</v>
      </c>
      <c r="M1358" s="603" t="s">
        <v>159</v>
      </c>
      <c r="N1358" s="39" t="str">
        <f>IF(AND('331-CT'!$E$7=TH!H1358,OR(L1358="331",M1358="331")),"331",IF(AND(OR(L1358="131",M1358="131"),H1358='131-CT'!$E$7),"131",""))</f>
        <v/>
      </c>
      <c r="O1358" s="39" t="str">
        <f>IF(AND($B1358&gt;='111'!$N$11,$B1358&lt;='111'!$O$11,OR($L1358=$O$7,$M1358=$O$7)),"x","")</f>
        <v/>
      </c>
      <c r="P1358" s="39" t="str">
        <f>IF(AND($L1358=$O$7,$B1358&lt;'111'!$N$11),"x","")</f>
        <v/>
      </c>
      <c r="Q1358" s="39" t="str">
        <f>IF(AND($M1358=$O$7,$B1358&lt;'111'!$N$11),"x","")</f>
        <v/>
      </c>
      <c r="R1358" s="39" t="str">
        <f>IF(ISERROR(FIND('112'!$M$9,G1358,1)),"",IF((AND(FIND('112'!$M$9,G1358,1)&gt;=1,$B1358&gt;='112'!$N$8,$B1358&lt;='112'!$O$8,OR($L1358='112'!$I$6,$M1358='112'!$I$6))),"x",""))</f>
        <v/>
      </c>
      <c r="S1358" s="39" t="str">
        <f>IF(ISERROR(FIND('112'!$M$9,G1358,1)),"",IF((AND(LEFT(G1358,2)=LEFT('112'!$M$9,2),B1358&lt;'112'!$N$8,$L1358='112'!$I$6)),"x",""))</f>
        <v/>
      </c>
      <c r="T1358" s="39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39" t="str">
        <f>IF(OR(TH!L1358=TH!$V$7,M1358=TH!$V$7),"x","")</f>
        <v/>
      </c>
      <c r="W1358" s="39" t="str">
        <f>IF(AND(B1358&gt;='IN-NX'!$P$3,B1358&lt;='IN-NX'!$Q$3,'IN-NX'!$D$7=D1358,OR(LEFT(L1358,2)="15",AND(LEFT(M1358,2)&lt;&gt;"15",LEFT(M1358,2)&lt;&gt;"33"))),"x","")</f>
        <v/>
      </c>
      <c r="X1358" s="39" t="str">
        <f>IF(AND(OR(LEFT(TH!L1358,2)="15",LEFT(TH!M1358,2)="15"),'152-CT'!$J$8=TH!F1358),"x","")</f>
        <v/>
      </c>
      <c r="Y1358" s="39" t="str">
        <f>IF(AND(OR(LEFT(TH!L1358,2)="15",LEFT(TH!M1358,2)="15"),TK!$E$7=TH!F1358),"x","")</f>
        <v/>
      </c>
      <c r="Z1358" s="39" t="str">
        <f>IF(AND(B1358&lt;=NKC!$N$8,B1358&gt;=NKC!$M$8),"x","")</f>
        <v/>
      </c>
      <c r="AA1358" s="883"/>
    </row>
    <row r="1359" spans="1:27" s="211" customFormat="1" ht="15.75" customHeight="1">
      <c r="A1359" s="204" t="str">
        <f>IF(B1359&lt;&gt;"",IF(AND(B1359&gt;=_TM1,B1359&lt;=_TM2,OR(TH!L1359="1111",TH!M1359="1111")),TH!D1359,""),"")</f>
        <v/>
      </c>
      <c r="B1359" s="36">
        <f t="shared" si="445"/>
        <v>10</v>
      </c>
      <c r="C1359" s="191">
        <f t="shared" si="446"/>
        <v>41565</v>
      </c>
      <c r="D1359" s="191" t="s">
        <v>1292</v>
      </c>
      <c r="E1359" s="191">
        <v>41565</v>
      </c>
      <c r="F1359" s="192" t="s">
        <v>709</v>
      </c>
      <c r="G1359" s="487" t="s">
        <v>986</v>
      </c>
      <c r="H1359" s="7" t="s">
        <v>1284</v>
      </c>
      <c r="I1359" s="256">
        <v>16</v>
      </c>
      <c r="J1359" s="256">
        <v>15000</v>
      </c>
      <c r="K1359" s="602">
        <f t="shared" si="447"/>
        <v>240000</v>
      </c>
      <c r="L1359" s="39" t="s">
        <v>165</v>
      </c>
      <c r="M1359" s="603" t="s">
        <v>159</v>
      </c>
      <c r="N1359" s="39" t="str">
        <f>IF(AND('331-CT'!$E$7=TH!H1359,OR(L1359="331",M1359="331")),"331",IF(AND(OR(L1359="131",M1359="131"),H1359='131-CT'!$E$7),"131",""))</f>
        <v/>
      </c>
      <c r="O1359" s="39" t="str">
        <f>IF(AND($B1359&gt;='111'!$N$11,$B1359&lt;='111'!$O$11,OR($L1359=$O$7,$M1359=$O$7)),"x","")</f>
        <v/>
      </c>
      <c r="P1359" s="39" t="str">
        <f>IF(AND($L1359=$O$7,$B1359&lt;'111'!$N$11),"x","")</f>
        <v/>
      </c>
      <c r="Q1359" s="39" t="str">
        <f>IF(AND($M1359=$O$7,$B1359&lt;'111'!$N$11),"x","")</f>
        <v/>
      </c>
      <c r="R1359" s="39" t="str">
        <f>IF(ISERROR(FIND('112'!$M$9,G1359,1)),"",IF((AND(FIND('112'!$M$9,G1359,1)&gt;=1,$B1359&gt;='112'!$N$8,$B1359&lt;='112'!$O$8,OR($L1359='112'!$I$6,$M1359='112'!$I$6))),"x",""))</f>
        <v/>
      </c>
      <c r="S1359" s="39" t="str">
        <f>IF(ISERROR(FIND('112'!$M$9,G1359,1)),"",IF((AND(LEFT(G1359,2)=LEFT('112'!$M$9,2),B1359&lt;'112'!$N$8,$L1359='112'!$I$6)),"x",""))</f>
        <v/>
      </c>
      <c r="T1359" s="39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39" t="str">
        <f>IF(OR(TH!L1359=TH!$V$7,M1359=TH!$V$7),"x","")</f>
        <v/>
      </c>
      <c r="W1359" s="39" t="str">
        <f>IF(AND(B1359&gt;='IN-NX'!$P$3,B1359&lt;='IN-NX'!$Q$3,'IN-NX'!$D$7=D1359,OR(LEFT(L1359,2)="15",AND(LEFT(M1359,2)&lt;&gt;"15",LEFT(M1359,2)&lt;&gt;"33"))),"x","")</f>
        <v/>
      </c>
      <c r="X1359" s="39" t="str">
        <f>IF(AND(OR(LEFT(TH!L1359,2)="15",LEFT(TH!M1359,2)="15"),'152-CT'!$J$8=TH!F1359),"x","")</f>
        <v/>
      </c>
      <c r="Y1359" s="39" t="str">
        <f>IF(AND(OR(LEFT(TH!L1359,2)="15",LEFT(TH!M1359,2)="15"),TK!$E$7=TH!F1359),"x","")</f>
        <v/>
      </c>
      <c r="Z1359" s="39" t="str">
        <f>IF(AND(B1359&lt;=NKC!$N$8,B1359&gt;=NKC!$M$8),"x","")</f>
        <v/>
      </c>
      <c r="AA1359" s="883"/>
    </row>
    <row r="1360" spans="1:27" s="211" customFormat="1" ht="15.75" customHeight="1">
      <c r="A1360" s="204" t="str">
        <f>IF(B1360&lt;&gt;"",IF(AND(B1360&gt;=_TM1,B1360&lt;=_TM2,OR(TH!L1360="1111",TH!M1360="1111")),TH!D1360,""),"")</f>
        <v/>
      </c>
      <c r="B1360" s="36">
        <f t="shared" si="445"/>
        <v>10</v>
      </c>
      <c r="C1360" s="191">
        <f t="shared" si="446"/>
        <v>41565</v>
      </c>
      <c r="D1360" s="191" t="s">
        <v>1292</v>
      </c>
      <c r="E1360" s="773">
        <v>41565</v>
      </c>
      <c r="F1360" s="189" t="s">
        <v>709</v>
      </c>
      <c r="G1360" s="40" t="s">
        <v>988</v>
      </c>
      <c r="H1360" s="7" t="s">
        <v>1284</v>
      </c>
      <c r="I1360" s="814">
        <v>13</v>
      </c>
      <c r="J1360" s="256">
        <v>15000</v>
      </c>
      <c r="K1360" s="602">
        <f t="shared" si="447"/>
        <v>195000</v>
      </c>
      <c r="L1360" s="39" t="s">
        <v>165</v>
      </c>
      <c r="M1360" s="603" t="s">
        <v>159</v>
      </c>
      <c r="N1360" s="39" t="str">
        <f>IF(AND('331-CT'!$E$7=TH!H1360,OR(L1360="331",M1360="331")),"331",IF(AND(OR(L1360="131",M1360="131"),H1360='131-CT'!$E$7),"131",""))</f>
        <v/>
      </c>
      <c r="O1360" s="39" t="str">
        <f>IF(AND($B1360&gt;='111'!$N$11,$B1360&lt;='111'!$O$11,OR($L1360=$O$7,$M1360=$O$7)),"x","")</f>
        <v/>
      </c>
      <c r="P1360" s="39" t="str">
        <f>IF(AND($L1360=$O$7,$B1360&lt;'111'!$N$11),"x","")</f>
        <v/>
      </c>
      <c r="Q1360" s="39" t="str">
        <f>IF(AND($M1360=$O$7,$B1360&lt;'111'!$N$11),"x","")</f>
        <v/>
      </c>
      <c r="R1360" s="39" t="str">
        <f>IF(ISERROR(FIND('112'!$M$9,G1360,1)),"",IF((AND(FIND('112'!$M$9,G1360,1)&gt;=1,$B1360&gt;='112'!$N$8,$B1360&lt;='112'!$O$8,OR($L1360='112'!$I$6,$M1360='112'!$I$6))),"x",""))</f>
        <v/>
      </c>
      <c r="S1360" s="39" t="str">
        <f>IF(ISERROR(FIND('112'!$M$9,G1360,1)),"",IF((AND(LEFT(G1360,2)=LEFT('112'!$M$9,2),B1360&lt;'112'!$N$8,$L1360='112'!$I$6)),"x",""))</f>
        <v/>
      </c>
      <c r="T1360" s="39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39" t="str">
        <f>IF(OR(TH!L1360=TH!$V$7,M1360=TH!$V$7),"x","")</f>
        <v/>
      </c>
      <c r="W1360" s="39" t="str">
        <f>IF(AND(B1360&gt;='IN-NX'!$P$3,B1360&lt;='IN-NX'!$Q$3,'IN-NX'!$D$7=D1360,OR(LEFT(L1360,2)="15",AND(LEFT(M1360,2)&lt;&gt;"15",LEFT(M1360,2)&lt;&gt;"33"))),"x","")</f>
        <v/>
      </c>
      <c r="X1360" s="39" t="str">
        <f>IF(AND(OR(LEFT(TH!L1360,2)="15",LEFT(TH!M1360,2)="15"),'152-CT'!$J$8=TH!F1360),"x","")</f>
        <v/>
      </c>
      <c r="Y1360" s="39" t="str">
        <f>IF(AND(OR(LEFT(TH!L1360,2)="15",LEFT(TH!M1360,2)="15"),TK!$E$7=TH!F1360),"x","")</f>
        <v/>
      </c>
      <c r="Z1360" s="39" t="str">
        <f>IF(AND(B1360&lt;=NKC!$N$8,B1360&gt;=NKC!$M$8),"x","")</f>
        <v/>
      </c>
      <c r="AA1360" s="883"/>
    </row>
    <row r="1361" spans="1:27" s="211" customFormat="1" ht="15.75" customHeight="1">
      <c r="A1361" s="204" t="str">
        <f>IF(B1361&lt;&gt;"",IF(AND(B1361&gt;=_TM1,B1361&lt;=_TM2,OR(TH!L1361="1111",TH!M1361="1111")),TH!D1361,""),"")</f>
        <v/>
      </c>
      <c r="B1361" s="36">
        <f t="shared" si="445"/>
        <v>10</v>
      </c>
      <c r="C1361" s="191">
        <f t="shared" si="446"/>
        <v>41565</v>
      </c>
      <c r="D1361" s="191" t="s">
        <v>1292</v>
      </c>
      <c r="E1361" s="773">
        <v>41565</v>
      </c>
      <c r="F1361" s="189" t="s">
        <v>1251</v>
      </c>
      <c r="G1361" s="40" t="s">
        <v>990</v>
      </c>
      <c r="H1361" s="7" t="s">
        <v>1284</v>
      </c>
      <c r="I1361" s="256">
        <v>13</v>
      </c>
      <c r="J1361" s="256">
        <v>23028</v>
      </c>
      <c r="K1361" s="602">
        <f t="shared" si="447"/>
        <v>299364</v>
      </c>
      <c r="L1361" s="39" t="s">
        <v>165</v>
      </c>
      <c r="M1361" s="603" t="s">
        <v>159</v>
      </c>
      <c r="N1361" s="39" t="str">
        <f>IF(AND('331-CT'!$E$7=TH!H1361,OR(L1361="331",M1361="331")),"331",IF(AND(OR(L1361="131",M1361="131"),H1361='131-CT'!$E$7),"131",""))</f>
        <v/>
      </c>
      <c r="O1361" s="39" t="str">
        <f>IF(AND($B1361&gt;='111'!$N$11,$B1361&lt;='111'!$O$11,OR($L1361=$O$7,$M1361=$O$7)),"x","")</f>
        <v/>
      </c>
      <c r="P1361" s="39" t="str">
        <f>IF(AND($L1361=$O$7,$B1361&lt;'111'!$N$11),"x","")</f>
        <v/>
      </c>
      <c r="Q1361" s="39" t="str">
        <f>IF(AND($M1361=$O$7,$B1361&lt;'111'!$N$11),"x","")</f>
        <v/>
      </c>
      <c r="R1361" s="39" t="str">
        <f>IF(ISERROR(FIND('112'!$M$9,G1361,1)),"",IF((AND(FIND('112'!$M$9,G1361,1)&gt;=1,$B1361&gt;='112'!$N$8,$B1361&lt;='112'!$O$8,OR($L1361='112'!$I$6,$M1361='112'!$I$6))),"x",""))</f>
        <v/>
      </c>
      <c r="S1361" s="39" t="str">
        <f>IF(ISERROR(FIND('112'!$M$9,G1361,1)),"",IF((AND(LEFT(G1361,2)=LEFT('112'!$M$9,2),B1361&lt;'112'!$N$8,$L1361='112'!$I$6)),"x",""))</f>
        <v/>
      </c>
      <c r="T1361" s="39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39" t="str">
        <f>IF(OR(TH!L1361=TH!$V$7,M1361=TH!$V$7),"x","")</f>
        <v/>
      </c>
      <c r="W1361" s="39" t="str">
        <f>IF(AND(B1361&gt;='IN-NX'!$P$3,B1361&lt;='IN-NX'!$Q$3,'IN-NX'!$D$7=D1361,OR(LEFT(L1361,2)="15",AND(LEFT(M1361,2)&lt;&gt;"15",LEFT(M1361,2)&lt;&gt;"33"))),"x","")</f>
        <v/>
      </c>
      <c r="X1361" s="39" t="str">
        <f>IF(AND(OR(LEFT(TH!L1361,2)="15",LEFT(TH!M1361,2)="15"),'152-CT'!$J$8=TH!F1361),"x","")</f>
        <v/>
      </c>
      <c r="Y1361" s="39" t="str">
        <f>IF(AND(OR(LEFT(TH!L1361,2)="15",LEFT(TH!M1361,2)="15"),TK!$E$7=TH!F1361),"x","")</f>
        <v/>
      </c>
      <c r="Z1361" s="39" t="str">
        <f>IF(AND(B1361&lt;=NKC!$N$8,B1361&gt;=NKC!$M$8),"x","")</f>
        <v/>
      </c>
      <c r="AA1361" s="883"/>
    </row>
    <row r="1362" spans="1:27" s="211" customFormat="1" ht="15.75" customHeight="1">
      <c r="A1362" s="204" t="str">
        <f>IF(B1362&lt;&gt;"",IF(AND(B1362&gt;=_TM1,B1362&lt;=_TM2,OR(TH!L1362="1111",TH!M1362="1111")),TH!D1362,""),"")</f>
        <v/>
      </c>
      <c r="B1362" s="36">
        <f t="shared" si="445"/>
        <v>10</v>
      </c>
      <c r="C1362" s="191">
        <f t="shared" si="446"/>
        <v>41565</v>
      </c>
      <c r="D1362" s="191" t="s">
        <v>1292</v>
      </c>
      <c r="E1362" s="773">
        <v>41565</v>
      </c>
      <c r="F1362" s="40" t="s">
        <v>648</v>
      </c>
      <c r="G1362" s="40" t="s">
        <v>981</v>
      </c>
      <c r="H1362" s="7" t="s">
        <v>1284</v>
      </c>
      <c r="I1362" s="256">
        <v>105</v>
      </c>
      <c r="J1362" s="256">
        <v>6600</v>
      </c>
      <c r="K1362" s="602">
        <f t="shared" si="447"/>
        <v>693000</v>
      </c>
      <c r="L1362" s="39" t="s">
        <v>165</v>
      </c>
      <c r="M1362" s="603" t="s">
        <v>159</v>
      </c>
      <c r="N1362" s="39" t="str">
        <f>IF(AND('331-CT'!$E$7=TH!H1362,OR(L1362="331",M1362="331")),"331",IF(AND(OR(L1362="131",M1362="131"),H1362='131-CT'!$E$7),"131",""))</f>
        <v/>
      </c>
      <c r="O1362" s="39" t="str">
        <f>IF(AND($B1362&gt;='111'!$N$11,$B1362&lt;='111'!$O$11,OR($L1362=$O$7,$M1362=$O$7)),"x","")</f>
        <v/>
      </c>
      <c r="P1362" s="39" t="str">
        <f>IF(AND($L1362=$O$7,$B1362&lt;'111'!$N$11),"x","")</f>
        <v/>
      </c>
      <c r="Q1362" s="39" t="str">
        <f>IF(AND($M1362=$O$7,$B1362&lt;'111'!$N$11),"x","")</f>
        <v/>
      </c>
      <c r="R1362" s="39" t="str">
        <f>IF(ISERROR(FIND('112'!$M$9,G1362,1)),"",IF((AND(FIND('112'!$M$9,G1362,1)&gt;=1,$B1362&gt;='112'!$N$8,$B1362&lt;='112'!$O$8,OR($L1362='112'!$I$6,$M1362='112'!$I$6))),"x",""))</f>
        <v/>
      </c>
      <c r="S1362" s="39" t="str">
        <f>IF(ISERROR(FIND('112'!$M$9,G1362,1)),"",IF((AND(LEFT(G1362,2)=LEFT('112'!$M$9,2),B1362&lt;'112'!$N$8,$L1362='112'!$I$6)),"x",""))</f>
        <v/>
      </c>
      <c r="T1362" s="39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39" t="str">
        <f>IF(OR(TH!L1362=TH!$V$7,M1362=TH!$V$7),"x","")</f>
        <v/>
      </c>
      <c r="W1362" s="39" t="str">
        <f>IF(AND(B1362&gt;='IN-NX'!$P$3,B1362&lt;='IN-NX'!$Q$3,'IN-NX'!$D$7=D1362,OR(LEFT(L1362,2)="15",AND(LEFT(M1362,2)&lt;&gt;"15",LEFT(M1362,2)&lt;&gt;"33"))),"x","")</f>
        <v/>
      </c>
      <c r="X1362" s="39" t="str">
        <f>IF(AND(OR(LEFT(TH!L1362,2)="15",LEFT(TH!M1362,2)="15"),'152-CT'!$J$8=TH!F1362),"x","")</f>
        <v/>
      </c>
      <c r="Y1362" s="39" t="str">
        <f>IF(AND(OR(LEFT(TH!L1362,2)="15",LEFT(TH!M1362,2)="15"),TK!$E$7=TH!F1362),"x","")</f>
        <v/>
      </c>
      <c r="Z1362" s="39" t="str">
        <f>IF(AND(B1362&lt;=NKC!$N$8,B1362&gt;=NKC!$M$8),"x","")</f>
        <v/>
      </c>
      <c r="AA1362" s="883"/>
    </row>
    <row r="1363" spans="1:27" s="211" customFormat="1" ht="15.75" customHeight="1">
      <c r="A1363" s="204" t="str">
        <f>IF(B1363&lt;&gt;"",IF(AND(B1363&gt;=_TM1,B1363&lt;=_TM2,OR(TH!L1363="1111",TH!M1363="1111")),TH!D1363,""),"")</f>
        <v/>
      </c>
      <c r="B1363" s="36">
        <f t="shared" si="445"/>
        <v>10</v>
      </c>
      <c r="C1363" s="191">
        <f t="shared" si="446"/>
        <v>41565</v>
      </c>
      <c r="D1363" s="191" t="s">
        <v>1292</v>
      </c>
      <c r="E1363" s="773">
        <v>41565</v>
      </c>
      <c r="F1363" s="189" t="s">
        <v>1177</v>
      </c>
      <c r="G1363" s="40" t="s">
        <v>986</v>
      </c>
      <c r="H1363" s="7" t="s">
        <v>1284</v>
      </c>
      <c r="I1363" s="256">
        <v>50</v>
      </c>
      <c r="J1363" s="256">
        <v>32832</v>
      </c>
      <c r="K1363" s="602">
        <f t="shared" si="447"/>
        <v>1641600</v>
      </c>
      <c r="L1363" s="39" t="s">
        <v>165</v>
      </c>
      <c r="M1363" s="603" t="s">
        <v>159</v>
      </c>
      <c r="N1363" s="39" t="str">
        <f>IF(AND('331-CT'!$E$7=TH!H1363,OR(L1363="331",M1363="331")),"331",IF(AND(OR(L1363="131",M1363="131"),H1363='131-CT'!$E$7),"131",""))</f>
        <v/>
      </c>
      <c r="O1363" s="39" t="str">
        <f>IF(AND($B1363&gt;='111'!$N$11,$B1363&lt;='111'!$O$11,OR($L1363=$O$7,$M1363=$O$7)),"x","")</f>
        <v/>
      </c>
      <c r="P1363" s="39" t="str">
        <f>IF(AND($L1363=$O$7,$B1363&lt;'111'!$N$11),"x","")</f>
        <v/>
      </c>
      <c r="Q1363" s="39" t="str">
        <f>IF(AND($M1363=$O$7,$B1363&lt;'111'!$N$11),"x","")</f>
        <v/>
      </c>
      <c r="R1363" s="39" t="str">
        <f>IF(ISERROR(FIND('112'!$M$9,G1363,1)),"",IF((AND(FIND('112'!$M$9,G1363,1)&gt;=1,$B1363&gt;='112'!$N$8,$B1363&lt;='112'!$O$8,OR($L1363='112'!$I$6,$M1363='112'!$I$6))),"x",""))</f>
        <v/>
      </c>
      <c r="S1363" s="39" t="str">
        <f>IF(ISERROR(FIND('112'!$M$9,G1363,1)),"",IF((AND(LEFT(G1363,2)=LEFT('112'!$M$9,2),B1363&lt;'112'!$N$8,$L1363='112'!$I$6)),"x",""))</f>
        <v/>
      </c>
      <c r="T1363" s="39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39" t="str">
        <f>IF(OR(TH!L1363=TH!$V$7,M1363=TH!$V$7),"x","")</f>
        <v/>
      </c>
      <c r="W1363" s="39" t="str">
        <f>IF(AND(B1363&gt;='IN-NX'!$P$3,B1363&lt;='IN-NX'!$Q$3,'IN-NX'!$D$7=D1363,OR(LEFT(L1363,2)="15",AND(LEFT(M1363,2)&lt;&gt;"15",LEFT(M1363,2)&lt;&gt;"33"))),"x","")</f>
        <v/>
      </c>
      <c r="X1363" s="39" t="str">
        <f>IF(AND(OR(LEFT(TH!L1363,2)="15",LEFT(TH!M1363,2)="15"),'152-CT'!$J$8=TH!F1363),"x","")</f>
        <v/>
      </c>
      <c r="Y1363" s="39" t="str">
        <f>IF(AND(OR(LEFT(TH!L1363,2)="15",LEFT(TH!M1363,2)="15"),TK!$E$7=TH!F1363),"x","")</f>
        <v/>
      </c>
      <c r="Z1363" s="39" t="str">
        <f>IF(AND(B1363&lt;=NKC!$N$8,B1363&gt;=NKC!$M$8),"x","")</f>
        <v/>
      </c>
      <c r="AA1363" s="883"/>
    </row>
    <row r="1364" spans="1:27" s="211" customFormat="1" ht="15.75" customHeight="1">
      <c r="A1364" s="204" t="str">
        <f>IF(B1364&lt;&gt;"",IF(AND(B1364&gt;=_TM1,B1364&lt;=_TM2,OR(TH!L1364="1111",TH!M1364="1111")),TH!D1364,""),"")</f>
        <v/>
      </c>
      <c r="B1364" s="36">
        <f t="shared" si="445"/>
        <v>10</v>
      </c>
      <c r="C1364" s="191">
        <f t="shared" si="446"/>
        <v>41565</v>
      </c>
      <c r="D1364" s="191" t="s">
        <v>1292</v>
      </c>
      <c r="E1364" s="773">
        <v>41565</v>
      </c>
      <c r="F1364" s="40" t="s">
        <v>636</v>
      </c>
      <c r="G1364" s="40" t="s">
        <v>986</v>
      </c>
      <c r="H1364" s="7" t="s">
        <v>1284</v>
      </c>
      <c r="I1364" s="256">
        <v>85</v>
      </c>
      <c r="J1364" s="256">
        <v>36234</v>
      </c>
      <c r="K1364" s="602">
        <f t="shared" si="447"/>
        <v>3079890</v>
      </c>
      <c r="L1364" s="39" t="s">
        <v>165</v>
      </c>
      <c r="M1364" s="603" t="s">
        <v>159</v>
      </c>
      <c r="N1364" s="39" t="str">
        <f>IF(AND('331-CT'!$E$7=TH!H1364,OR(L1364="331",M1364="331")),"331",IF(AND(OR(L1364="131",M1364="131"),H1364='131-CT'!$E$7),"131",""))</f>
        <v/>
      </c>
      <c r="O1364" s="39" t="str">
        <f>IF(AND($B1364&gt;='111'!$N$11,$B1364&lt;='111'!$O$11,OR($L1364=$O$7,$M1364=$O$7)),"x","")</f>
        <v/>
      </c>
      <c r="P1364" s="39" t="str">
        <f>IF(AND($L1364=$O$7,$B1364&lt;'111'!$N$11),"x","")</f>
        <v/>
      </c>
      <c r="Q1364" s="39" t="str">
        <f>IF(AND($M1364=$O$7,$B1364&lt;'111'!$N$11),"x","")</f>
        <v/>
      </c>
      <c r="R1364" s="39" t="str">
        <f>IF(ISERROR(FIND('112'!$M$9,G1364,1)),"",IF((AND(FIND('112'!$M$9,G1364,1)&gt;=1,$B1364&gt;='112'!$N$8,$B1364&lt;='112'!$O$8,OR($L1364='112'!$I$6,$M1364='112'!$I$6))),"x",""))</f>
        <v/>
      </c>
      <c r="S1364" s="39" t="str">
        <f>IF(ISERROR(FIND('112'!$M$9,G1364,1)),"",IF((AND(LEFT(G1364,2)=LEFT('112'!$M$9,2),B1364&lt;'112'!$N$8,$L1364='112'!$I$6)),"x",""))</f>
        <v/>
      </c>
      <c r="T1364" s="39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39" t="str">
        <f>IF(OR(TH!L1364=TH!$V$7,M1364=TH!$V$7),"x","")</f>
        <v/>
      </c>
      <c r="W1364" s="39" t="str">
        <f>IF(AND(B1364&gt;='IN-NX'!$P$3,B1364&lt;='IN-NX'!$Q$3,'IN-NX'!$D$7=D1364,OR(LEFT(L1364,2)="15",AND(LEFT(M1364,2)&lt;&gt;"15",LEFT(M1364,2)&lt;&gt;"33"))),"x","")</f>
        <v/>
      </c>
      <c r="X1364" s="39" t="str">
        <f>IF(AND(OR(LEFT(TH!L1364,2)="15",LEFT(TH!M1364,2)="15"),'152-CT'!$J$8=TH!F1364),"x","")</f>
        <v/>
      </c>
      <c r="Y1364" s="39" t="str">
        <f>IF(AND(OR(LEFT(TH!L1364,2)="15",LEFT(TH!M1364,2)="15"),TK!$E$7=TH!F1364),"x","")</f>
        <v/>
      </c>
      <c r="Z1364" s="39" t="str">
        <f>IF(AND(B1364&lt;=NKC!$N$8,B1364&gt;=NKC!$M$8),"x","")</f>
        <v/>
      </c>
      <c r="AA1364" s="883"/>
    </row>
    <row r="1365" spans="1:27" s="211" customFormat="1" ht="15.75" customHeight="1">
      <c r="A1365" s="204" t="str">
        <f>IF(B1365&lt;&gt;"",IF(AND(B1365&gt;=_TM1,B1365&lt;=_TM2,OR(TH!L1365="1111",TH!M1365="1111")),TH!D1365,""),"")</f>
        <v/>
      </c>
      <c r="B1365" s="36">
        <f t="shared" si="445"/>
        <v>10</v>
      </c>
      <c r="C1365" s="191">
        <f t="shared" si="446"/>
        <v>41566</v>
      </c>
      <c r="D1365" s="191" t="s">
        <v>1292</v>
      </c>
      <c r="E1365" s="37">
        <v>41566</v>
      </c>
      <c r="F1365" s="40" t="s">
        <v>603</v>
      </c>
      <c r="G1365" s="40" t="s">
        <v>988</v>
      </c>
      <c r="H1365" s="7" t="s">
        <v>1284</v>
      </c>
      <c r="I1365" s="256">
        <v>336</v>
      </c>
      <c r="J1365" s="256">
        <v>20553</v>
      </c>
      <c r="K1365" s="602">
        <f t="shared" si="447"/>
        <v>6905808</v>
      </c>
      <c r="L1365" s="39" t="s">
        <v>165</v>
      </c>
      <c r="M1365" s="603" t="s">
        <v>159</v>
      </c>
      <c r="N1365" s="39" t="str">
        <f>IF(AND('331-CT'!$E$7=TH!H1365,OR(L1365="331",M1365="331")),"331",IF(AND(OR(L1365="131",M1365="131"),H1365='131-CT'!$E$7),"131",""))</f>
        <v/>
      </c>
      <c r="O1365" s="39" t="str">
        <f>IF(AND($B1365&gt;='111'!$N$11,$B1365&lt;='111'!$O$11,OR($L1365=$O$7,$M1365=$O$7)),"x","")</f>
        <v/>
      </c>
      <c r="P1365" s="39" t="str">
        <f>IF(AND($L1365=$O$7,$B1365&lt;'111'!$N$11),"x","")</f>
        <v/>
      </c>
      <c r="Q1365" s="39" t="str">
        <f>IF(AND($M1365=$O$7,$B1365&lt;'111'!$N$11),"x","")</f>
        <v/>
      </c>
      <c r="R1365" s="39" t="str">
        <f>IF(ISERROR(FIND('112'!$M$9,G1365,1)),"",IF((AND(FIND('112'!$M$9,G1365,1)&gt;=1,$B1365&gt;='112'!$N$8,$B1365&lt;='112'!$O$8,OR($L1365='112'!$I$6,$M1365='112'!$I$6))),"x",""))</f>
        <v/>
      </c>
      <c r="S1365" s="39" t="str">
        <f>IF(ISERROR(FIND('112'!$M$9,G1365,1)),"",IF((AND(LEFT(G1365,2)=LEFT('112'!$M$9,2),B1365&lt;'112'!$N$8,$L1365='112'!$I$6)),"x",""))</f>
        <v/>
      </c>
      <c r="T1365" s="39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39" t="str">
        <f>IF(OR(TH!L1365=TH!$V$7,M1365=TH!$V$7),"x","")</f>
        <v/>
      </c>
      <c r="W1365" s="39" t="str">
        <f>IF(AND(B1365&gt;='IN-NX'!$P$3,B1365&lt;='IN-NX'!$Q$3,'IN-NX'!$D$7=D1365,OR(LEFT(L1365,2)="15",AND(LEFT(M1365,2)&lt;&gt;"15",LEFT(M1365,2)&lt;&gt;"33"))),"x","")</f>
        <v/>
      </c>
      <c r="X1365" s="39" t="str">
        <f>IF(AND(OR(LEFT(TH!L1365,2)="15",LEFT(TH!M1365,2)="15"),'152-CT'!$J$8=TH!F1365),"x","")</f>
        <v/>
      </c>
      <c r="Y1365" s="39" t="str">
        <f>IF(AND(OR(LEFT(TH!L1365,2)="15",LEFT(TH!M1365,2)="15"),TK!$E$7=TH!F1365),"x","")</f>
        <v/>
      </c>
      <c r="Z1365" s="39" t="str">
        <f>IF(AND(B1365&lt;=NKC!$N$8,B1365&gt;=NKC!$M$8),"x","")</f>
        <v/>
      </c>
      <c r="AA1365" s="883"/>
    </row>
    <row r="1366" spans="1:27" s="211" customFormat="1" ht="15.75" customHeight="1">
      <c r="A1366" s="204" t="str">
        <f>IF(B1366&lt;&gt;"",IF(AND(B1366&gt;=_TM1,B1366&lt;=_TM2,OR(TH!L1366="1111",TH!M1366="1111")),TH!D1366,""),"")</f>
        <v/>
      </c>
      <c r="B1366" s="36">
        <f t="shared" si="445"/>
        <v>10</v>
      </c>
      <c r="C1366" s="191">
        <f t="shared" si="446"/>
        <v>41568</v>
      </c>
      <c r="D1366" s="191" t="s">
        <v>1292</v>
      </c>
      <c r="E1366" s="37">
        <v>41568</v>
      </c>
      <c r="F1366" s="40" t="s">
        <v>1241</v>
      </c>
      <c r="G1366" s="40" t="s">
        <v>990</v>
      </c>
      <c r="H1366" s="7" t="s">
        <v>1284</v>
      </c>
      <c r="I1366" s="256">
        <v>25</v>
      </c>
      <c r="J1366" s="256">
        <v>19910.04</v>
      </c>
      <c r="K1366" s="602">
        <f t="shared" si="447"/>
        <v>497751</v>
      </c>
      <c r="L1366" s="39" t="s">
        <v>165</v>
      </c>
      <c r="M1366" s="603" t="s">
        <v>159</v>
      </c>
      <c r="N1366" s="39" t="str">
        <f>IF(AND('331-CT'!$E$7=TH!H1366,OR(L1366="331",M1366="331")),"331",IF(AND(OR(L1366="131",M1366="131"),H1366='131-CT'!$E$7),"131",""))</f>
        <v/>
      </c>
      <c r="O1366" s="39" t="str">
        <f>IF(AND($B1366&gt;='111'!$N$11,$B1366&lt;='111'!$O$11,OR($L1366=$O$7,$M1366=$O$7)),"x","")</f>
        <v/>
      </c>
      <c r="P1366" s="39" t="str">
        <f>IF(AND($L1366=$O$7,$B1366&lt;'111'!$N$11),"x","")</f>
        <v/>
      </c>
      <c r="Q1366" s="39" t="str">
        <f>IF(AND($M1366=$O$7,$B1366&lt;'111'!$N$11),"x","")</f>
        <v/>
      </c>
      <c r="R1366" s="39" t="str">
        <f>IF(ISERROR(FIND('112'!$M$9,G1366,1)),"",IF((AND(FIND('112'!$M$9,G1366,1)&gt;=1,$B1366&gt;='112'!$N$8,$B1366&lt;='112'!$O$8,OR($L1366='112'!$I$6,$M1366='112'!$I$6))),"x",""))</f>
        <v/>
      </c>
      <c r="S1366" s="39" t="str">
        <f>IF(ISERROR(FIND('112'!$M$9,G1366,1)),"",IF((AND(LEFT(G1366,2)=LEFT('112'!$M$9,2),B1366&lt;'112'!$N$8,$L1366='112'!$I$6)),"x",""))</f>
        <v/>
      </c>
      <c r="T1366" s="39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39" t="str">
        <f>IF(OR(TH!L1366=TH!$V$7,M1366=TH!$V$7),"x","")</f>
        <v/>
      </c>
      <c r="W1366" s="39" t="str">
        <f>IF(AND(B1366&gt;='IN-NX'!$P$3,B1366&lt;='IN-NX'!$Q$3,'IN-NX'!$D$7=D1366,OR(LEFT(L1366,2)="15",AND(LEFT(M1366,2)&lt;&gt;"15",LEFT(M1366,2)&lt;&gt;"33"))),"x","")</f>
        <v/>
      </c>
      <c r="X1366" s="39" t="str">
        <f>IF(AND(OR(LEFT(TH!L1366,2)="15",LEFT(TH!M1366,2)="15"),'152-CT'!$J$8=TH!F1366),"x","")</f>
        <v/>
      </c>
      <c r="Y1366" s="39" t="str">
        <f>IF(AND(OR(LEFT(TH!L1366,2)="15",LEFT(TH!M1366,2)="15"),TK!$E$7=TH!F1366),"x","")</f>
        <v/>
      </c>
      <c r="Z1366" s="39" t="str">
        <f>IF(AND(B1366&lt;=NKC!$N$8,B1366&gt;=NKC!$M$8),"x","")</f>
        <v/>
      </c>
      <c r="AA1366" s="883"/>
    </row>
    <row r="1367" spans="1:27" s="211" customFormat="1" ht="15.75" customHeight="1">
      <c r="A1367" s="204" t="str">
        <f>IF(B1367&lt;&gt;"",IF(AND(B1367&gt;=_TM1,B1367&lt;=_TM2,OR(TH!L1367="1111",TH!M1367="1111")),TH!D1367,""),"")</f>
        <v/>
      </c>
      <c r="B1367" s="36">
        <f t="shared" si="445"/>
        <v>10</v>
      </c>
      <c r="C1367" s="191">
        <f t="shared" si="446"/>
        <v>41568</v>
      </c>
      <c r="D1367" s="191" t="s">
        <v>1292</v>
      </c>
      <c r="E1367" s="37">
        <v>41568</v>
      </c>
      <c r="F1367" s="40" t="s">
        <v>1198</v>
      </c>
      <c r="G1367" s="40" t="s">
        <v>990</v>
      </c>
      <c r="H1367" s="7" t="s">
        <v>1284</v>
      </c>
      <c r="I1367" s="256">
        <v>200</v>
      </c>
      <c r="J1367" s="256">
        <v>8165</v>
      </c>
      <c r="K1367" s="602">
        <f t="shared" si="447"/>
        <v>1633000</v>
      </c>
      <c r="L1367" s="39" t="s">
        <v>165</v>
      </c>
      <c r="M1367" s="603" t="s">
        <v>159</v>
      </c>
      <c r="N1367" s="39" t="str">
        <f>IF(AND('331-CT'!$E$7=TH!H1367,OR(L1367="331",M1367="331")),"331",IF(AND(OR(L1367="131",M1367="131"),H1367='131-CT'!$E$7),"131",""))</f>
        <v/>
      </c>
      <c r="O1367" s="39" t="str">
        <f>IF(AND($B1367&gt;='111'!$N$11,$B1367&lt;='111'!$O$11,OR($L1367=$O$7,$M1367=$O$7)),"x","")</f>
        <v/>
      </c>
      <c r="P1367" s="39" t="str">
        <f>IF(AND($L1367=$O$7,$B1367&lt;'111'!$N$11),"x","")</f>
        <v/>
      </c>
      <c r="Q1367" s="39" t="str">
        <f>IF(AND($M1367=$O$7,$B1367&lt;'111'!$N$11),"x","")</f>
        <v/>
      </c>
      <c r="R1367" s="39" t="str">
        <f>IF(ISERROR(FIND('112'!$M$9,G1367,1)),"",IF((AND(FIND('112'!$M$9,G1367,1)&gt;=1,$B1367&gt;='112'!$N$8,$B1367&lt;='112'!$O$8,OR($L1367='112'!$I$6,$M1367='112'!$I$6))),"x",""))</f>
        <v/>
      </c>
      <c r="S1367" s="39" t="str">
        <f>IF(ISERROR(FIND('112'!$M$9,G1367,1)),"",IF((AND(LEFT(G1367,2)=LEFT('112'!$M$9,2),B1367&lt;'112'!$N$8,$L1367='112'!$I$6)),"x",""))</f>
        <v/>
      </c>
      <c r="T1367" s="39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39" t="str">
        <f>IF(OR(TH!L1367=TH!$V$7,M1367=TH!$V$7),"x","")</f>
        <v/>
      </c>
      <c r="W1367" s="39" t="str">
        <f>IF(AND(B1367&gt;='IN-NX'!$P$3,B1367&lt;='IN-NX'!$Q$3,'IN-NX'!$D$7=D1367,OR(LEFT(L1367,2)="15",AND(LEFT(M1367,2)&lt;&gt;"15",LEFT(M1367,2)&lt;&gt;"33"))),"x","")</f>
        <v/>
      </c>
      <c r="X1367" s="39" t="str">
        <f>IF(AND(OR(LEFT(TH!L1367,2)="15",LEFT(TH!M1367,2)="15"),'152-CT'!$J$8=TH!F1367),"x","")</f>
        <v/>
      </c>
      <c r="Y1367" s="39" t="str">
        <f>IF(AND(OR(LEFT(TH!L1367,2)="15",LEFT(TH!M1367,2)="15"),TK!$E$7=TH!F1367),"x","")</f>
        <v/>
      </c>
      <c r="Z1367" s="39" t="str">
        <f>IF(AND(B1367&lt;=NKC!$N$8,B1367&gt;=NKC!$M$8),"x","")</f>
        <v/>
      </c>
      <c r="AA1367" s="883"/>
    </row>
    <row r="1368" spans="1:27" s="211" customFormat="1" ht="15.75" customHeight="1">
      <c r="A1368" s="204" t="str">
        <f>IF(B1368&lt;&gt;"",IF(AND(B1368&gt;=_TM1,B1368&lt;=_TM2,OR(TH!L1368="1111",TH!M1368="1111")),TH!D1368,""),"")</f>
        <v/>
      </c>
      <c r="B1368" s="36">
        <f t="shared" si="445"/>
        <v>10</v>
      </c>
      <c r="C1368" s="191">
        <f t="shared" si="446"/>
        <v>41568</v>
      </c>
      <c r="D1368" s="191" t="s">
        <v>1292</v>
      </c>
      <c r="E1368" s="37">
        <v>41568</v>
      </c>
      <c r="F1368" s="40" t="s">
        <v>663</v>
      </c>
      <c r="G1368" s="40" t="s">
        <v>990</v>
      </c>
      <c r="H1368" s="7" t="s">
        <v>1284</v>
      </c>
      <c r="I1368" s="256">
        <v>100</v>
      </c>
      <c r="J1368" s="256">
        <v>11238</v>
      </c>
      <c r="K1368" s="602">
        <f t="shared" si="447"/>
        <v>1123800</v>
      </c>
      <c r="L1368" s="39" t="s">
        <v>165</v>
      </c>
      <c r="M1368" s="603" t="s">
        <v>159</v>
      </c>
      <c r="N1368" s="39" t="str">
        <f>IF(AND('331-CT'!$E$7=TH!H1368,OR(L1368="331",M1368="331")),"331",IF(AND(OR(L1368="131",M1368="131"),H1368='131-CT'!$E$7),"131",""))</f>
        <v/>
      </c>
      <c r="O1368" s="39" t="str">
        <f>IF(AND($B1368&gt;='111'!$N$11,$B1368&lt;='111'!$O$11,OR($L1368=$O$7,$M1368=$O$7)),"x","")</f>
        <v/>
      </c>
      <c r="P1368" s="39" t="str">
        <f>IF(AND($L1368=$O$7,$B1368&lt;'111'!$N$11),"x","")</f>
        <v/>
      </c>
      <c r="Q1368" s="39" t="str">
        <f>IF(AND($M1368=$O$7,$B1368&lt;'111'!$N$11),"x","")</f>
        <v/>
      </c>
      <c r="R1368" s="39" t="str">
        <f>IF(ISERROR(FIND('112'!$M$9,G1368,1)),"",IF((AND(FIND('112'!$M$9,G1368,1)&gt;=1,$B1368&gt;='112'!$N$8,$B1368&lt;='112'!$O$8,OR($L1368='112'!$I$6,$M1368='112'!$I$6))),"x",""))</f>
        <v/>
      </c>
      <c r="S1368" s="39" t="str">
        <f>IF(ISERROR(FIND('112'!$M$9,G1368,1)),"",IF((AND(LEFT(G1368,2)=LEFT('112'!$M$9,2),B1368&lt;'112'!$N$8,$L1368='112'!$I$6)),"x",""))</f>
        <v/>
      </c>
      <c r="T1368" s="39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39" t="str">
        <f>IF(OR(TH!L1368=TH!$V$7,M1368=TH!$V$7),"x","")</f>
        <v/>
      </c>
      <c r="W1368" s="39" t="str">
        <f>IF(AND(B1368&gt;='IN-NX'!$P$3,B1368&lt;='IN-NX'!$Q$3,'IN-NX'!$D$7=D1368,OR(LEFT(L1368,2)="15",AND(LEFT(M1368,2)&lt;&gt;"15",LEFT(M1368,2)&lt;&gt;"33"))),"x","")</f>
        <v/>
      </c>
      <c r="X1368" s="39" t="str">
        <f>IF(AND(OR(LEFT(TH!L1368,2)="15",LEFT(TH!M1368,2)="15"),'152-CT'!$J$8=TH!F1368),"x","")</f>
        <v/>
      </c>
      <c r="Y1368" s="39" t="str">
        <f>IF(AND(OR(LEFT(TH!L1368,2)="15",LEFT(TH!M1368,2)="15"),TK!$E$7=TH!F1368),"x","")</f>
        <v/>
      </c>
      <c r="Z1368" s="39" t="str">
        <f>IF(AND(B1368&lt;=NKC!$N$8,B1368&gt;=NKC!$M$8),"x","")</f>
        <v/>
      </c>
      <c r="AA1368" s="883"/>
    </row>
    <row r="1369" spans="1:27" s="211" customFormat="1" ht="15.75" customHeight="1">
      <c r="A1369" s="204" t="str">
        <f>IF(B1369&lt;&gt;"",IF(AND(B1369&gt;=_TM1,B1369&lt;=_TM2,OR(TH!L1369="1111",TH!M1369="1111")),TH!D1369,""),"")</f>
        <v/>
      </c>
      <c r="B1369" s="36">
        <f t="shared" si="445"/>
        <v>10</v>
      </c>
      <c r="C1369" s="191">
        <f t="shared" si="446"/>
        <v>41568</v>
      </c>
      <c r="D1369" s="191" t="s">
        <v>1292</v>
      </c>
      <c r="E1369" s="37">
        <v>41568</v>
      </c>
      <c r="F1369" s="40" t="s">
        <v>688</v>
      </c>
      <c r="G1369" s="40" t="s">
        <v>993</v>
      </c>
      <c r="H1369" s="7" t="s">
        <v>1284</v>
      </c>
      <c r="I1369" s="256">
        <v>600</v>
      </c>
      <c r="J1369" s="256">
        <v>16000</v>
      </c>
      <c r="K1369" s="602">
        <f t="shared" si="447"/>
        <v>9600000</v>
      </c>
      <c r="L1369" s="39" t="s">
        <v>165</v>
      </c>
      <c r="M1369" s="603" t="s">
        <v>159</v>
      </c>
      <c r="N1369" s="39" t="str">
        <f>IF(AND('331-CT'!$E$7=TH!H1369,OR(L1369="331",M1369="331")),"331",IF(AND(OR(L1369="131",M1369="131"),H1369='131-CT'!$E$7),"131",""))</f>
        <v/>
      </c>
      <c r="O1369" s="39" t="str">
        <f>IF(AND($B1369&gt;='111'!$N$11,$B1369&lt;='111'!$O$11,OR($L1369=$O$7,$M1369=$O$7)),"x","")</f>
        <v/>
      </c>
      <c r="P1369" s="39" t="str">
        <f>IF(AND($L1369=$O$7,$B1369&lt;'111'!$N$11),"x","")</f>
        <v/>
      </c>
      <c r="Q1369" s="39" t="str">
        <f>IF(AND($M1369=$O$7,$B1369&lt;'111'!$N$11),"x","")</f>
        <v/>
      </c>
      <c r="R1369" s="39" t="str">
        <f>IF(ISERROR(FIND('112'!$M$9,G1369,1)),"",IF((AND(FIND('112'!$M$9,G1369,1)&gt;=1,$B1369&gt;='112'!$N$8,$B1369&lt;='112'!$O$8,OR($L1369='112'!$I$6,$M1369='112'!$I$6))),"x",""))</f>
        <v/>
      </c>
      <c r="S1369" s="39" t="str">
        <f>IF(ISERROR(FIND('112'!$M$9,G1369,1)),"",IF((AND(LEFT(G1369,2)=LEFT('112'!$M$9,2),B1369&lt;'112'!$N$8,$L1369='112'!$I$6)),"x",""))</f>
        <v/>
      </c>
      <c r="T1369" s="39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39" t="str">
        <f>IF(OR(TH!L1369=TH!$V$7,M1369=TH!$V$7),"x","")</f>
        <v/>
      </c>
      <c r="W1369" s="39" t="str">
        <f>IF(AND(B1369&gt;='IN-NX'!$P$3,B1369&lt;='IN-NX'!$Q$3,'IN-NX'!$D$7=D1369,OR(LEFT(L1369,2)="15",AND(LEFT(M1369,2)&lt;&gt;"15",LEFT(M1369,2)&lt;&gt;"33"))),"x","")</f>
        <v/>
      </c>
      <c r="X1369" s="39" t="str">
        <f>IF(AND(OR(LEFT(TH!L1369,2)="15",LEFT(TH!M1369,2)="15"),'152-CT'!$J$8=TH!F1369),"x","")</f>
        <v/>
      </c>
      <c r="Y1369" s="39" t="str">
        <f>IF(AND(OR(LEFT(TH!L1369,2)="15",LEFT(TH!M1369,2)="15"),TK!$E$7=TH!F1369),"x","")</f>
        <v/>
      </c>
      <c r="Z1369" s="39" t="str">
        <f>IF(AND(B1369&lt;=NKC!$N$8,B1369&gt;=NKC!$M$8),"x","")</f>
        <v/>
      </c>
      <c r="AA1369" s="883"/>
    </row>
    <row r="1370" spans="1:27" s="211" customFormat="1" ht="15.75" customHeight="1">
      <c r="A1370" s="204" t="str">
        <f>IF(B1370&lt;&gt;"",IF(AND(B1370&gt;=_TM1,B1370&lt;=_TM2,OR(TH!L1370="1111",TH!M1370="1111")),TH!D1370,""),"")</f>
        <v/>
      </c>
      <c r="B1370" s="36">
        <f t="shared" si="445"/>
        <v>10</v>
      </c>
      <c r="C1370" s="191">
        <f t="shared" si="446"/>
        <v>41570</v>
      </c>
      <c r="D1370" s="191" t="s">
        <v>1292</v>
      </c>
      <c r="E1370" s="37">
        <v>41570</v>
      </c>
      <c r="F1370" s="40" t="s">
        <v>1241</v>
      </c>
      <c r="G1370" s="40" t="s">
        <v>994</v>
      </c>
      <c r="H1370" s="7" t="s">
        <v>1284</v>
      </c>
      <c r="I1370" s="256">
        <v>10</v>
      </c>
      <c r="J1370" s="256">
        <v>19910.04</v>
      </c>
      <c r="K1370" s="602">
        <f t="shared" si="447"/>
        <v>199100</v>
      </c>
      <c r="L1370" s="39" t="s">
        <v>165</v>
      </c>
      <c r="M1370" s="603" t="s">
        <v>159</v>
      </c>
      <c r="N1370" s="39" t="str">
        <f>IF(AND('331-CT'!$E$7=TH!H1370,OR(L1370="331",M1370="331")),"331",IF(AND(OR(L1370="131",M1370="131"),H1370='131-CT'!$E$7),"131",""))</f>
        <v/>
      </c>
      <c r="O1370" s="39" t="str">
        <f>IF(AND($B1370&gt;='111'!$N$11,$B1370&lt;='111'!$O$11,OR($L1370=$O$7,$M1370=$O$7)),"x","")</f>
        <v/>
      </c>
      <c r="P1370" s="39" t="str">
        <f>IF(AND($L1370=$O$7,$B1370&lt;'111'!$N$11),"x","")</f>
        <v/>
      </c>
      <c r="Q1370" s="39" t="str">
        <f>IF(AND($M1370=$O$7,$B1370&lt;'111'!$N$11),"x","")</f>
        <v/>
      </c>
      <c r="R1370" s="39" t="str">
        <f>IF(ISERROR(FIND('112'!$M$9,G1370,1)),"",IF((AND(FIND('112'!$M$9,G1370,1)&gt;=1,$B1370&gt;='112'!$N$8,$B1370&lt;='112'!$O$8,OR($L1370='112'!$I$6,$M1370='112'!$I$6))),"x",""))</f>
        <v/>
      </c>
      <c r="S1370" s="39" t="str">
        <f>IF(ISERROR(FIND('112'!$M$9,G1370,1)),"",IF((AND(LEFT(G1370,2)=LEFT('112'!$M$9,2),B1370&lt;'112'!$N$8,$L1370='112'!$I$6)),"x",""))</f>
        <v/>
      </c>
      <c r="T1370" s="39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39" t="str">
        <f>IF(OR(TH!L1370=TH!$V$7,M1370=TH!$V$7),"x","")</f>
        <v/>
      </c>
      <c r="W1370" s="39" t="str">
        <f>IF(AND(B1370&gt;='IN-NX'!$P$3,B1370&lt;='IN-NX'!$Q$3,'IN-NX'!$D$7=D1370,OR(LEFT(L1370,2)="15",AND(LEFT(M1370,2)&lt;&gt;"15",LEFT(M1370,2)&lt;&gt;"33"))),"x","")</f>
        <v/>
      </c>
      <c r="X1370" s="39" t="str">
        <f>IF(AND(OR(LEFT(TH!L1370,2)="15",LEFT(TH!M1370,2)="15"),'152-CT'!$J$8=TH!F1370),"x","")</f>
        <v/>
      </c>
      <c r="Y1370" s="39" t="str">
        <f>IF(AND(OR(LEFT(TH!L1370,2)="15",LEFT(TH!M1370,2)="15"),TK!$E$7=TH!F1370),"x","")</f>
        <v/>
      </c>
      <c r="Z1370" s="39" t="str">
        <f>IF(AND(B1370&lt;=NKC!$N$8,B1370&gt;=NKC!$M$8),"x","")</f>
        <v/>
      </c>
      <c r="AA1370" s="883"/>
    </row>
    <row r="1371" spans="1:27" s="211" customFormat="1" ht="15.75" customHeight="1">
      <c r="A1371" s="204" t="str">
        <f>IF(B1371&lt;&gt;"",IF(AND(B1371&gt;=_TM1,B1371&lt;=_TM2,OR(TH!L1371="1111",TH!M1371="1111")),TH!D1371,""),"")</f>
        <v/>
      </c>
      <c r="B1371" s="36">
        <f t="shared" si="445"/>
        <v>10</v>
      </c>
      <c r="C1371" s="191">
        <f t="shared" si="446"/>
        <v>41570</v>
      </c>
      <c r="D1371" s="191" t="s">
        <v>1292</v>
      </c>
      <c r="E1371" s="37">
        <v>41570</v>
      </c>
      <c r="F1371" s="40" t="s">
        <v>706</v>
      </c>
      <c r="G1371" s="40" t="s">
        <v>994</v>
      </c>
      <c r="H1371" s="7" t="s">
        <v>1284</v>
      </c>
      <c r="I1371" s="256">
        <v>1000</v>
      </c>
      <c r="J1371" s="256">
        <v>9500</v>
      </c>
      <c r="K1371" s="602">
        <f t="shared" si="447"/>
        <v>9500000</v>
      </c>
      <c r="L1371" s="39" t="s">
        <v>165</v>
      </c>
      <c r="M1371" s="603" t="s">
        <v>159</v>
      </c>
      <c r="N1371" s="39" t="str">
        <f>IF(AND('331-CT'!$E$7=TH!H1371,OR(L1371="331",M1371="331")),"331",IF(AND(OR(L1371="131",M1371="131"),H1371='131-CT'!$E$7),"131",""))</f>
        <v/>
      </c>
      <c r="O1371" s="39" t="str">
        <f>IF(AND($B1371&gt;='111'!$N$11,$B1371&lt;='111'!$O$11,OR($L1371=$O$7,$M1371=$O$7)),"x","")</f>
        <v/>
      </c>
      <c r="P1371" s="39" t="str">
        <f>IF(AND($L1371=$O$7,$B1371&lt;'111'!$N$11),"x","")</f>
        <v/>
      </c>
      <c r="Q1371" s="39" t="str">
        <f>IF(AND($M1371=$O$7,$B1371&lt;'111'!$N$11),"x","")</f>
        <v/>
      </c>
      <c r="R1371" s="39" t="str">
        <f>IF(ISERROR(FIND('112'!$M$9,G1371,1)),"",IF((AND(FIND('112'!$M$9,G1371,1)&gt;=1,$B1371&gt;='112'!$N$8,$B1371&lt;='112'!$O$8,OR($L1371='112'!$I$6,$M1371='112'!$I$6))),"x",""))</f>
        <v/>
      </c>
      <c r="S1371" s="39" t="str">
        <f>IF(ISERROR(FIND('112'!$M$9,G1371,1)),"",IF((AND(LEFT(G1371,2)=LEFT('112'!$M$9,2),B1371&lt;'112'!$N$8,$L1371='112'!$I$6)),"x",""))</f>
        <v/>
      </c>
      <c r="T1371" s="39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39" t="str">
        <f>IF(OR(TH!L1371=TH!$V$7,M1371=TH!$V$7),"x","")</f>
        <v/>
      </c>
      <c r="W1371" s="39" t="str">
        <f>IF(AND(B1371&gt;='IN-NX'!$P$3,B1371&lt;='IN-NX'!$Q$3,'IN-NX'!$D$7=D1371,OR(LEFT(L1371,2)="15",AND(LEFT(M1371,2)&lt;&gt;"15",LEFT(M1371,2)&lt;&gt;"33"))),"x","")</f>
        <v/>
      </c>
      <c r="X1371" s="39" t="str">
        <f>IF(AND(OR(LEFT(TH!L1371,2)="15",LEFT(TH!M1371,2)="15"),'152-CT'!$J$8=TH!F1371),"x","")</f>
        <v/>
      </c>
      <c r="Y1371" s="39" t="str">
        <f>IF(AND(OR(LEFT(TH!L1371,2)="15",LEFT(TH!M1371,2)="15"),TK!$E$7=TH!F1371),"x","")</f>
        <v/>
      </c>
      <c r="Z1371" s="39" t="str">
        <f>IF(AND(B1371&lt;=NKC!$N$8,B1371&gt;=NKC!$M$8),"x","")</f>
        <v/>
      </c>
      <c r="AA1371" s="883"/>
    </row>
    <row r="1372" spans="1:27" s="211" customFormat="1" ht="15.75" customHeight="1">
      <c r="A1372" s="204" t="str">
        <f>IF(B1372&lt;&gt;"",IF(AND(B1372&gt;=_TM1,B1372&lt;=_TM2,OR(TH!L1372="1111",TH!M1372="1111")),TH!D1372,""),"")</f>
        <v/>
      </c>
      <c r="B1372" s="36">
        <f t="shared" si="445"/>
        <v>10</v>
      </c>
      <c r="C1372" s="191">
        <f t="shared" si="446"/>
        <v>41574</v>
      </c>
      <c r="D1372" s="191" t="s">
        <v>1292</v>
      </c>
      <c r="E1372" s="37">
        <v>41574</v>
      </c>
      <c r="F1372" s="40" t="s">
        <v>630</v>
      </c>
      <c r="G1372" s="40" t="s">
        <v>995</v>
      </c>
      <c r="H1372" s="7" t="s">
        <v>1284</v>
      </c>
      <c r="I1372" s="256">
        <v>371</v>
      </c>
      <c r="J1372" s="256">
        <v>14784</v>
      </c>
      <c r="K1372" s="602">
        <f t="shared" si="447"/>
        <v>5484864</v>
      </c>
      <c r="L1372" s="39" t="s">
        <v>165</v>
      </c>
      <c r="M1372" s="603" t="s">
        <v>159</v>
      </c>
      <c r="N1372" s="39" t="str">
        <f>IF(AND('331-CT'!$E$7=TH!H1372,OR(L1372="331",M1372="331")),"331",IF(AND(OR(L1372="131",M1372="131"),H1372='131-CT'!$E$7),"131",""))</f>
        <v/>
      </c>
      <c r="O1372" s="39" t="str">
        <f>IF(AND($B1372&gt;='111'!$N$11,$B1372&lt;='111'!$O$11,OR($L1372=$O$7,$M1372=$O$7)),"x","")</f>
        <v/>
      </c>
      <c r="P1372" s="39" t="str">
        <f>IF(AND($L1372=$O$7,$B1372&lt;'111'!$N$11),"x","")</f>
        <v/>
      </c>
      <c r="Q1372" s="39" t="str">
        <f>IF(AND($M1372=$O$7,$B1372&lt;'111'!$N$11),"x","")</f>
        <v/>
      </c>
      <c r="R1372" s="39" t="str">
        <f>IF(ISERROR(FIND('112'!$M$9,G1372,1)),"",IF((AND(FIND('112'!$M$9,G1372,1)&gt;=1,$B1372&gt;='112'!$N$8,$B1372&lt;='112'!$O$8,OR($L1372='112'!$I$6,$M1372='112'!$I$6))),"x",""))</f>
        <v/>
      </c>
      <c r="S1372" s="39" t="str">
        <f>IF(ISERROR(FIND('112'!$M$9,G1372,1)),"",IF((AND(LEFT(G1372,2)=LEFT('112'!$M$9,2),B1372&lt;'112'!$N$8,$L1372='112'!$I$6)),"x",""))</f>
        <v/>
      </c>
      <c r="T1372" s="39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39" t="str">
        <f>IF(OR(TH!L1372=TH!$V$7,M1372=TH!$V$7),"x","")</f>
        <v/>
      </c>
      <c r="W1372" s="39" t="str">
        <f>IF(AND(B1372&gt;='IN-NX'!$P$3,B1372&lt;='IN-NX'!$Q$3,'IN-NX'!$D$7=D1372,OR(LEFT(L1372,2)="15",AND(LEFT(M1372,2)&lt;&gt;"15",LEFT(M1372,2)&lt;&gt;"33"))),"x","")</f>
        <v/>
      </c>
      <c r="X1372" s="39" t="str">
        <f>IF(AND(OR(LEFT(TH!L1372,2)="15",LEFT(TH!M1372,2)="15"),'152-CT'!$J$8=TH!F1372),"x","")</f>
        <v/>
      </c>
      <c r="Y1372" s="39" t="str">
        <f>IF(AND(OR(LEFT(TH!L1372,2)="15",LEFT(TH!M1372,2)="15"),TK!$E$7=TH!F1372),"x","")</f>
        <v/>
      </c>
      <c r="Z1372" s="39" t="str">
        <f>IF(AND(B1372&lt;=NKC!$N$8,B1372&gt;=NKC!$M$8),"x","")</f>
        <v/>
      </c>
      <c r="AA1372" s="883"/>
    </row>
    <row r="1373" spans="1:27" s="211" customFormat="1" ht="15.75" customHeight="1">
      <c r="A1373" s="204" t="str">
        <f>IF(B1373&lt;&gt;"",IF(AND(B1373&gt;=_TM1,B1373&lt;=_TM2,OR(TH!L1373="1111",TH!M1373="1111")),TH!D1373,""),"")</f>
        <v/>
      </c>
      <c r="B1373" s="36">
        <f t="shared" si="445"/>
        <v>10</v>
      </c>
      <c r="C1373" s="191">
        <f t="shared" si="446"/>
        <v>41575</v>
      </c>
      <c r="D1373" s="191" t="s">
        <v>1292</v>
      </c>
      <c r="E1373" s="37">
        <v>41575</v>
      </c>
      <c r="F1373" s="40" t="s">
        <v>711</v>
      </c>
      <c r="G1373" s="40" t="s">
        <v>996</v>
      </c>
      <c r="H1373" s="7" t="s">
        <v>1284</v>
      </c>
      <c r="I1373" s="256">
        <v>1000</v>
      </c>
      <c r="J1373" s="256">
        <v>6760</v>
      </c>
      <c r="K1373" s="602">
        <f t="shared" si="447"/>
        <v>6760000</v>
      </c>
      <c r="L1373" s="39" t="s">
        <v>165</v>
      </c>
      <c r="M1373" s="603" t="s">
        <v>159</v>
      </c>
      <c r="N1373" s="39" t="str">
        <f>IF(AND('331-CT'!$E$7=TH!H1373,OR(L1373="331",M1373="331")),"331",IF(AND(OR(L1373="131",M1373="131"),H1373='131-CT'!$E$7),"131",""))</f>
        <v/>
      </c>
      <c r="O1373" s="39" t="str">
        <f>IF(AND($B1373&gt;='111'!$N$11,$B1373&lt;='111'!$O$11,OR($L1373=$O$7,$M1373=$O$7)),"x","")</f>
        <v/>
      </c>
      <c r="P1373" s="39" t="str">
        <f>IF(AND($L1373=$O$7,$B1373&lt;'111'!$N$11),"x","")</f>
        <v/>
      </c>
      <c r="Q1373" s="39" t="str">
        <f>IF(AND($M1373=$O$7,$B1373&lt;'111'!$N$11),"x","")</f>
        <v/>
      </c>
      <c r="R1373" s="39" t="str">
        <f>IF(ISERROR(FIND('112'!$M$9,G1373,1)),"",IF((AND(FIND('112'!$M$9,G1373,1)&gt;=1,$B1373&gt;='112'!$N$8,$B1373&lt;='112'!$O$8,OR($L1373='112'!$I$6,$M1373='112'!$I$6))),"x",""))</f>
        <v/>
      </c>
      <c r="S1373" s="39" t="str">
        <f>IF(ISERROR(FIND('112'!$M$9,G1373,1)),"",IF((AND(LEFT(G1373,2)=LEFT('112'!$M$9,2),B1373&lt;'112'!$N$8,$L1373='112'!$I$6)),"x",""))</f>
        <v/>
      </c>
      <c r="T1373" s="39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39" t="str">
        <f>IF(OR(TH!L1373=TH!$V$7,M1373=TH!$V$7),"x","")</f>
        <v/>
      </c>
      <c r="W1373" s="39" t="str">
        <f>IF(AND(B1373&gt;='IN-NX'!$P$3,B1373&lt;='IN-NX'!$Q$3,'IN-NX'!$D$7=D1373,OR(LEFT(L1373,2)="15",AND(LEFT(M1373,2)&lt;&gt;"15",LEFT(M1373,2)&lt;&gt;"33"))),"x","")</f>
        <v/>
      </c>
      <c r="X1373" s="39" t="str">
        <f>IF(AND(OR(LEFT(TH!L1373,2)="15",LEFT(TH!M1373,2)="15"),'152-CT'!$J$8=TH!F1373),"x","")</f>
        <v/>
      </c>
      <c r="Y1373" s="39" t="str">
        <f>IF(AND(OR(LEFT(TH!L1373,2)="15",LEFT(TH!M1373,2)="15"),TK!$E$7=TH!F1373),"x","")</f>
        <v/>
      </c>
      <c r="Z1373" s="39" t="str">
        <f>IF(AND(B1373&lt;=NKC!$N$8,B1373&gt;=NKC!$M$8),"x","")</f>
        <v/>
      </c>
      <c r="AA1373" s="883"/>
    </row>
    <row r="1374" spans="1:27" s="211" customFormat="1" ht="15.75" customHeight="1">
      <c r="A1374" s="204" t="str">
        <f>IF(B1374&lt;&gt;"",IF(AND(B1374&gt;=_TM1,B1374&lt;=_TM2,OR(TH!L1374="1111",TH!M1374="1111")),TH!D1374,""),"")</f>
        <v/>
      </c>
      <c r="B1374" s="36">
        <f t="shared" si="445"/>
        <v>10</v>
      </c>
      <c r="C1374" s="191">
        <f t="shared" si="446"/>
        <v>41575</v>
      </c>
      <c r="D1374" s="191" t="s">
        <v>1292</v>
      </c>
      <c r="E1374" s="37">
        <v>41575</v>
      </c>
      <c r="F1374" s="40" t="s">
        <v>685</v>
      </c>
      <c r="G1374" s="40" t="s">
        <v>997</v>
      </c>
      <c r="H1374" s="7" t="s">
        <v>1284</v>
      </c>
      <c r="I1374" s="256">
        <v>400</v>
      </c>
      <c r="J1374" s="256">
        <v>8500</v>
      </c>
      <c r="K1374" s="602">
        <f t="shared" si="447"/>
        <v>3400000</v>
      </c>
      <c r="L1374" s="39" t="s">
        <v>165</v>
      </c>
      <c r="M1374" s="603" t="s">
        <v>159</v>
      </c>
      <c r="N1374" s="39" t="str">
        <f>IF(AND('331-CT'!$E$7=TH!H1374,OR(L1374="331",M1374="331")),"331",IF(AND(OR(L1374="131",M1374="131"),H1374='131-CT'!$E$7),"131",""))</f>
        <v/>
      </c>
      <c r="O1374" s="39" t="str">
        <f>IF(AND($B1374&gt;='111'!$N$11,$B1374&lt;='111'!$O$11,OR($L1374=$O$7,$M1374=$O$7)),"x","")</f>
        <v/>
      </c>
      <c r="P1374" s="39" t="str">
        <f>IF(AND($L1374=$O$7,$B1374&lt;'111'!$N$11),"x","")</f>
        <v/>
      </c>
      <c r="Q1374" s="39" t="str">
        <f>IF(AND($M1374=$O$7,$B1374&lt;'111'!$N$11),"x","")</f>
        <v/>
      </c>
      <c r="R1374" s="39" t="str">
        <f>IF(ISERROR(FIND('112'!$M$9,G1374,1)),"",IF((AND(FIND('112'!$M$9,G1374,1)&gt;=1,$B1374&gt;='112'!$N$8,$B1374&lt;='112'!$O$8,OR($L1374='112'!$I$6,$M1374='112'!$I$6))),"x",""))</f>
        <v/>
      </c>
      <c r="S1374" s="39" t="str">
        <f>IF(ISERROR(FIND('112'!$M$9,G1374,1)),"",IF((AND(LEFT(G1374,2)=LEFT('112'!$M$9,2),B1374&lt;'112'!$N$8,$L1374='112'!$I$6)),"x",""))</f>
        <v/>
      </c>
      <c r="T1374" s="39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39" t="str">
        <f>IF(OR(TH!L1374=TH!$V$7,M1374=TH!$V$7),"x","")</f>
        <v/>
      </c>
      <c r="W1374" s="39" t="str">
        <f>IF(AND(B1374&gt;='IN-NX'!$P$3,B1374&lt;='IN-NX'!$Q$3,'IN-NX'!$D$7=D1374,OR(LEFT(L1374,2)="15",AND(LEFT(M1374,2)&lt;&gt;"15",LEFT(M1374,2)&lt;&gt;"33"))),"x","")</f>
        <v/>
      </c>
      <c r="X1374" s="39" t="str">
        <f>IF(AND(OR(LEFT(TH!L1374,2)="15",LEFT(TH!M1374,2)="15"),'152-CT'!$J$8=TH!F1374),"x","")</f>
        <v>x</v>
      </c>
      <c r="Y1374" s="39" t="str">
        <f>IF(AND(OR(LEFT(TH!L1374,2)="15",LEFT(TH!M1374,2)="15"),TK!$E$7=TH!F1374),"x","")</f>
        <v/>
      </c>
      <c r="Z1374" s="39" t="str">
        <f>IF(AND(B1374&lt;=NKC!$N$8,B1374&gt;=NKC!$M$8),"x","")</f>
        <v/>
      </c>
      <c r="AA1374" s="883"/>
    </row>
    <row r="1375" spans="1:27" s="211" customFormat="1" ht="15.75" customHeight="1">
      <c r="A1375" s="204" t="str">
        <f>IF(B1375&lt;&gt;"",IF(AND(B1375&gt;=_TM1,B1375&lt;=_TM2,OR(TH!L1375="1111",TH!M1375="1111")),TH!D1375,""),"")</f>
        <v/>
      </c>
      <c r="B1375" s="36">
        <f t="shared" si="445"/>
        <v>10</v>
      </c>
      <c r="C1375" s="191">
        <f t="shared" si="446"/>
        <v>41575</v>
      </c>
      <c r="D1375" s="191" t="s">
        <v>1292</v>
      </c>
      <c r="E1375" s="37">
        <v>41575</v>
      </c>
      <c r="F1375" s="40" t="s">
        <v>1224</v>
      </c>
      <c r="G1375" s="40" t="s">
        <v>998</v>
      </c>
      <c r="H1375" s="7" t="s">
        <v>1284</v>
      </c>
      <c r="I1375" s="256">
        <v>200</v>
      </c>
      <c r="J1375" s="256">
        <v>19950</v>
      </c>
      <c r="K1375" s="602">
        <f t="shared" si="447"/>
        <v>3990000</v>
      </c>
      <c r="L1375" s="39" t="s">
        <v>165</v>
      </c>
      <c r="M1375" s="603" t="s">
        <v>159</v>
      </c>
      <c r="N1375" s="39" t="str">
        <f>IF(AND('331-CT'!$E$7=TH!H1375,OR(L1375="331",M1375="331")),"331",IF(AND(OR(L1375="131",M1375="131"),H1375='131-CT'!$E$7),"131",""))</f>
        <v/>
      </c>
      <c r="O1375" s="39" t="str">
        <f>IF(AND($B1375&gt;='111'!$N$11,$B1375&lt;='111'!$O$11,OR($L1375=$O$7,$M1375=$O$7)),"x","")</f>
        <v/>
      </c>
      <c r="P1375" s="39" t="str">
        <f>IF(AND($L1375=$O$7,$B1375&lt;'111'!$N$11),"x","")</f>
        <v/>
      </c>
      <c r="Q1375" s="39" t="str">
        <f>IF(AND($M1375=$O$7,$B1375&lt;'111'!$N$11),"x","")</f>
        <v/>
      </c>
      <c r="R1375" s="39" t="str">
        <f>IF(ISERROR(FIND('112'!$M$9,G1375,1)),"",IF((AND(FIND('112'!$M$9,G1375,1)&gt;=1,$B1375&gt;='112'!$N$8,$B1375&lt;='112'!$O$8,OR($L1375='112'!$I$6,$M1375='112'!$I$6))),"x",""))</f>
        <v/>
      </c>
      <c r="S1375" s="39" t="str">
        <f>IF(ISERROR(FIND('112'!$M$9,G1375,1)),"",IF((AND(LEFT(G1375,2)=LEFT('112'!$M$9,2),B1375&lt;'112'!$N$8,$L1375='112'!$I$6)),"x",""))</f>
        <v/>
      </c>
      <c r="T1375" s="39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39" t="str">
        <f>IF(OR(TH!L1375=TH!$V$7,M1375=TH!$V$7),"x","")</f>
        <v/>
      </c>
      <c r="W1375" s="39" t="str">
        <f>IF(AND(B1375&gt;='IN-NX'!$P$3,B1375&lt;='IN-NX'!$Q$3,'IN-NX'!$D$7=D1375,OR(LEFT(L1375,2)="15",AND(LEFT(M1375,2)&lt;&gt;"15",LEFT(M1375,2)&lt;&gt;"33"))),"x","")</f>
        <v/>
      </c>
      <c r="X1375" s="39" t="str">
        <f>IF(AND(OR(LEFT(TH!L1375,2)="15",LEFT(TH!M1375,2)="15"),'152-CT'!$J$8=TH!F1375),"x","")</f>
        <v/>
      </c>
      <c r="Y1375" s="39" t="str">
        <f>IF(AND(OR(LEFT(TH!L1375,2)="15",LEFT(TH!M1375,2)="15"),TK!$E$7=TH!F1375),"x","")</f>
        <v/>
      </c>
      <c r="Z1375" s="39" t="str">
        <f>IF(AND(B1375&lt;=NKC!$N$8,B1375&gt;=NKC!$M$8),"x","")</f>
        <v/>
      </c>
      <c r="AA1375" s="883"/>
    </row>
    <row r="1376" spans="1:27" s="211" customFormat="1" ht="15.75" customHeight="1">
      <c r="A1376" s="204" t="str">
        <f>IF(B1376&lt;&gt;"",IF(AND(B1376&gt;=_TM1,B1376&lt;=_TM2,OR(TH!L1376="1111",TH!M1376="1111")),TH!D1376,""),"")</f>
        <v/>
      </c>
      <c r="B1376" s="36">
        <f t="shared" si="445"/>
        <v>10</v>
      </c>
      <c r="C1376" s="191">
        <f t="shared" si="446"/>
        <v>41575</v>
      </c>
      <c r="D1376" s="191" t="s">
        <v>1292</v>
      </c>
      <c r="E1376" s="37">
        <v>41575</v>
      </c>
      <c r="F1376" s="40" t="s">
        <v>628</v>
      </c>
      <c r="G1376" s="40" t="s">
        <v>999</v>
      </c>
      <c r="H1376" s="7" t="s">
        <v>1284</v>
      </c>
      <c r="I1376" s="256">
        <v>292</v>
      </c>
      <c r="J1376" s="256">
        <v>8385</v>
      </c>
      <c r="K1376" s="602">
        <f t="shared" si="447"/>
        <v>2448420</v>
      </c>
      <c r="L1376" s="39" t="s">
        <v>165</v>
      </c>
      <c r="M1376" s="603" t="s">
        <v>159</v>
      </c>
      <c r="N1376" s="39" t="str">
        <f>IF(AND('331-CT'!$E$7=TH!H1376,OR(L1376="331",M1376="331")),"331",IF(AND(OR(L1376="131",M1376="131"),H1376='131-CT'!$E$7),"131",""))</f>
        <v/>
      </c>
      <c r="O1376" s="39" t="str">
        <f>IF(AND($B1376&gt;='111'!$N$11,$B1376&lt;='111'!$O$11,OR($L1376=$O$7,$M1376=$O$7)),"x","")</f>
        <v/>
      </c>
      <c r="P1376" s="39" t="str">
        <f>IF(AND($L1376=$O$7,$B1376&lt;'111'!$N$11),"x","")</f>
        <v/>
      </c>
      <c r="Q1376" s="39" t="str">
        <f>IF(AND($M1376=$O$7,$B1376&lt;'111'!$N$11),"x","")</f>
        <v/>
      </c>
      <c r="R1376" s="39" t="str">
        <f>IF(ISERROR(FIND('112'!$M$9,G1376,1)),"",IF((AND(FIND('112'!$M$9,G1376,1)&gt;=1,$B1376&gt;='112'!$N$8,$B1376&lt;='112'!$O$8,OR($L1376='112'!$I$6,$M1376='112'!$I$6))),"x",""))</f>
        <v/>
      </c>
      <c r="S1376" s="39" t="str">
        <f>IF(ISERROR(FIND('112'!$M$9,G1376,1)),"",IF((AND(LEFT(G1376,2)=LEFT('112'!$M$9,2),B1376&lt;'112'!$N$8,$L1376='112'!$I$6)),"x",""))</f>
        <v/>
      </c>
      <c r="T1376" s="39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39" t="str">
        <f>IF(OR(TH!L1376=TH!$V$7,M1376=TH!$V$7),"x","")</f>
        <v/>
      </c>
      <c r="W1376" s="39" t="str">
        <f>IF(AND(B1376&gt;='IN-NX'!$P$3,B1376&lt;='IN-NX'!$Q$3,'IN-NX'!$D$7=D1376,OR(LEFT(L1376,2)="15",AND(LEFT(M1376,2)&lt;&gt;"15",LEFT(M1376,2)&lt;&gt;"33"))),"x","")</f>
        <v/>
      </c>
      <c r="X1376" s="39" t="str">
        <f>IF(AND(OR(LEFT(TH!L1376,2)="15",LEFT(TH!M1376,2)="15"),'152-CT'!$J$8=TH!F1376),"x","")</f>
        <v/>
      </c>
      <c r="Y1376" s="39" t="str">
        <f>IF(AND(OR(LEFT(TH!L1376,2)="15",LEFT(TH!M1376,2)="15"),TK!$E$7=TH!F1376),"x","")</f>
        <v/>
      </c>
      <c r="Z1376" s="39" t="str">
        <f>IF(AND(B1376&lt;=NKC!$N$8,B1376&gt;=NKC!$M$8),"x","")</f>
        <v/>
      </c>
      <c r="AA1376" s="883"/>
    </row>
    <row r="1377" spans="1:27" s="211" customFormat="1" ht="15.75" customHeight="1">
      <c r="A1377" s="204" t="str">
        <f>IF(B1377&lt;&gt;"",IF(AND(B1377&gt;=_TM1,B1377&lt;=_TM2,OR(TH!L1377="1111",TH!M1377="1111")),TH!D1377,""),"")</f>
        <v/>
      </c>
      <c r="B1377" s="36">
        <f t="shared" si="445"/>
        <v>11</v>
      </c>
      <c r="C1377" s="191">
        <f t="shared" si="446"/>
        <v>41579</v>
      </c>
      <c r="D1377" s="191" t="s">
        <v>1292</v>
      </c>
      <c r="E1377" s="37">
        <v>41579</v>
      </c>
      <c r="F1377" s="40" t="s">
        <v>688</v>
      </c>
      <c r="G1377" s="40" t="s">
        <v>1000</v>
      </c>
      <c r="H1377" s="7" t="s">
        <v>1284</v>
      </c>
      <c r="I1377" s="256">
        <v>500</v>
      </c>
      <c r="J1377" s="256">
        <v>16000</v>
      </c>
      <c r="K1377" s="602">
        <f t="shared" si="447"/>
        <v>8000000</v>
      </c>
      <c r="L1377" s="39" t="s">
        <v>165</v>
      </c>
      <c r="M1377" s="603" t="s">
        <v>159</v>
      </c>
      <c r="N1377" s="39" t="str">
        <f>IF(AND('331-CT'!$E$7=TH!H1377,OR(L1377="331",M1377="331")),"331",IF(AND(OR(L1377="131",M1377="131"),H1377='131-CT'!$E$7),"131",""))</f>
        <v/>
      </c>
      <c r="O1377" s="39" t="str">
        <f>IF(AND($B1377&gt;='111'!$N$11,$B1377&lt;='111'!$O$11,OR($L1377=$O$7,$M1377=$O$7)),"x","")</f>
        <v/>
      </c>
      <c r="P1377" s="39" t="str">
        <f>IF(AND($L1377=$O$7,$B1377&lt;'111'!$N$11),"x","")</f>
        <v/>
      </c>
      <c r="Q1377" s="39" t="str">
        <f>IF(AND($M1377=$O$7,$B1377&lt;'111'!$N$11),"x","")</f>
        <v/>
      </c>
      <c r="R1377" s="39" t="str">
        <f>IF(ISERROR(FIND('112'!$M$9,G1377,1)),"",IF((AND(FIND('112'!$M$9,G1377,1)&gt;=1,$B1377&gt;='112'!$N$8,$B1377&lt;='112'!$O$8,OR($L1377='112'!$I$6,$M1377='112'!$I$6))),"x",""))</f>
        <v/>
      </c>
      <c r="S1377" s="39" t="str">
        <f>IF(ISERROR(FIND('112'!$M$9,G1377,1)),"",IF((AND(LEFT(G1377,2)=LEFT('112'!$M$9,2),B1377&lt;'112'!$N$8,$L1377='112'!$I$6)),"x",""))</f>
        <v/>
      </c>
      <c r="T1377" s="39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39" t="str">
        <f>IF(OR(TH!L1377=TH!$V$7,M1377=TH!$V$7),"x","")</f>
        <v/>
      </c>
      <c r="W1377" s="39" t="str">
        <f>IF(AND(B1377&gt;='IN-NX'!$P$3,B1377&lt;='IN-NX'!$Q$3,'IN-NX'!$D$7=D1377,OR(LEFT(L1377,2)="15",AND(LEFT(M1377,2)&lt;&gt;"15",LEFT(M1377,2)&lt;&gt;"33"))),"x","")</f>
        <v/>
      </c>
      <c r="X1377" s="39" t="str">
        <f>IF(AND(OR(LEFT(TH!L1377,2)="15",LEFT(TH!M1377,2)="15"),'152-CT'!$J$8=TH!F1377),"x","")</f>
        <v/>
      </c>
      <c r="Y1377" s="39" t="str">
        <f>IF(AND(OR(LEFT(TH!L1377,2)="15",LEFT(TH!M1377,2)="15"),TK!$E$7=TH!F1377),"x","")</f>
        <v/>
      </c>
      <c r="Z1377" s="39" t="str">
        <f>IF(AND(B1377&lt;=NKC!$N$8,B1377&gt;=NKC!$M$8),"x","")</f>
        <v/>
      </c>
      <c r="AA1377" s="883"/>
    </row>
    <row r="1378" spans="1:27" s="211" customFormat="1" ht="15.75" customHeight="1">
      <c r="A1378" s="204" t="str">
        <f>IF(B1378&lt;&gt;"",IF(AND(B1378&gt;=_TM1,B1378&lt;=_TM2,OR(TH!L1378="1111",TH!M1378="1111")),TH!D1378,""),"")</f>
        <v/>
      </c>
      <c r="B1378" s="36">
        <f t="shared" si="445"/>
        <v>11</v>
      </c>
      <c r="C1378" s="191">
        <f t="shared" si="446"/>
        <v>41579</v>
      </c>
      <c r="D1378" s="191" t="s">
        <v>1292</v>
      </c>
      <c r="E1378" s="37">
        <v>41579</v>
      </c>
      <c r="F1378" s="40" t="s">
        <v>628</v>
      </c>
      <c r="G1378" s="40" t="s">
        <v>1000</v>
      </c>
      <c r="H1378" s="7" t="s">
        <v>1284</v>
      </c>
      <c r="I1378" s="256">
        <v>50</v>
      </c>
      <c r="J1378" s="256">
        <v>8385</v>
      </c>
      <c r="K1378" s="602">
        <f t="shared" si="447"/>
        <v>419250</v>
      </c>
      <c r="L1378" s="39" t="s">
        <v>165</v>
      </c>
      <c r="M1378" s="603" t="s">
        <v>159</v>
      </c>
      <c r="N1378" s="39" t="str">
        <f>IF(AND('331-CT'!$E$7=TH!H1378,OR(L1378="331",M1378="331")),"331",IF(AND(OR(L1378="131",M1378="131"),H1378='131-CT'!$E$7),"131",""))</f>
        <v/>
      </c>
      <c r="O1378" s="39" t="str">
        <f>IF(AND($B1378&gt;='111'!$N$11,$B1378&lt;='111'!$O$11,OR($L1378=$O$7,$M1378=$O$7)),"x","")</f>
        <v/>
      </c>
      <c r="P1378" s="39" t="str">
        <f>IF(AND($L1378=$O$7,$B1378&lt;'111'!$N$11),"x","")</f>
        <v/>
      </c>
      <c r="Q1378" s="39" t="str">
        <f>IF(AND($M1378=$O$7,$B1378&lt;'111'!$N$11),"x","")</f>
        <v/>
      </c>
      <c r="R1378" s="39" t="str">
        <f>IF(ISERROR(FIND('112'!$M$9,G1378,1)),"",IF((AND(FIND('112'!$M$9,G1378,1)&gt;=1,$B1378&gt;='112'!$N$8,$B1378&lt;='112'!$O$8,OR($L1378='112'!$I$6,$M1378='112'!$I$6))),"x",""))</f>
        <v/>
      </c>
      <c r="S1378" s="39" t="str">
        <f>IF(ISERROR(FIND('112'!$M$9,G1378,1)),"",IF((AND(LEFT(G1378,2)=LEFT('112'!$M$9,2),B1378&lt;'112'!$N$8,$L1378='112'!$I$6)),"x",""))</f>
        <v/>
      </c>
      <c r="T1378" s="39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39" t="str">
        <f>IF(OR(TH!L1378=TH!$V$7,M1378=TH!$V$7),"x","")</f>
        <v/>
      </c>
      <c r="W1378" s="39" t="str">
        <f>IF(AND(B1378&gt;='IN-NX'!$P$3,B1378&lt;='IN-NX'!$Q$3,'IN-NX'!$D$7=D1378,OR(LEFT(L1378,2)="15",AND(LEFT(M1378,2)&lt;&gt;"15",LEFT(M1378,2)&lt;&gt;"33"))),"x","")</f>
        <v/>
      </c>
      <c r="X1378" s="39" t="str">
        <f>IF(AND(OR(LEFT(TH!L1378,2)="15",LEFT(TH!M1378,2)="15"),'152-CT'!$J$8=TH!F1378),"x","")</f>
        <v/>
      </c>
      <c r="Y1378" s="39" t="str">
        <f>IF(AND(OR(LEFT(TH!L1378,2)="15",LEFT(TH!M1378,2)="15"),TK!$E$7=TH!F1378),"x","")</f>
        <v/>
      </c>
      <c r="Z1378" s="39" t="str">
        <f>IF(AND(B1378&lt;=NKC!$N$8,B1378&gt;=NKC!$M$8),"x","")</f>
        <v/>
      </c>
      <c r="AA1378" s="883"/>
    </row>
    <row r="1379" spans="1:27" s="211" customFormat="1" ht="15.75" customHeight="1">
      <c r="A1379" s="204" t="str">
        <f>IF(B1379&lt;&gt;"",IF(AND(B1379&gt;=_TM1,B1379&lt;=_TM2,OR(TH!L1379="1111",TH!M1379="1111")),TH!D1379,""),"")</f>
        <v/>
      </c>
      <c r="B1379" s="36">
        <f t="shared" si="445"/>
        <v>11</v>
      </c>
      <c r="C1379" s="191">
        <f t="shared" si="446"/>
        <v>41580</v>
      </c>
      <c r="D1379" s="191" t="s">
        <v>1292</v>
      </c>
      <c r="E1379" s="37">
        <v>41580</v>
      </c>
      <c r="F1379" s="40" t="s">
        <v>1281</v>
      </c>
      <c r="G1379" s="40" t="s">
        <v>1002</v>
      </c>
      <c r="H1379" s="7" t="s">
        <v>1284</v>
      </c>
      <c r="I1379" s="256">
        <v>1000</v>
      </c>
      <c r="J1379" s="256">
        <v>4600</v>
      </c>
      <c r="K1379" s="602">
        <f t="shared" si="447"/>
        <v>4600000</v>
      </c>
      <c r="L1379" s="39" t="s">
        <v>165</v>
      </c>
      <c r="M1379" s="603" t="s">
        <v>159</v>
      </c>
      <c r="N1379" s="39" t="str">
        <f>IF(AND('331-CT'!$E$7=TH!H1379,OR(L1379="331",M1379="331")),"331",IF(AND(OR(L1379="131",M1379="131"),H1379='131-CT'!$E$7),"131",""))</f>
        <v/>
      </c>
      <c r="O1379" s="39" t="str">
        <f>IF(AND($B1379&gt;='111'!$N$11,$B1379&lt;='111'!$O$11,OR($L1379=$O$7,$M1379=$O$7)),"x","")</f>
        <v/>
      </c>
      <c r="P1379" s="39" t="str">
        <f>IF(AND($L1379=$O$7,$B1379&lt;'111'!$N$11),"x","")</f>
        <v/>
      </c>
      <c r="Q1379" s="39" t="str">
        <f>IF(AND($M1379=$O$7,$B1379&lt;'111'!$N$11),"x","")</f>
        <v/>
      </c>
      <c r="R1379" s="39" t="str">
        <f>IF(ISERROR(FIND('112'!$M$9,G1379,1)),"",IF((AND(FIND('112'!$M$9,G1379,1)&gt;=1,$B1379&gt;='112'!$N$8,$B1379&lt;='112'!$O$8,OR($L1379='112'!$I$6,$M1379='112'!$I$6))),"x",""))</f>
        <v/>
      </c>
      <c r="S1379" s="39" t="str">
        <f>IF(ISERROR(FIND('112'!$M$9,G1379,1)),"",IF((AND(LEFT(G1379,2)=LEFT('112'!$M$9,2),B1379&lt;'112'!$N$8,$L1379='112'!$I$6)),"x",""))</f>
        <v/>
      </c>
      <c r="T1379" s="39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39" t="str">
        <f>IF(OR(TH!L1379=TH!$V$7,M1379=TH!$V$7),"x","")</f>
        <v/>
      </c>
      <c r="W1379" s="39" t="str">
        <f>IF(AND(B1379&gt;='IN-NX'!$P$3,B1379&lt;='IN-NX'!$Q$3,'IN-NX'!$D$7=D1379,OR(LEFT(L1379,2)="15",AND(LEFT(M1379,2)&lt;&gt;"15",LEFT(M1379,2)&lt;&gt;"33"))),"x","")</f>
        <v/>
      </c>
      <c r="X1379" s="39" t="str">
        <f>IF(AND(OR(LEFT(TH!L1379,2)="15",LEFT(TH!M1379,2)="15"),'152-CT'!$J$8=TH!F1379),"x","")</f>
        <v/>
      </c>
      <c r="Y1379" s="39" t="str">
        <f>IF(AND(OR(LEFT(TH!L1379,2)="15",LEFT(TH!M1379,2)="15"),TK!$E$7=TH!F1379),"x","")</f>
        <v/>
      </c>
      <c r="Z1379" s="39" t="str">
        <f>IF(AND(B1379&lt;=NKC!$N$8,B1379&gt;=NKC!$M$8),"x","")</f>
        <v/>
      </c>
      <c r="AA1379" s="883"/>
    </row>
    <row r="1380" spans="1:27" s="211" customFormat="1" ht="15.75" customHeight="1">
      <c r="A1380" s="204" t="str">
        <f>IF(B1380&lt;&gt;"",IF(AND(B1380&gt;=_TM1,B1380&lt;=_TM2,OR(TH!L1380="1111",TH!M1380="1111")),TH!D1380,""),"")</f>
        <v/>
      </c>
      <c r="B1380" s="36">
        <f t="shared" si="445"/>
        <v>11</v>
      </c>
      <c r="C1380" s="191">
        <f t="shared" si="446"/>
        <v>41581</v>
      </c>
      <c r="D1380" s="191" t="s">
        <v>1292</v>
      </c>
      <c r="E1380" s="37">
        <v>41581</v>
      </c>
      <c r="F1380" s="40" t="s">
        <v>688</v>
      </c>
      <c r="G1380" s="40" t="s">
        <v>1003</v>
      </c>
      <c r="H1380" s="7" t="s">
        <v>1284</v>
      </c>
      <c r="I1380" s="256">
        <v>1100</v>
      </c>
      <c r="J1380" s="256">
        <v>16000</v>
      </c>
      <c r="K1380" s="602">
        <f t="shared" si="447"/>
        <v>17600000</v>
      </c>
      <c r="L1380" s="39" t="s">
        <v>165</v>
      </c>
      <c r="M1380" s="603" t="s">
        <v>159</v>
      </c>
      <c r="N1380" s="39" t="str">
        <f>IF(AND('331-CT'!$E$7=TH!H1380,OR(L1380="331",M1380="331")),"331",IF(AND(OR(L1380="131",M1380="131"),H1380='131-CT'!$E$7),"131",""))</f>
        <v/>
      </c>
      <c r="O1380" s="39" t="str">
        <f>IF(AND($B1380&gt;='111'!$N$11,$B1380&lt;='111'!$O$11,OR($L1380=$O$7,$M1380=$O$7)),"x","")</f>
        <v/>
      </c>
      <c r="P1380" s="39" t="str">
        <f>IF(AND($L1380=$O$7,$B1380&lt;'111'!$N$11),"x","")</f>
        <v/>
      </c>
      <c r="Q1380" s="39" t="str">
        <f>IF(AND($M1380=$O$7,$B1380&lt;'111'!$N$11),"x","")</f>
        <v/>
      </c>
      <c r="R1380" s="39" t="str">
        <f>IF(ISERROR(FIND('112'!$M$9,G1380,1)),"",IF((AND(FIND('112'!$M$9,G1380,1)&gt;=1,$B1380&gt;='112'!$N$8,$B1380&lt;='112'!$O$8,OR($L1380='112'!$I$6,$M1380='112'!$I$6))),"x",""))</f>
        <v/>
      </c>
      <c r="S1380" s="39" t="str">
        <f>IF(ISERROR(FIND('112'!$M$9,G1380,1)),"",IF((AND(LEFT(G1380,2)=LEFT('112'!$M$9,2),B1380&lt;'112'!$N$8,$L1380='112'!$I$6)),"x",""))</f>
        <v/>
      </c>
      <c r="T1380" s="39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39" t="str">
        <f>IF(OR(TH!L1380=TH!$V$7,M1380=TH!$V$7),"x","")</f>
        <v/>
      </c>
      <c r="W1380" s="39" t="str">
        <f>IF(AND(B1380&gt;='IN-NX'!$P$3,B1380&lt;='IN-NX'!$Q$3,'IN-NX'!$D$7=D1380,OR(LEFT(L1380,2)="15",AND(LEFT(M1380,2)&lt;&gt;"15",LEFT(M1380,2)&lt;&gt;"33"))),"x","")</f>
        <v/>
      </c>
      <c r="X1380" s="39" t="str">
        <f>IF(AND(OR(LEFT(TH!L1380,2)="15",LEFT(TH!M1380,2)="15"),'152-CT'!$J$8=TH!F1380),"x","")</f>
        <v/>
      </c>
      <c r="Y1380" s="39" t="str">
        <f>IF(AND(OR(LEFT(TH!L1380,2)="15",LEFT(TH!M1380,2)="15"),TK!$E$7=TH!F1380),"x","")</f>
        <v/>
      </c>
      <c r="Z1380" s="39" t="str">
        <f>IF(AND(B1380&lt;=NKC!$N$8,B1380&gt;=NKC!$M$8),"x","")</f>
        <v/>
      </c>
      <c r="AA1380" s="883"/>
    </row>
    <row r="1381" spans="1:27" s="211" customFormat="1" ht="15.75" customHeight="1">
      <c r="A1381" s="204" t="str">
        <f>IF(B1381&lt;&gt;"",IF(AND(B1381&gt;=_TM1,B1381&lt;=_TM2,OR(TH!L1381="1111",TH!M1381="1111")),TH!D1381,""),"")</f>
        <v/>
      </c>
      <c r="B1381" s="36">
        <f t="shared" si="445"/>
        <v>11</v>
      </c>
      <c r="C1381" s="191">
        <f t="shared" si="446"/>
        <v>41583</v>
      </c>
      <c r="D1381" s="191" t="s">
        <v>1292</v>
      </c>
      <c r="E1381" s="191">
        <v>41583</v>
      </c>
      <c r="F1381" s="192" t="s">
        <v>1230</v>
      </c>
      <c r="G1381" s="487" t="s">
        <v>647</v>
      </c>
      <c r="H1381" s="7" t="s">
        <v>1284</v>
      </c>
      <c r="I1381" s="256">
        <v>50</v>
      </c>
      <c r="J1381" s="256">
        <v>22301</v>
      </c>
      <c r="K1381" s="602">
        <f t="shared" si="447"/>
        <v>1115050</v>
      </c>
      <c r="L1381" s="39" t="s">
        <v>165</v>
      </c>
      <c r="M1381" s="603" t="s">
        <v>159</v>
      </c>
      <c r="N1381" s="39" t="str">
        <f>IF(AND('331-CT'!$E$7=TH!H1381,OR(L1381="331",M1381="331")),"331",IF(AND(OR(L1381="131",M1381="131"),H1381='131-CT'!$E$7),"131",""))</f>
        <v/>
      </c>
      <c r="O1381" s="39" t="str">
        <f>IF(AND($B1381&gt;='111'!$N$11,$B1381&lt;='111'!$O$11,OR($L1381=$O$7,$M1381=$O$7)),"x","")</f>
        <v/>
      </c>
      <c r="P1381" s="39" t="str">
        <f>IF(AND($L1381=$O$7,$B1381&lt;'111'!$N$11),"x","")</f>
        <v/>
      </c>
      <c r="Q1381" s="39" t="str">
        <f>IF(AND($M1381=$O$7,$B1381&lt;'111'!$N$11),"x","")</f>
        <v/>
      </c>
      <c r="R1381" s="39" t="str">
        <f>IF(ISERROR(FIND('112'!$M$9,G1381,1)),"",IF((AND(FIND('112'!$M$9,G1381,1)&gt;=1,$B1381&gt;='112'!$N$8,$B1381&lt;='112'!$O$8,OR($L1381='112'!$I$6,$M1381='112'!$I$6))),"x",""))</f>
        <v/>
      </c>
      <c r="S1381" s="39" t="str">
        <f>IF(ISERROR(FIND('112'!$M$9,G1381,1)),"",IF((AND(LEFT(G1381,2)=LEFT('112'!$M$9,2),B1381&lt;'112'!$N$8,$L1381='112'!$I$6)),"x",""))</f>
        <v/>
      </c>
      <c r="T1381" s="39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39" t="str">
        <f>IF(OR(TH!L1381=TH!$V$7,M1381=TH!$V$7),"x","")</f>
        <v/>
      </c>
      <c r="W1381" s="39" t="str">
        <f>IF(AND(B1381&gt;='IN-NX'!$P$3,B1381&lt;='IN-NX'!$Q$3,'IN-NX'!$D$7=D1381,OR(LEFT(L1381,2)="15",AND(LEFT(M1381,2)&lt;&gt;"15",LEFT(M1381,2)&lt;&gt;"33"))),"x","")</f>
        <v/>
      </c>
      <c r="X1381" s="39" t="str">
        <f>IF(AND(OR(LEFT(TH!L1381,2)="15",LEFT(TH!M1381,2)="15"),'152-CT'!$J$8=TH!F1381),"x","")</f>
        <v/>
      </c>
      <c r="Y1381" s="39" t="str">
        <f>IF(AND(OR(LEFT(TH!L1381,2)="15",LEFT(TH!M1381,2)="15"),TK!$E$7=TH!F1381),"x","")</f>
        <v/>
      </c>
      <c r="Z1381" s="39" t="str">
        <f>IF(AND(B1381&lt;=NKC!$N$8,B1381&gt;=NKC!$M$8),"x","")</f>
        <v/>
      </c>
      <c r="AA1381" s="883"/>
    </row>
    <row r="1382" spans="1:27" s="211" customFormat="1" ht="15.75" customHeight="1">
      <c r="A1382" s="204" t="str">
        <f>IF(B1382&lt;&gt;"",IF(AND(B1382&gt;=_TM1,B1382&lt;=_TM2,OR(TH!L1382="1111",TH!M1382="1111")),TH!D1382,""),"")</f>
        <v/>
      </c>
      <c r="B1382" s="36">
        <f t="shared" si="445"/>
        <v>11</v>
      </c>
      <c r="C1382" s="191">
        <f t="shared" si="446"/>
        <v>41583</v>
      </c>
      <c r="D1382" s="191" t="s">
        <v>1292</v>
      </c>
      <c r="E1382" s="191">
        <v>41583</v>
      </c>
      <c r="F1382" s="192" t="s">
        <v>679</v>
      </c>
      <c r="G1382" s="487" t="s">
        <v>647</v>
      </c>
      <c r="H1382" s="7" t="s">
        <v>1284</v>
      </c>
      <c r="I1382" s="256">
        <v>160</v>
      </c>
      <c r="J1382" s="256">
        <v>18709</v>
      </c>
      <c r="K1382" s="602">
        <f t="shared" si="447"/>
        <v>2993440</v>
      </c>
      <c r="L1382" s="39" t="s">
        <v>165</v>
      </c>
      <c r="M1382" s="603" t="s">
        <v>159</v>
      </c>
      <c r="N1382" s="39" t="str">
        <f>IF(AND('331-CT'!$E$7=TH!H1382,OR(L1382="331",M1382="331")),"331",IF(AND(OR(L1382="131",M1382="131"),H1382='131-CT'!$E$7),"131",""))</f>
        <v/>
      </c>
      <c r="O1382" s="39" t="str">
        <f>IF(AND($B1382&gt;='111'!$N$11,$B1382&lt;='111'!$O$11,OR($L1382=$O$7,$M1382=$O$7)),"x","")</f>
        <v/>
      </c>
      <c r="P1382" s="39" t="str">
        <f>IF(AND($L1382=$O$7,$B1382&lt;'111'!$N$11),"x","")</f>
        <v/>
      </c>
      <c r="Q1382" s="39" t="str">
        <f>IF(AND($M1382=$O$7,$B1382&lt;'111'!$N$11),"x","")</f>
        <v/>
      </c>
      <c r="R1382" s="39" t="str">
        <f>IF(ISERROR(FIND('112'!$M$9,G1382,1)),"",IF((AND(FIND('112'!$M$9,G1382,1)&gt;=1,$B1382&gt;='112'!$N$8,$B1382&lt;='112'!$O$8,OR($L1382='112'!$I$6,$M1382='112'!$I$6))),"x",""))</f>
        <v/>
      </c>
      <c r="S1382" s="39" t="str">
        <f>IF(ISERROR(FIND('112'!$M$9,G1382,1)),"",IF((AND(LEFT(G1382,2)=LEFT('112'!$M$9,2),B1382&lt;'112'!$N$8,$L1382='112'!$I$6)),"x",""))</f>
        <v/>
      </c>
      <c r="T1382" s="39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39" t="str">
        <f>IF(OR(TH!L1382=TH!$V$7,M1382=TH!$V$7),"x","")</f>
        <v/>
      </c>
      <c r="W1382" s="39" t="str">
        <f>IF(AND(B1382&gt;='IN-NX'!$P$3,B1382&lt;='IN-NX'!$Q$3,'IN-NX'!$D$7=D1382,OR(LEFT(L1382,2)="15",AND(LEFT(M1382,2)&lt;&gt;"15",LEFT(M1382,2)&lt;&gt;"33"))),"x","")</f>
        <v/>
      </c>
      <c r="X1382" s="39" t="str">
        <f>IF(AND(OR(LEFT(TH!L1382,2)="15",LEFT(TH!M1382,2)="15"),'152-CT'!$J$8=TH!F1382),"x","")</f>
        <v/>
      </c>
      <c r="Y1382" s="39" t="str">
        <f>IF(AND(OR(LEFT(TH!L1382,2)="15",LEFT(TH!M1382,2)="15"),TK!$E$7=TH!F1382),"x","")</f>
        <v/>
      </c>
      <c r="Z1382" s="39" t="str">
        <f>IF(AND(B1382&lt;=NKC!$N$8,B1382&gt;=NKC!$M$8),"x","")</f>
        <v/>
      </c>
      <c r="AA1382" s="883"/>
    </row>
    <row r="1383" spans="1:27" s="211" customFormat="1" ht="15.75" customHeight="1">
      <c r="A1383" s="204" t="str">
        <f>IF(B1383&lt;&gt;"",IF(AND(B1383&gt;=_TM1,B1383&lt;=_TM2,OR(TH!L1383="1111",TH!M1383="1111")),TH!D1383,""),"")</f>
        <v/>
      </c>
      <c r="B1383" s="36">
        <f t="shared" si="445"/>
        <v>11</v>
      </c>
      <c r="C1383" s="191">
        <f t="shared" si="446"/>
        <v>41583</v>
      </c>
      <c r="D1383" s="191" t="s">
        <v>1292</v>
      </c>
      <c r="E1383" s="191">
        <v>41583</v>
      </c>
      <c r="F1383" s="192" t="s">
        <v>651</v>
      </c>
      <c r="G1383" s="487" t="s">
        <v>1005</v>
      </c>
      <c r="H1383" s="7" t="s">
        <v>1284</v>
      </c>
      <c r="I1383" s="256">
        <v>50</v>
      </c>
      <c r="J1383" s="256">
        <v>24098</v>
      </c>
      <c r="K1383" s="602">
        <f t="shared" si="447"/>
        <v>1204900</v>
      </c>
      <c r="L1383" s="39" t="s">
        <v>165</v>
      </c>
      <c r="M1383" s="603" t="s">
        <v>159</v>
      </c>
      <c r="N1383" s="39" t="str">
        <f>IF(AND('331-CT'!$E$7=TH!H1383,OR(L1383="331",M1383="331")),"331",IF(AND(OR(L1383="131",M1383="131"),H1383='131-CT'!$E$7),"131",""))</f>
        <v/>
      </c>
      <c r="O1383" s="39" t="str">
        <f>IF(AND($B1383&gt;='111'!$N$11,$B1383&lt;='111'!$O$11,OR($L1383=$O$7,$M1383=$O$7)),"x","")</f>
        <v/>
      </c>
      <c r="P1383" s="39" t="str">
        <f>IF(AND($L1383=$O$7,$B1383&lt;'111'!$N$11),"x","")</f>
        <v/>
      </c>
      <c r="Q1383" s="39" t="str">
        <f>IF(AND($M1383=$O$7,$B1383&lt;'111'!$N$11),"x","")</f>
        <v/>
      </c>
      <c r="R1383" s="39" t="str">
        <f>IF(ISERROR(FIND('112'!$M$9,G1383,1)),"",IF((AND(FIND('112'!$M$9,G1383,1)&gt;=1,$B1383&gt;='112'!$N$8,$B1383&lt;='112'!$O$8,OR($L1383='112'!$I$6,$M1383='112'!$I$6))),"x",""))</f>
        <v/>
      </c>
      <c r="S1383" s="39" t="str">
        <f>IF(ISERROR(FIND('112'!$M$9,G1383,1)),"",IF((AND(LEFT(G1383,2)=LEFT('112'!$M$9,2),B1383&lt;'112'!$N$8,$L1383='112'!$I$6)),"x",""))</f>
        <v/>
      </c>
      <c r="T1383" s="39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39" t="str">
        <f>IF(OR(TH!L1383=TH!$V$7,M1383=TH!$V$7),"x","")</f>
        <v/>
      </c>
      <c r="W1383" s="39" t="str">
        <f>IF(AND(B1383&gt;='IN-NX'!$P$3,B1383&lt;='IN-NX'!$Q$3,'IN-NX'!$D$7=D1383,OR(LEFT(L1383,2)="15",AND(LEFT(M1383,2)&lt;&gt;"15",LEFT(M1383,2)&lt;&gt;"33"))),"x","")</f>
        <v/>
      </c>
      <c r="X1383" s="39" t="str">
        <f>IF(AND(OR(LEFT(TH!L1383,2)="15",LEFT(TH!M1383,2)="15"),'152-CT'!$J$8=TH!F1383),"x","")</f>
        <v/>
      </c>
      <c r="Y1383" s="39" t="str">
        <f>IF(AND(OR(LEFT(TH!L1383,2)="15",LEFT(TH!M1383,2)="15"),TK!$E$7=TH!F1383),"x","")</f>
        <v/>
      </c>
      <c r="Z1383" s="39" t="str">
        <f>IF(AND(B1383&lt;=NKC!$N$8,B1383&gt;=NKC!$M$8),"x","")</f>
        <v/>
      </c>
      <c r="AA1383" s="883"/>
    </row>
    <row r="1384" spans="1:27" s="211" customFormat="1" ht="15.75" customHeight="1">
      <c r="A1384" s="204" t="str">
        <f>IF(B1384&lt;&gt;"",IF(AND(B1384&gt;=_TM1,B1384&lt;=_TM2,OR(TH!L1384="1111",TH!M1384="1111")),TH!D1384,""),"")</f>
        <v/>
      </c>
      <c r="B1384" s="36">
        <f t="shared" ref="B1384:B1447" si="448">IF(C1384&lt;&gt;"",MONTH(C1384),"")</f>
        <v>11</v>
      </c>
      <c r="C1384" s="191">
        <f t="shared" si="446"/>
        <v>41583</v>
      </c>
      <c r="D1384" s="191" t="s">
        <v>1292</v>
      </c>
      <c r="E1384" s="191">
        <v>41583</v>
      </c>
      <c r="F1384" s="192" t="s">
        <v>664</v>
      </c>
      <c r="G1384" s="487" t="s">
        <v>1005</v>
      </c>
      <c r="H1384" s="7" t="s">
        <v>1284</v>
      </c>
      <c r="I1384" s="256">
        <v>100</v>
      </c>
      <c r="J1384" s="256">
        <v>12629</v>
      </c>
      <c r="K1384" s="602">
        <f t="shared" si="447"/>
        <v>1262900</v>
      </c>
      <c r="L1384" s="39" t="s">
        <v>165</v>
      </c>
      <c r="M1384" s="603" t="s">
        <v>159</v>
      </c>
      <c r="N1384" s="39" t="str">
        <f>IF(AND('331-CT'!$E$7=TH!H1384,OR(L1384="331",M1384="331")),"331",IF(AND(OR(L1384="131",M1384="131"),H1384='131-CT'!$E$7),"131",""))</f>
        <v/>
      </c>
      <c r="O1384" s="39" t="str">
        <f>IF(AND($B1384&gt;='111'!$N$11,$B1384&lt;='111'!$O$11,OR($L1384=$O$7,$M1384=$O$7)),"x","")</f>
        <v/>
      </c>
      <c r="P1384" s="39" t="str">
        <f>IF(AND($L1384=$O$7,$B1384&lt;'111'!$N$11),"x","")</f>
        <v/>
      </c>
      <c r="Q1384" s="39" t="str">
        <f>IF(AND($M1384=$O$7,$B1384&lt;'111'!$N$11),"x","")</f>
        <v/>
      </c>
      <c r="R1384" s="39" t="str">
        <f>IF(ISERROR(FIND('112'!$M$9,G1384,1)),"",IF((AND(FIND('112'!$M$9,G1384,1)&gt;=1,$B1384&gt;='112'!$N$8,$B1384&lt;='112'!$O$8,OR($L1384='112'!$I$6,$M1384='112'!$I$6))),"x",""))</f>
        <v/>
      </c>
      <c r="S1384" s="39" t="str">
        <f>IF(ISERROR(FIND('112'!$M$9,G1384,1)),"",IF((AND(LEFT(G1384,2)=LEFT('112'!$M$9,2),B1384&lt;'112'!$N$8,$L1384='112'!$I$6)),"x",""))</f>
        <v/>
      </c>
      <c r="T1384" s="39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39" t="str">
        <f>IF(OR(TH!L1384=TH!$V$7,M1384=TH!$V$7),"x","")</f>
        <v/>
      </c>
      <c r="W1384" s="39" t="str">
        <f>IF(AND(B1384&gt;='IN-NX'!$P$3,B1384&lt;='IN-NX'!$Q$3,'IN-NX'!$D$7=D1384,OR(LEFT(L1384,2)="15",AND(LEFT(M1384,2)&lt;&gt;"15",LEFT(M1384,2)&lt;&gt;"33"))),"x","")</f>
        <v/>
      </c>
      <c r="X1384" s="39" t="str">
        <f>IF(AND(OR(LEFT(TH!L1384,2)="15",LEFT(TH!M1384,2)="15"),'152-CT'!$J$8=TH!F1384),"x","")</f>
        <v/>
      </c>
      <c r="Y1384" s="39" t="str">
        <f>IF(AND(OR(LEFT(TH!L1384,2)="15",LEFT(TH!M1384,2)="15"),TK!$E$7=TH!F1384),"x","")</f>
        <v/>
      </c>
      <c r="Z1384" s="39" t="str">
        <f>IF(AND(B1384&lt;=NKC!$N$8,B1384&gt;=NKC!$M$8),"x","")</f>
        <v/>
      </c>
      <c r="AA1384" s="883"/>
    </row>
    <row r="1385" spans="1:27" s="211" customFormat="1" ht="15.75" customHeight="1">
      <c r="A1385" s="204" t="str">
        <f>IF(B1385&lt;&gt;"",IF(AND(B1385&gt;=_TM1,B1385&lt;=_TM2,OR(TH!L1385="1111",TH!M1385="1111")),TH!D1385,""),"")</f>
        <v/>
      </c>
      <c r="B1385" s="36">
        <f t="shared" si="448"/>
        <v>11</v>
      </c>
      <c r="C1385" s="191">
        <f t="shared" si="446"/>
        <v>41583</v>
      </c>
      <c r="D1385" s="191" t="s">
        <v>1292</v>
      </c>
      <c r="E1385" s="191">
        <v>41583</v>
      </c>
      <c r="F1385" s="192" t="s">
        <v>617</v>
      </c>
      <c r="G1385" s="487" t="s">
        <v>1005</v>
      </c>
      <c r="H1385" s="7" t="s">
        <v>1284</v>
      </c>
      <c r="I1385" s="256">
        <v>149</v>
      </c>
      <c r="J1385" s="256">
        <v>12010</v>
      </c>
      <c r="K1385" s="602">
        <f t="shared" si="447"/>
        <v>1789490</v>
      </c>
      <c r="L1385" s="39" t="s">
        <v>165</v>
      </c>
      <c r="M1385" s="603" t="s">
        <v>159</v>
      </c>
      <c r="N1385" s="39" t="str">
        <f>IF(AND('331-CT'!$E$7=TH!H1385,OR(L1385="331",M1385="331")),"331",IF(AND(OR(L1385="131",M1385="131"),H1385='131-CT'!$E$7),"131",""))</f>
        <v/>
      </c>
      <c r="O1385" s="39" t="str">
        <f>IF(AND($B1385&gt;='111'!$N$11,$B1385&lt;='111'!$O$11,OR($L1385=$O$7,$M1385=$O$7)),"x","")</f>
        <v/>
      </c>
      <c r="P1385" s="39" t="str">
        <f>IF(AND($L1385=$O$7,$B1385&lt;'111'!$N$11),"x","")</f>
        <v/>
      </c>
      <c r="Q1385" s="39" t="str">
        <f>IF(AND($M1385=$O$7,$B1385&lt;'111'!$N$11),"x","")</f>
        <v/>
      </c>
      <c r="R1385" s="39" t="str">
        <f>IF(ISERROR(FIND('112'!$M$9,G1385,1)),"",IF((AND(FIND('112'!$M$9,G1385,1)&gt;=1,$B1385&gt;='112'!$N$8,$B1385&lt;='112'!$O$8,OR($L1385='112'!$I$6,$M1385='112'!$I$6))),"x",""))</f>
        <v/>
      </c>
      <c r="S1385" s="39" t="str">
        <f>IF(ISERROR(FIND('112'!$M$9,G1385,1)),"",IF((AND(LEFT(G1385,2)=LEFT('112'!$M$9,2),B1385&lt;'112'!$N$8,$L1385='112'!$I$6)),"x",""))</f>
        <v/>
      </c>
      <c r="T1385" s="39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39" t="str">
        <f>IF(OR(TH!L1385=TH!$V$7,M1385=TH!$V$7),"x","")</f>
        <v/>
      </c>
      <c r="W1385" s="39" t="str">
        <f>IF(AND(B1385&gt;='IN-NX'!$P$3,B1385&lt;='IN-NX'!$Q$3,'IN-NX'!$D$7=D1385,OR(LEFT(L1385,2)="15",AND(LEFT(M1385,2)&lt;&gt;"15",LEFT(M1385,2)&lt;&gt;"33"))),"x","")</f>
        <v/>
      </c>
      <c r="X1385" s="39" t="str">
        <f>IF(AND(OR(LEFT(TH!L1385,2)="15",LEFT(TH!M1385,2)="15"),'152-CT'!$J$8=TH!F1385),"x","")</f>
        <v/>
      </c>
      <c r="Y1385" s="39" t="str">
        <f>IF(AND(OR(LEFT(TH!L1385,2)="15",LEFT(TH!M1385,2)="15"),TK!$E$7=TH!F1385),"x","")</f>
        <v/>
      </c>
      <c r="Z1385" s="39" t="str">
        <f>IF(AND(B1385&lt;=NKC!$N$8,B1385&gt;=NKC!$M$8),"x","")</f>
        <v/>
      </c>
      <c r="AA1385" s="883"/>
    </row>
    <row r="1386" spans="1:27" s="211" customFormat="1" ht="15.75" customHeight="1">
      <c r="A1386" s="204" t="str">
        <f>IF(B1386&lt;&gt;"",IF(AND(B1386&gt;=_TM1,B1386&lt;=_TM2,OR(TH!L1386="1111",TH!M1386="1111")),TH!D1386,""),"")</f>
        <v/>
      </c>
      <c r="B1386" s="36">
        <f t="shared" si="448"/>
        <v>11</v>
      </c>
      <c r="C1386" s="191">
        <f t="shared" si="446"/>
        <v>41588</v>
      </c>
      <c r="D1386" s="191" t="s">
        <v>1292</v>
      </c>
      <c r="E1386" s="191">
        <v>41588</v>
      </c>
      <c r="F1386" s="189" t="s">
        <v>685</v>
      </c>
      <c r="G1386" s="487" t="s">
        <v>1009</v>
      </c>
      <c r="H1386" s="7" t="s">
        <v>1284</v>
      </c>
      <c r="I1386" s="256">
        <v>400</v>
      </c>
      <c r="J1386" s="256">
        <v>8500</v>
      </c>
      <c r="K1386" s="602">
        <f t="shared" si="447"/>
        <v>3400000</v>
      </c>
      <c r="L1386" s="39" t="s">
        <v>165</v>
      </c>
      <c r="M1386" s="603" t="s">
        <v>159</v>
      </c>
      <c r="N1386" s="39" t="str">
        <f>IF(AND('331-CT'!$E$7=TH!H1386,OR(L1386="331",M1386="331")),"331",IF(AND(OR(L1386="131",M1386="131"),H1386='131-CT'!$E$7),"131",""))</f>
        <v/>
      </c>
      <c r="O1386" s="39" t="str">
        <f>IF(AND($B1386&gt;='111'!$N$11,$B1386&lt;='111'!$O$11,OR($L1386=$O$7,$M1386=$O$7)),"x","")</f>
        <v/>
      </c>
      <c r="P1386" s="39" t="str">
        <f>IF(AND($L1386=$O$7,$B1386&lt;'111'!$N$11),"x","")</f>
        <v/>
      </c>
      <c r="Q1386" s="39" t="str">
        <f>IF(AND($M1386=$O$7,$B1386&lt;'111'!$N$11),"x","")</f>
        <v/>
      </c>
      <c r="R1386" s="39" t="str">
        <f>IF(ISERROR(FIND('112'!$M$9,G1386,1)),"",IF((AND(FIND('112'!$M$9,G1386,1)&gt;=1,$B1386&gt;='112'!$N$8,$B1386&lt;='112'!$O$8,OR($L1386='112'!$I$6,$M1386='112'!$I$6))),"x",""))</f>
        <v/>
      </c>
      <c r="S1386" s="39" t="str">
        <f>IF(ISERROR(FIND('112'!$M$9,G1386,1)),"",IF((AND(LEFT(G1386,2)=LEFT('112'!$M$9,2),B1386&lt;'112'!$N$8,$L1386='112'!$I$6)),"x",""))</f>
        <v/>
      </c>
      <c r="T1386" s="39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39" t="str">
        <f>IF(OR(TH!L1386=TH!$V$7,M1386=TH!$V$7),"x","")</f>
        <v/>
      </c>
      <c r="W1386" s="39" t="str">
        <f>IF(AND(B1386&gt;='IN-NX'!$P$3,B1386&lt;='IN-NX'!$Q$3,'IN-NX'!$D$7=D1386,OR(LEFT(L1386,2)="15",AND(LEFT(M1386,2)&lt;&gt;"15",LEFT(M1386,2)&lt;&gt;"33"))),"x","")</f>
        <v/>
      </c>
      <c r="X1386" s="39" t="str">
        <f>IF(AND(OR(LEFT(TH!L1386,2)="15",LEFT(TH!M1386,2)="15"),'152-CT'!$J$8=TH!F1386),"x","")</f>
        <v>x</v>
      </c>
      <c r="Y1386" s="39" t="str">
        <f>IF(AND(OR(LEFT(TH!L1386,2)="15",LEFT(TH!M1386,2)="15"),TK!$E$7=TH!F1386),"x","")</f>
        <v/>
      </c>
      <c r="Z1386" s="39" t="str">
        <f>IF(AND(B1386&lt;=NKC!$N$8,B1386&gt;=NKC!$M$8),"x","")</f>
        <v/>
      </c>
      <c r="AA1386" s="883"/>
    </row>
    <row r="1387" spans="1:27" s="211" customFormat="1" ht="15.75" customHeight="1">
      <c r="A1387" s="204" t="str">
        <f>IF(B1387&lt;&gt;"",IF(AND(B1387&gt;=_TM1,B1387&lt;=_TM2,OR(TH!L1387="1111",TH!M1387="1111")),TH!D1387,""),"")</f>
        <v/>
      </c>
      <c r="B1387" s="36">
        <f t="shared" si="448"/>
        <v>11</v>
      </c>
      <c r="C1387" s="191">
        <f t="shared" si="446"/>
        <v>41589</v>
      </c>
      <c r="D1387" s="191" t="s">
        <v>1292</v>
      </c>
      <c r="E1387" s="191">
        <v>41589</v>
      </c>
      <c r="F1387" s="192" t="s">
        <v>709</v>
      </c>
      <c r="G1387" s="487" t="s">
        <v>1010</v>
      </c>
      <c r="H1387" s="7" t="s">
        <v>1284</v>
      </c>
      <c r="I1387" s="256">
        <v>500</v>
      </c>
      <c r="J1387" s="256">
        <v>15000</v>
      </c>
      <c r="K1387" s="602">
        <f t="shared" si="447"/>
        <v>7500000</v>
      </c>
      <c r="L1387" s="39" t="s">
        <v>165</v>
      </c>
      <c r="M1387" s="603" t="s">
        <v>159</v>
      </c>
      <c r="N1387" s="39" t="str">
        <f>IF(AND('331-CT'!$E$7=TH!H1387,OR(L1387="331",M1387="331")),"331",IF(AND(OR(L1387="131",M1387="131"),H1387='131-CT'!$E$7),"131",""))</f>
        <v/>
      </c>
      <c r="O1387" s="39" t="str">
        <f>IF(AND($B1387&gt;='111'!$N$11,$B1387&lt;='111'!$O$11,OR($L1387=$O$7,$M1387=$O$7)),"x","")</f>
        <v/>
      </c>
      <c r="P1387" s="39" t="str">
        <f>IF(AND($L1387=$O$7,$B1387&lt;'111'!$N$11),"x","")</f>
        <v/>
      </c>
      <c r="Q1387" s="39" t="str">
        <f>IF(AND($M1387=$O$7,$B1387&lt;'111'!$N$11),"x","")</f>
        <v/>
      </c>
      <c r="R1387" s="39" t="str">
        <f>IF(ISERROR(FIND('112'!$M$9,G1387,1)),"",IF((AND(FIND('112'!$M$9,G1387,1)&gt;=1,$B1387&gt;='112'!$N$8,$B1387&lt;='112'!$O$8,OR($L1387='112'!$I$6,$M1387='112'!$I$6))),"x",""))</f>
        <v/>
      </c>
      <c r="S1387" s="39" t="str">
        <f>IF(ISERROR(FIND('112'!$M$9,G1387,1)),"",IF((AND(LEFT(G1387,2)=LEFT('112'!$M$9,2),B1387&lt;'112'!$N$8,$L1387='112'!$I$6)),"x",""))</f>
        <v/>
      </c>
      <c r="T1387" s="39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39" t="str">
        <f>IF(OR(TH!L1387=TH!$V$7,M1387=TH!$V$7),"x","")</f>
        <v/>
      </c>
      <c r="W1387" s="39" t="str">
        <f>IF(AND(B1387&gt;='IN-NX'!$P$3,B1387&lt;='IN-NX'!$Q$3,'IN-NX'!$D$7=D1387,OR(LEFT(L1387,2)="15",AND(LEFT(M1387,2)&lt;&gt;"15",LEFT(M1387,2)&lt;&gt;"33"))),"x","")</f>
        <v/>
      </c>
      <c r="X1387" s="39" t="str">
        <f>IF(AND(OR(LEFT(TH!L1387,2)="15",LEFT(TH!M1387,2)="15"),'152-CT'!$J$8=TH!F1387),"x","")</f>
        <v/>
      </c>
      <c r="Y1387" s="39" t="str">
        <f>IF(AND(OR(LEFT(TH!L1387,2)="15",LEFT(TH!M1387,2)="15"),TK!$E$7=TH!F1387),"x","")</f>
        <v/>
      </c>
      <c r="Z1387" s="39" t="str">
        <f>IF(AND(B1387&lt;=NKC!$N$8,B1387&gt;=NKC!$M$8),"x","")</f>
        <v/>
      </c>
      <c r="AA1387" s="883"/>
    </row>
    <row r="1388" spans="1:27" s="211" customFormat="1" ht="15.75" customHeight="1">
      <c r="A1388" s="204" t="str">
        <f>IF(B1388&lt;&gt;"",IF(AND(B1388&gt;=_TM1,B1388&lt;=_TM2,OR(TH!L1388="1111",TH!M1388="1111")),TH!D1388,""),"")</f>
        <v/>
      </c>
      <c r="B1388" s="36">
        <f t="shared" si="448"/>
        <v>11</v>
      </c>
      <c r="C1388" s="191">
        <f t="shared" si="446"/>
        <v>41589</v>
      </c>
      <c r="D1388" s="191" t="s">
        <v>1292</v>
      </c>
      <c r="E1388" s="191">
        <v>41589</v>
      </c>
      <c r="F1388" s="192" t="s">
        <v>685</v>
      </c>
      <c r="G1388" s="487" t="s">
        <v>1011</v>
      </c>
      <c r="H1388" s="7" t="s">
        <v>1284</v>
      </c>
      <c r="I1388" s="256">
        <v>500</v>
      </c>
      <c r="J1388" s="256">
        <v>8500</v>
      </c>
      <c r="K1388" s="602">
        <f t="shared" si="447"/>
        <v>4250000</v>
      </c>
      <c r="L1388" s="39" t="s">
        <v>165</v>
      </c>
      <c r="M1388" s="603" t="s">
        <v>159</v>
      </c>
      <c r="N1388" s="39" t="str">
        <f>IF(AND('331-CT'!$E$7=TH!H1388,OR(L1388="331",M1388="331")),"331",IF(AND(OR(L1388="131",M1388="131"),H1388='131-CT'!$E$7),"131",""))</f>
        <v/>
      </c>
      <c r="O1388" s="39" t="str">
        <f>IF(AND($B1388&gt;='111'!$N$11,$B1388&lt;='111'!$O$11,OR($L1388=$O$7,$M1388=$O$7)),"x","")</f>
        <v/>
      </c>
      <c r="P1388" s="39" t="str">
        <f>IF(AND($L1388=$O$7,$B1388&lt;'111'!$N$11),"x","")</f>
        <v/>
      </c>
      <c r="Q1388" s="39" t="str">
        <f>IF(AND($M1388=$O$7,$B1388&lt;'111'!$N$11),"x","")</f>
        <v/>
      </c>
      <c r="R1388" s="39" t="str">
        <f>IF(ISERROR(FIND('112'!$M$9,G1388,1)),"",IF((AND(FIND('112'!$M$9,G1388,1)&gt;=1,$B1388&gt;='112'!$N$8,$B1388&lt;='112'!$O$8,OR($L1388='112'!$I$6,$M1388='112'!$I$6))),"x",""))</f>
        <v/>
      </c>
      <c r="S1388" s="39" t="str">
        <f>IF(ISERROR(FIND('112'!$M$9,G1388,1)),"",IF((AND(LEFT(G1388,2)=LEFT('112'!$M$9,2),B1388&lt;'112'!$N$8,$L1388='112'!$I$6)),"x",""))</f>
        <v/>
      </c>
      <c r="T1388" s="39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39" t="str">
        <f>IF(OR(TH!L1388=TH!$V$7,M1388=TH!$V$7),"x","")</f>
        <v/>
      </c>
      <c r="W1388" s="39" t="str">
        <f>IF(AND(B1388&gt;='IN-NX'!$P$3,B1388&lt;='IN-NX'!$Q$3,'IN-NX'!$D$7=D1388,OR(LEFT(L1388,2)="15",AND(LEFT(M1388,2)&lt;&gt;"15",LEFT(M1388,2)&lt;&gt;"33"))),"x","")</f>
        <v/>
      </c>
      <c r="X1388" s="39" t="str">
        <f>IF(AND(OR(LEFT(TH!L1388,2)="15",LEFT(TH!M1388,2)="15"),'152-CT'!$J$8=TH!F1388),"x","")</f>
        <v>x</v>
      </c>
      <c r="Y1388" s="39" t="str">
        <f>IF(AND(OR(LEFT(TH!L1388,2)="15",LEFT(TH!M1388,2)="15"),TK!$E$7=TH!F1388),"x","")</f>
        <v/>
      </c>
      <c r="Z1388" s="39" t="str">
        <f>IF(AND(B1388&lt;=NKC!$N$8,B1388&gt;=NKC!$M$8),"x","")</f>
        <v/>
      </c>
      <c r="AA1388" s="883"/>
    </row>
    <row r="1389" spans="1:27" s="211" customFormat="1" ht="15.75" customHeight="1">
      <c r="A1389" s="204" t="str">
        <f>IF(B1389&lt;&gt;"",IF(AND(B1389&gt;=_TM1,B1389&lt;=_TM2,OR(TH!L1389="1111",TH!M1389="1111")),TH!D1389,""),"")</f>
        <v/>
      </c>
      <c r="B1389" s="36">
        <f t="shared" si="448"/>
        <v>11</v>
      </c>
      <c r="C1389" s="191">
        <f t="shared" si="446"/>
        <v>41589</v>
      </c>
      <c r="D1389" s="191" t="s">
        <v>1292</v>
      </c>
      <c r="E1389" s="191">
        <v>41589</v>
      </c>
      <c r="F1389" s="192" t="s">
        <v>716</v>
      </c>
      <c r="G1389" s="487" t="s">
        <v>1012</v>
      </c>
      <c r="H1389" s="7" t="s">
        <v>1284</v>
      </c>
      <c r="I1389" s="256">
        <v>390</v>
      </c>
      <c r="J1389" s="256">
        <v>21907.443037974685</v>
      </c>
      <c r="K1389" s="602">
        <f t="shared" si="447"/>
        <v>8543903</v>
      </c>
      <c r="L1389" s="39" t="s">
        <v>165</v>
      </c>
      <c r="M1389" s="603" t="s">
        <v>159</v>
      </c>
      <c r="N1389" s="39" t="str">
        <f>IF(AND('331-CT'!$E$7=TH!H1389,OR(L1389="331",M1389="331")),"331",IF(AND(OR(L1389="131",M1389="131"),H1389='131-CT'!$E$7),"131",""))</f>
        <v/>
      </c>
      <c r="O1389" s="39" t="str">
        <f>IF(AND($B1389&gt;='111'!$N$11,$B1389&lt;='111'!$O$11,OR($L1389=$O$7,$M1389=$O$7)),"x","")</f>
        <v/>
      </c>
      <c r="P1389" s="39" t="str">
        <f>IF(AND($L1389=$O$7,$B1389&lt;'111'!$N$11),"x","")</f>
        <v/>
      </c>
      <c r="Q1389" s="39" t="str">
        <f>IF(AND($M1389=$O$7,$B1389&lt;'111'!$N$11),"x","")</f>
        <v/>
      </c>
      <c r="R1389" s="39" t="str">
        <f>IF(ISERROR(FIND('112'!$M$9,G1389,1)),"",IF((AND(FIND('112'!$M$9,G1389,1)&gt;=1,$B1389&gt;='112'!$N$8,$B1389&lt;='112'!$O$8,OR($L1389='112'!$I$6,$M1389='112'!$I$6))),"x",""))</f>
        <v/>
      </c>
      <c r="S1389" s="39" t="str">
        <f>IF(ISERROR(FIND('112'!$M$9,G1389,1)),"",IF((AND(LEFT(G1389,2)=LEFT('112'!$M$9,2),B1389&lt;'112'!$N$8,$L1389='112'!$I$6)),"x",""))</f>
        <v/>
      </c>
      <c r="T1389" s="39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39" t="str">
        <f>IF(OR(TH!L1389=TH!$V$7,M1389=TH!$V$7),"x","")</f>
        <v/>
      </c>
      <c r="W1389" s="39" t="str">
        <f>IF(AND(B1389&gt;='IN-NX'!$P$3,B1389&lt;='IN-NX'!$Q$3,'IN-NX'!$D$7=D1389,OR(LEFT(L1389,2)="15",AND(LEFT(M1389,2)&lt;&gt;"15",LEFT(M1389,2)&lt;&gt;"33"))),"x","")</f>
        <v/>
      </c>
      <c r="X1389" s="39" t="str">
        <f>IF(AND(OR(LEFT(TH!L1389,2)="15",LEFT(TH!M1389,2)="15"),'152-CT'!$J$8=TH!F1389),"x","")</f>
        <v/>
      </c>
      <c r="Y1389" s="39" t="str">
        <f>IF(AND(OR(LEFT(TH!L1389,2)="15",LEFT(TH!M1389,2)="15"),TK!$E$7=TH!F1389),"x","")</f>
        <v/>
      </c>
      <c r="Z1389" s="39" t="str">
        <f>IF(AND(B1389&lt;=NKC!$N$8,B1389&gt;=NKC!$M$8),"x","")</f>
        <v/>
      </c>
      <c r="AA1389" s="883"/>
    </row>
    <row r="1390" spans="1:27" s="211" customFormat="1" ht="15.75" customHeight="1">
      <c r="A1390" s="204" t="str">
        <f>IF(B1390&lt;&gt;"",IF(AND(B1390&gt;=_TM1,B1390&lt;=_TM2,OR(TH!L1390="1111",TH!M1390="1111")),TH!D1390,""),"")</f>
        <v/>
      </c>
      <c r="B1390" s="36">
        <f t="shared" si="448"/>
        <v>11</v>
      </c>
      <c r="C1390" s="191">
        <f t="shared" si="446"/>
        <v>41590</v>
      </c>
      <c r="D1390" s="191" t="s">
        <v>1292</v>
      </c>
      <c r="E1390" s="773">
        <v>41590</v>
      </c>
      <c r="F1390" s="40" t="s">
        <v>639</v>
      </c>
      <c r="G1390" s="40" t="s">
        <v>1013</v>
      </c>
      <c r="H1390" s="7" t="s">
        <v>1284</v>
      </c>
      <c r="I1390" s="256">
        <v>566</v>
      </c>
      <c r="J1390" s="256">
        <v>20420</v>
      </c>
      <c r="K1390" s="602">
        <f t="shared" si="447"/>
        <v>11557720</v>
      </c>
      <c r="L1390" s="39" t="s">
        <v>165</v>
      </c>
      <c r="M1390" s="603" t="s">
        <v>159</v>
      </c>
      <c r="N1390" s="39" t="str">
        <f>IF(AND('331-CT'!$E$7=TH!H1390,OR(L1390="331",M1390="331")),"331",IF(AND(OR(L1390="131",M1390="131"),H1390='131-CT'!$E$7),"131",""))</f>
        <v/>
      </c>
      <c r="O1390" s="39" t="str">
        <f>IF(AND($B1390&gt;='111'!$N$11,$B1390&lt;='111'!$O$11,OR($L1390=$O$7,$M1390=$O$7)),"x","")</f>
        <v/>
      </c>
      <c r="P1390" s="39" t="str">
        <f>IF(AND($L1390=$O$7,$B1390&lt;'111'!$N$11),"x","")</f>
        <v/>
      </c>
      <c r="Q1390" s="39" t="str">
        <f>IF(AND($M1390=$O$7,$B1390&lt;'111'!$N$11),"x","")</f>
        <v/>
      </c>
      <c r="R1390" s="39" t="str">
        <f>IF(ISERROR(FIND('112'!$M$9,G1390,1)),"",IF((AND(FIND('112'!$M$9,G1390,1)&gt;=1,$B1390&gt;='112'!$N$8,$B1390&lt;='112'!$O$8,OR($L1390='112'!$I$6,$M1390='112'!$I$6))),"x",""))</f>
        <v/>
      </c>
      <c r="S1390" s="39" t="str">
        <f>IF(ISERROR(FIND('112'!$M$9,G1390,1)),"",IF((AND(LEFT(G1390,2)=LEFT('112'!$M$9,2),B1390&lt;'112'!$N$8,$L1390='112'!$I$6)),"x",""))</f>
        <v/>
      </c>
      <c r="T1390" s="39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39" t="str">
        <f>IF(OR(TH!L1390=TH!$V$7,M1390=TH!$V$7),"x","")</f>
        <v/>
      </c>
      <c r="W1390" s="39" t="str">
        <f>IF(AND(B1390&gt;='IN-NX'!$P$3,B1390&lt;='IN-NX'!$Q$3,'IN-NX'!$D$7=D1390,OR(LEFT(L1390,2)="15",AND(LEFT(M1390,2)&lt;&gt;"15",LEFT(M1390,2)&lt;&gt;"33"))),"x","")</f>
        <v/>
      </c>
      <c r="X1390" s="39" t="str">
        <f>IF(AND(OR(LEFT(TH!L1390,2)="15",LEFT(TH!M1390,2)="15"),'152-CT'!$J$8=TH!F1390),"x","")</f>
        <v/>
      </c>
      <c r="Y1390" s="39" t="str">
        <f>IF(AND(OR(LEFT(TH!L1390,2)="15",LEFT(TH!M1390,2)="15"),TK!$E$7=TH!F1390),"x","")</f>
        <v/>
      </c>
      <c r="Z1390" s="39" t="str">
        <f>IF(AND(B1390&lt;=NKC!$N$8,B1390&gt;=NKC!$M$8),"x","")</f>
        <v/>
      </c>
      <c r="AA1390" s="883"/>
    </row>
    <row r="1391" spans="1:27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448"/>
        <v>11</v>
      </c>
      <c r="C1391" s="191">
        <f t="shared" si="446"/>
        <v>41591</v>
      </c>
      <c r="D1391" s="191" t="s">
        <v>1292</v>
      </c>
      <c r="E1391" s="773">
        <v>41591</v>
      </c>
      <c r="F1391" s="40" t="s">
        <v>688</v>
      </c>
      <c r="G1391" s="40" t="s">
        <v>1014</v>
      </c>
      <c r="H1391" s="7" t="s">
        <v>1284</v>
      </c>
      <c r="I1391" s="814">
        <v>225</v>
      </c>
      <c r="J1391" s="256">
        <v>16000</v>
      </c>
      <c r="K1391" s="602">
        <f t="shared" si="447"/>
        <v>3600000</v>
      </c>
      <c r="L1391" s="39" t="s">
        <v>165</v>
      </c>
      <c r="M1391" s="603" t="s">
        <v>159</v>
      </c>
      <c r="N1391" s="39" t="str">
        <f>IF(AND('331-CT'!$E$7=TH!H1391,OR(L1391="331",M1391="331")),"331",IF(AND(OR(L1391="131",M1391="131"),H1391='131-CT'!$E$7),"131",""))</f>
        <v/>
      </c>
      <c r="O1391" s="39" t="str">
        <f>IF(AND($B1391&gt;='111'!$N$11,$B1391&lt;='111'!$O$11,OR($L1391=$O$7,$M1391=$O$7)),"x","")</f>
        <v/>
      </c>
      <c r="P1391" s="39" t="str">
        <f>IF(AND($L1391=$O$7,$B1391&lt;'111'!$N$11),"x","")</f>
        <v/>
      </c>
      <c r="Q1391" s="39" t="str">
        <f>IF(AND($M1391=$O$7,$B1391&lt;'111'!$N$11),"x","")</f>
        <v/>
      </c>
      <c r="R1391" s="39" t="str">
        <f>IF(ISERROR(FIND('112'!$M$9,G1391,1)),"",IF((AND(FIND('112'!$M$9,G1391,1)&gt;=1,$B1391&gt;='112'!$N$8,$B1391&lt;='112'!$O$8,OR($L1391='112'!$I$6,$M1391='112'!$I$6))),"x",""))</f>
        <v/>
      </c>
      <c r="S1391" s="39" t="str">
        <f>IF(ISERROR(FIND('112'!$M$9,G1391,1)),"",IF((AND(LEFT(G1391,2)=LEFT('112'!$M$9,2),B1391&lt;'112'!$N$8,$L1391='112'!$I$6)),"x",""))</f>
        <v/>
      </c>
      <c r="T1391" s="39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39" t="str">
        <f>IF(OR(TH!L1391=TH!$V$7,M1391=TH!$V$7),"x","")</f>
        <v/>
      </c>
      <c r="W1391" s="39" t="str">
        <f>IF(AND(B1391&gt;='IN-NX'!$P$3,B1391&lt;='IN-NX'!$Q$3,'IN-NX'!$D$7=D1391,OR(LEFT(L1391,2)="15",AND(LEFT(M1391,2)&lt;&gt;"15",LEFT(M1391,2)&lt;&gt;"33"))),"x","")</f>
        <v/>
      </c>
      <c r="X1391" s="39" t="str">
        <f>IF(AND(OR(LEFT(TH!L1391,2)="15",LEFT(TH!M1391,2)="15"),'152-CT'!$J$8=TH!F1391),"x","")</f>
        <v/>
      </c>
      <c r="Y1391" s="39" t="str">
        <f>IF(AND(OR(LEFT(TH!L1391,2)="15",LEFT(TH!M1391,2)="15"),TK!$E$7=TH!F1391),"x","")</f>
        <v/>
      </c>
      <c r="Z1391" s="39" t="str">
        <f>IF(AND(B1391&lt;=NKC!$N$8,B1391&gt;=NKC!$M$8),"x","")</f>
        <v/>
      </c>
      <c r="AA1391" s="883"/>
    </row>
    <row r="1392" spans="1:27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448"/>
        <v>11</v>
      </c>
      <c r="C1392" s="191">
        <f t="shared" si="446"/>
        <v>41593</v>
      </c>
      <c r="D1392" s="191" t="s">
        <v>1292</v>
      </c>
      <c r="E1392" s="773">
        <v>41593</v>
      </c>
      <c r="F1392" s="40" t="s">
        <v>670</v>
      </c>
      <c r="G1392" s="40" t="s">
        <v>1015</v>
      </c>
      <c r="H1392" s="7" t="s">
        <v>1284</v>
      </c>
      <c r="I1392" s="256">
        <v>1026</v>
      </c>
      <c r="J1392" s="256">
        <v>10801</v>
      </c>
      <c r="K1392" s="602">
        <f t="shared" si="447"/>
        <v>11081826</v>
      </c>
      <c r="L1392" s="39" t="s">
        <v>165</v>
      </c>
      <c r="M1392" s="603" t="s">
        <v>159</v>
      </c>
      <c r="N1392" s="39" t="str">
        <f>IF(AND('331-CT'!$E$7=TH!H1392,OR(L1392="331",M1392="331")),"331",IF(AND(OR(L1392="131",M1392="131"),H1392='131-CT'!$E$7),"131",""))</f>
        <v/>
      </c>
      <c r="O1392" s="39" t="str">
        <f>IF(AND($B1392&gt;='111'!$N$11,$B1392&lt;='111'!$O$11,OR($L1392=$O$7,$M1392=$O$7)),"x","")</f>
        <v/>
      </c>
      <c r="P1392" s="39" t="str">
        <f>IF(AND($L1392=$O$7,$B1392&lt;'111'!$N$11),"x","")</f>
        <v/>
      </c>
      <c r="Q1392" s="39" t="str">
        <f>IF(AND($M1392=$O$7,$B1392&lt;'111'!$N$11),"x","")</f>
        <v/>
      </c>
      <c r="R1392" s="39" t="str">
        <f>IF(ISERROR(FIND('112'!$M$9,G1392,1)),"",IF((AND(FIND('112'!$M$9,G1392,1)&gt;=1,$B1392&gt;='112'!$N$8,$B1392&lt;='112'!$O$8,OR($L1392='112'!$I$6,$M1392='112'!$I$6))),"x",""))</f>
        <v/>
      </c>
      <c r="S1392" s="39" t="str">
        <f>IF(ISERROR(FIND('112'!$M$9,G1392,1)),"",IF((AND(LEFT(G1392,2)=LEFT('112'!$M$9,2),B1392&lt;'112'!$N$8,$L1392='112'!$I$6)),"x",""))</f>
        <v/>
      </c>
      <c r="T1392" s="39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39" t="str">
        <f>IF(OR(TH!L1392=TH!$V$7,M1392=TH!$V$7),"x","")</f>
        <v/>
      </c>
      <c r="W1392" s="39" t="str">
        <f>IF(AND(B1392&gt;='IN-NX'!$P$3,B1392&lt;='IN-NX'!$Q$3,'IN-NX'!$D$7=D1392,OR(LEFT(L1392,2)="15",AND(LEFT(M1392,2)&lt;&gt;"15",LEFT(M1392,2)&lt;&gt;"33"))),"x","")</f>
        <v/>
      </c>
      <c r="X1392" s="39" t="str">
        <f>IF(AND(OR(LEFT(TH!L1392,2)="15",LEFT(TH!M1392,2)="15"),'152-CT'!$J$8=TH!F1392),"x","")</f>
        <v/>
      </c>
      <c r="Y1392" s="39" t="str">
        <f>IF(AND(OR(LEFT(TH!L1392,2)="15",LEFT(TH!M1392,2)="15"),TK!$E$7=TH!F1392),"x","")</f>
        <v/>
      </c>
      <c r="Z1392" s="39" t="str">
        <f>IF(AND(B1392&lt;=NKC!$N$8,B1392&gt;=NKC!$M$8),"x","")</f>
        <v/>
      </c>
      <c r="AA1392" s="883"/>
    </row>
    <row r="1393" spans="1:27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448"/>
        <v>11</v>
      </c>
      <c r="C1393" s="191">
        <f t="shared" si="446"/>
        <v>41594</v>
      </c>
      <c r="D1393" s="191" t="s">
        <v>1292</v>
      </c>
      <c r="E1393" s="37">
        <v>41594</v>
      </c>
      <c r="F1393" s="40" t="s">
        <v>627</v>
      </c>
      <c r="G1393" s="40" t="s">
        <v>1017</v>
      </c>
      <c r="H1393" s="7" t="s">
        <v>1284</v>
      </c>
      <c r="I1393" s="256">
        <v>90</v>
      </c>
      <c r="J1393" s="256">
        <v>31288</v>
      </c>
      <c r="K1393" s="602">
        <f t="shared" si="447"/>
        <v>2815920</v>
      </c>
      <c r="L1393" s="39" t="s">
        <v>165</v>
      </c>
      <c r="M1393" s="603" t="s">
        <v>159</v>
      </c>
      <c r="N1393" s="39" t="str">
        <f>IF(AND('331-CT'!$E$7=TH!H1393,OR(L1393="331",M1393="331")),"331",IF(AND(OR(L1393="131",M1393="131"),H1393='131-CT'!$E$7),"131",""))</f>
        <v/>
      </c>
      <c r="O1393" s="39" t="str">
        <f>IF(AND($B1393&gt;='111'!$N$11,$B1393&lt;='111'!$O$11,OR($L1393=$O$7,$M1393=$O$7)),"x","")</f>
        <v/>
      </c>
      <c r="P1393" s="39" t="str">
        <f>IF(AND($L1393=$O$7,$B1393&lt;'111'!$N$11),"x","")</f>
        <v/>
      </c>
      <c r="Q1393" s="39" t="str">
        <f>IF(AND($M1393=$O$7,$B1393&lt;'111'!$N$11),"x","")</f>
        <v/>
      </c>
      <c r="R1393" s="39" t="str">
        <f>IF(ISERROR(FIND('112'!$M$9,G1393,1)),"",IF((AND(FIND('112'!$M$9,G1393,1)&gt;=1,$B1393&gt;='112'!$N$8,$B1393&lt;='112'!$O$8,OR($L1393='112'!$I$6,$M1393='112'!$I$6))),"x",""))</f>
        <v/>
      </c>
      <c r="S1393" s="39" t="str">
        <f>IF(ISERROR(FIND('112'!$M$9,G1393,1)),"",IF((AND(LEFT(G1393,2)=LEFT('112'!$M$9,2),B1393&lt;'112'!$N$8,$L1393='112'!$I$6)),"x",""))</f>
        <v/>
      </c>
      <c r="T1393" s="39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39" t="str">
        <f>IF(OR(TH!L1393=TH!$V$7,M1393=TH!$V$7),"x","")</f>
        <v/>
      </c>
      <c r="W1393" s="39" t="str">
        <f>IF(AND(B1393&gt;='IN-NX'!$P$3,B1393&lt;='IN-NX'!$Q$3,'IN-NX'!$D$7=D1393,OR(LEFT(L1393,2)="15",AND(LEFT(M1393,2)&lt;&gt;"15",LEFT(M1393,2)&lt;&gt;"33"))),"x","")</f>
        <v/>
      </c>
      <c r="X1393" s="39" t="str">
        <f>IF(AND(OR(LEFT(TH!L1393,2)="15",LEFT(TH!M1393,2)="15"),'152-CT'!$J$8=TH!F1393),"x","")</f>
        <v/>
      </c>
      <c r="Y1393" s="39" t="str">
        <f>IF(AND(OR(LEFT(TH!L1393,2)="15",LEFT(TH!M1393,2)="15"),TK!$E$7=TH!F1393),"x","")</f>
        <v/>
      </c>
      <c r="Z1393" s="39" t="str">
        <f>IF(AND(B1393&lt;=NKC!$N$8,B1393&gt;=NKC!$M$8),"x","")</f>
        <v/>
      </c>
      <c r="AA1393" s="883"/>
    </row>
    <row r="1394" spans="1:27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448"/>
        <v>11</v>
      </c>
      <c r="C1394" s="191">
        <f t="shared" si="446"/>
        <v>41594</v>
      </c>
      <c r="D1394" s="191" t="s">
        <v>1292</v>
      </c>
      <c r="E1394" s="37">
        <v>41594</v>
      </c>
      <c r="F1394" s="40" t="s">
        <v>1247</v>
      </c>
      <c r="G1394" s="40" t="s">
        <v>1017</v>
      </c>
      <c r="H1394" s="7" t="s">
        <v>1284</v>
      </c>
      <c r="I1394" s="256">
        <v>90</v>
      </c>
      <c r="J1394" s="256">
        <v>32321.481481481482</v>
      </c>
      <c r="K1394" s="602">
        <f t="shared" si="447"/>
        <v>2908933</v>
      </c>
      <c r="L1394" s="39" t="s">
        <v>165</v>
      </c>
      <c r="M1394" s="603" t="s">
        <v>159</v>
      </c>
      <c r="N1394" s="39" t="str">
        <f>IF(AND('331-CT'!$E$7=TH!H1394,OR(L1394="331",M1394="331")),"331",IF(AND(OR(L1394="131",M1394="131"),H1394='131-CT'!$E$7),"131",""))</f>
        <v/>
      </c>
      <c r="O1394" s="39" t="str">
        <f>IF(AND($B1394&gt;='111'!$N$11,$B1394&lt;='111'!$O$11,OR($L1394=$O$7,$M1394=$O$7)),"x","")</f>
        <v/>
      </c>
      <c r="P1394" s="39" t="str">
        <f>IF(AND($L1394=$O$7,$B1394&lt;'111'!$N$11),"x","")</f>
        <v/>
      </c>
      <c r="Q1394" s="39" t="str">
        <f>IF(AND($M1394=$O$7,$B1394&lt;'111'!$N$11),"x","")</f>
        <v/>
      </c>
      <c r="R1394" s="39" t="str">
        <f>IF(ISERROR(FIND('112'!$M$9,G1394,1)),"",IF((AND(FIND('112'!$M$9,G1394,1)&gt;=1,$B1394&gt;='112'!$N$8,$B1394&lt;='112'!$O$8,OR($L1394='112'!$I$6,$M1394='112'!$I$6))),"x",""))</f>
        <v/>
      </c>
      <c r="S1394" s="39" t="str">
        <f>IF(ISERROR(FIND('112'!$M$9,G1394,1)),"",IF((AND(LEFT(G1394,2)=LEFT('112'!$M$9,2),B1394&lt;'112'!$N$8,$L1394='112'!$I$6)),"x",""))</f>
        <v/>
      </c>
      <c r="T1394" s="39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39" t="str">
        <f>IF(OR(TH!L1394=TH!$V$7,M1394=TH!$V$7),"x","")</f>
        <v/>
      </c>
      <c r="W1394" s="39" t="str">
        <f>IF(AND(B1394&gt;='IN-NX'!$P$3,B1394&lt;='IN-NX'!$Q$3,'IN-NX'!$D$7=D1394,OR(LEFT(L1394,2)="15",AND(LEFT(M1394,2)&lt;&gt;"15",LEFT(M1394,2)&lt;&gt;"33"))),"x","")</f>
        <v/>
      </c>
      <c r="X1394" s="39" t="str">
        <f>IF(AND(OR(LEFT(TH!L1394,2)="15",LEFT(TH!M1394,2)="15"),'152-CT'!$J$8=TH!F1394),"x","")</f>
        <v/>
      </c>
      <c r="Y1394" s="39" t="str">
        <f>IF(AND(OR(LEFT(TH!L1394,2)="15",LEFT(TH!M1394,2)="15"),TK!$E$7=TH!F1394),"x","")</f>
        <v/>
      </c>
      <c r="Z1394" s="39" t="str">
        <f>IF(AND(B1394&lt;=NKC!$N$8,B1394&gt;=NKC!$M$8),"x","")</f>
        <v/>
      </c>
      <c r="AA1394" s="883"/>
    </row>
    <row r="1395" spans="1:27" s="211" customFormat="1" ht="15.75" customHeight="1">
      <c r="A1395" s="204" t="str">
        <f>IF(B1395&lt;&gt;"",IF(AND(B1395&gt;=_TM1,B1395&lt;=_TM2,OR(TH!L1395="1111",TH!M1395="1111")),TH!D1395,""),"")</f>
        <v/>
      </c>
      <c r="B1395" s="36">
        <f t="shared" si="448"/>
        <v>11</v>
      </c>
      <c r="C1395" s="191">
        <f t="shared" si="446"/>
        <v>41594</v>
      </c>
      <c r="D1395" s="191" t="s">
        <v>1292</v>
      </c>
      <c r="E1395" s="37">
        <v>41594</v>
      </c>
      <c r="F1395" s="192" t="s">
        <v>636</v>
      </c>
      <c r="G1395" s="40" t="s">
        <v>1017</v>
      </c>
      <c r="H1395" s="7" t="s">
        <v>1284</v>
      </c>
      <c r="I1395" s="256">
        <v>50</v>
      </c>
      <c r="J1395" s="256">
        <v>36234</v>
      </c>
      <c r="K1395" s="602">
        <f t="shared" si="447"/>
        <v>1811700</v>
      </c>
      <c r="L1395" s="39" t="s">
        <v>165</v>
      </c>
      <c r="M1395" s="603" t="s">
        <v>159</v>
      </c>
      <c r="N1395" s="39" t="str">
        <f>IF(AND('331-CT'!$E$7=TH!H1395,OR(L1395="331",M1395="331")),"331",IF(AND(OR(L1395="131",M1395="131"),H1395='131-CT'!$E$7),"131",""))</f>
        <v/>
      </c>
      <c r="O1395" s="39" t="str">
        <f>IF(AND($B1395&gt;='111'!$N$11,$B1395&lt;='111'!$O$11,OR($L1395=$O$7,$M1395=$O$7)),"x","")</f>
        <v/>
      </c>
      <c r="P1395" s="39" t="str">
        <f>IF(AND($L1395=$O$7,$B1395&lt;'111'!$N$11),"x","")</f>
        <v/>
      </c>
      <c r="Q1395" s="39" t="str">
        <f>IF(AND($M1395=$O$7,$B1395&lt;'111'!$N$11),"x","")</f>
        <v/>
      </c>
      <c r="R1395" s="39" t="str">
        <f>IF(ISERROR(FIND('112'!$M$9,G1395,1)),"",IF((AND(FIND('112'!$M$9,G1395,1)&gt;=1,$B1395&gt;='112'!$N$8,$B1395&lt;='112'!$O$8,OR($L1395='112'!$I$6,$M1395='112'!$I$6))),"x",""))</f>
        <v/>
      </c>
      <c r="S1395" s="39" t="str">
        <f>IF(ISERROR(FIND('112'!$M$9,G1395,1)),"",IF((AND(LEFT(G1395,2)=LEFT('112'!$M$9,2),B1395&lt;'112'!$N$8,$L1395='112'!$I$6)),"x",""))</f>
        <v/>
      </c>
      <c r="T1395" s="39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39" t="str">
        <f>IF(OR(TH!L1395=TH!$V$7,M1395=TH!$V$7),"x","")</f>
        <v/>
      </c>
      <c r="W1395" s="39" t="str">
        <f>IF(AND(B1395&gt;='IN-NX'!$P$3,B1395&lt;='IN-NX'!$Q$3,'IN-NX'!$D$7=D1395,OR(LEFT(L1395,2)="15",AND(LEFT(M1395,2)&lt;&gt;"15",LEFT(M1395,2)&lt;&gt;"33"))),"x","")</f>
        <v/>
      </c>
      <c r="X1395" s="39" t="str">
        <f>IF(AND(OR(LEFT(TH!L1395,2)="15",LEFT(TH!M1395,2)="15"),'152-CT'!$J$8=TH!F1395),"x","")</f>
        <v/>
      </c>
      <c r="Y1395" s="39" t="str">
        <f>IF(AND(OR(LEFT(TH!L1395,2)="15",LEFT(TH!M1395,2)="15"),TK!$E$7=TH!F1395),"x","")</f>
        <v/>
      </c>
      <c r="Z1395" s="39" t="str">
        <f>IF(AND(B1395&lt;=NKC!$N$8,B1395&gt;=NKC!$M$8),"x","")</f>
        <v/>
      </c>
      <c r="AA1395" s="883"/>
    </row>
    <row r="1396" spans="1:27" s="211" customFormat="1" ht="15.75" customHeight="1">
      <c r="A1396" s="204" t="str">
        <f>IF(B1396&lt;&gt;"",IF(AND(B1396&gt;=_TM1,B1396&lt;=_TM2,OR(TH!L1396="1111",TH!M1396="1111")),TH!D1396,""),"")</f>
        <v/>
      </c>
      <c r="B1396" s="36">
        <f t="shared" si="448"/>
        <v>11</v>
      </c>
      <c r="C1396" s="191">
        <f t="shared" si="446"/>
        <v>41594</v>
      </c>
      <c r="D1396" s="191" t="s">
        <v>1292</v>
      </c>
      <c r="E1396" s="37">
        <v>41594</v>
      </c>
      <c r="F1396" s="40" t="s">
        <v>636</v>
      </c>
      <c r="G1396" s="40" t="s">
        <v>1017</v>
      </c>
      <c r="H1396" s="7" t="s">
        <v>1284</v>
      </c>
      <c r="I1396" s="256">
        <v>50</v>
      </c>
      <c r="J1396" s="256">
        <v>36234</v>
      </c>
      <c r="K1396" s="602">
        <f t="shared" si="447"/>
        <v>1811700</v>
      </c>
      <c r="L1396" s="39" t="s">
        <v>165</v>
      </c>
      <c r="M1396" s="603" t="s">
        <v>159</v>
      </c>
      <c r="N1396" s="39" t="str">
        <f>IF(AND('331-CT'!$E$7=TH!H1396,OR(L1396="331",M1396="331")),"331",IF(AND(OR(L1396="131",M1396="131"),H1396='131-CT'!$E$7),"131",""))</f>
        <v/>
      </c>
      <c r="O1396" s="39" t="str">
        <f>IF(AND($B1396&gt;='111'!$N$11,$B1396&lt;='111'!$O$11,OR($L1396=$O$7,$M1396=$O$7)),"x","")</f>
        <v/>
      </c>
      <c r="P1396" s="39" t="str">
        <f>IF(AND($L1396=$O$7,$B1396&lt;'111'!$N$11),"x","")</f>
        <v/>
      </c>
      <c r="Q1396" s="39" t="str">
        <f>IF(AND($M1396=$O$7,$B1396&lt;'111'!$N$11),"x","")</f>
        <v/>
      </c>
      <c r="R1396" s="39" t="str">
        <f>IF(ISERROR(FIND('112'!$M$9,G1396,1)),"",IF((AND(FIND('112'!$M$9,G1396,1)&gt;=1,$B1396&gt;='112'!$N$8,$B1396&lt;='112'!$O$8,OR($L1396='112'!$I$6,$M1396='112'!$I$6))),"x",""))</f>
        <v/>
      </c>
      <c r="S1396" s="39" t="str">
        <f>IF(ISERROR(FIND('112'!$M$9,G1396,1)),"",IF((AND(LEFT(G1396,2)=LEFT('112'!$M$9,2),B1396&lt;'112'!$N$8,$L1396='112'!$I$6)),"x",""))</f>
        <v/>
      </c>
      <c r="T1396" s="39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39" t="str">
        <f>IF(OR(TH!L1396=TH!$V$7,M1396=TH!$V$7),"x","")</f>
        <v/>
      </c>
      <c r="W1396" s="39" t="str">
        <f>IF(AND(B1396&gt;='IN-NX'!$P$3,B1396&lt;='IN-NX'!$Q$3,'IN-NX'!$D$7=D1396,OR(LEFT(L1396,2)="15",AND(LEFT(M1396,2)&lt;&gt;"15",LEFT(M1396,2)&lt;&gt;"33"))),"x","")</f>
        <v/>
      </c>
      <c r="X1396" s="39" t="str">
        <f>IF(AND(OR(LEFT(TH!L1396,2)="15",LEFT(TH!M1396,2)="15"),'152-CT'!$J$8=TH!F1396),"x","")</f>
        <v/>
      </c>
      <c r="Y1396" s="39" t="str">
        <f>IF(AND(OR(LEFT(TH!L1396,2)="15",LEFT(TH!M1396,2)="15"),TK!$E$7=TH!F1396),"x","")</f>
        <v/>
      </c>
      <c r="Z1396" s="39" t="str">
        <f>IF(AND(B1396&lt;=NKC!$N$8,B1396&gt;=NKC!$M$8),"x","")</f>
        <v/>
      </c>
      <c r="AA1396" s="883"/>
    </row>
    <row r="1397" spans="1:27" s="211" customFormat="1" ht="15.75" customHeight="1">
      <c r="A1397" s="204" t="str">
        <f>IF(B1397&lt;&gt;"",IF(AND(B1397&gt;=_TM1,B1397&lt;=_TM2,OR(TH!L1397="1111",TH!M1397="1111")),TH!D1397,""),"")</f>
        <v/>
      </c>
      <c r="B1397" s="36">
        <f t="shared" si="448"/>
        <v>11</v>
      </c>
      <c r="C1397" s="191">
        <f t="shared" si="446"/>
        <v>41595</v>
      </c>
      <c r="D1397" s="191" t="s">
        <v>1292</v>
      </c>
      <c r="E1397" s="37">
        <v>41595</v>
      </c>
      <c r="F1397" s="40" t="s">
        <v>1247</v>
      </c>
      <c r="G1397" s="40" t="s">
        <v>1019</v>
      </c>
      <c r="H1397" s="7" t="s">
        <v>1284</v>
      </c>
      <c r="I1397" s="256">
        <v>70</v>
      </c>
      <c r="J1397" s="256">
        <v>32321.481481481482</v>
      </c>
      <c r="K1397" s="602">
        <f t="shared" si="447"/>
        <v>2262504</v>
      </c>
      <c r="L1397" s="39" t="s">
        <v>165</v>
      </c>
      <c r="M1397" s="603" t="s">
        <v>159</v>
      </c>
      <c r="N1397" s="39" t="str">
        <f>IF(AND('331-CT'!$E$7=TH!H1397,OR(L1397="331",M1397="331")),"331",IF(AND(OR(L1397="131",M1397="131"),H1397='131-CT'!$E$7),"131",""))</f>
        <v/>
      </c>
      <c r="O1397" s="39" t="str">
        <f>IF(AND($B1397&gt;='111'!$N$11,$B1397&lt;='111'!$O$11,OR($L1397=$O$7,$M1397=$O$7)),"x","")</f>
        <v/>
      </c>
      <c r="P1397" s="39" t="str">
        <f>IF(AND($L1397=$O$7,$B1397&lt;'111'!$N$11),"x","")</f>
        <v/>
      </c>
      <c r="Q1397" s="39" t="str">
        <f>IF(AND($M1397=$O$7,$B1397&lt;'111'!$N$11),"x","")</f>
        <v/>
      </c>
      <c r="R1397" s="39" t="str">
        <f>IF(ISERROR(FIND('112'!$M$9,G1397,1)),"",IF((AND(FIND('112'!$M$9,G1397,1)&gt;=1,$B1397&gt;='112'!$N$8,$B1397&lt;='112'!$O$8,OR($L1397='112'!$I$6,$M1397='112'!$I$6))),"x",""))</f>
        <v/>
      </c>
      <c r="S1397" s="39" t="str">
        <f>IF(ISERROR(FIND('112'!$M$9,G1397,1)),"",IF((AND(LEFT(G1397,2)=LEFT('112'!$M$9,2),B1397&lt;'112'!$N$8,$L1397='112'!$I$6)),"x",""))</f>
        <v/>
      </c>
      <c r="T1397" s="39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39" t="str">
        <f>IF(OR(TH!L1397=TH!$V$7,M1397=TH!$V$7),"x","")</f>
        <v/>
      </c>
      <c r="W1397" s="39" t="str">
        <f>IF(AND(B1397&gt;='IN-NX'!$P$3,B1397&lt;='IN-NX'!$Q$3,'IN-NX'!$D$7=D1397,OR(LEFT(L1397,2)="15",AND(LEFT(M1397,2)&lt;&gt;"15",LEFT(M1397,2)&lt;&gt;"33"))),"x","")</f>
        <v/>
      </c>
      <c r="X1397" s="39" t="str">
        <f>IF(AND(OR(LEFT(TH!L1397,2)="15",LEFT(TH!M1397,2)="15"),'152-CT'!$J$8=TH!F1397),"x","")</f>
        <v/>
      </c>
      <c r="Y1397" s="39" t="str">
        <f>IF(AND(OR(LEFT(TH!L1397,2)="15",LEFT(TH!M1397,2)="15"),TK!$E$7=TH!F1397),"x","")</f>
        <v/>
      </c>
      <c r="Z1397" s="39" t="str">
        <f>IF(AND(B1397&lt;=NKC!$N$8,B1397&gt;=NKC!$M$8),"x","")</f>
        <v/>
      </c>
      <c r="AA1397" s="883"/>
    </row>
    <row r="1398" spans="1:27" s="211" customFormat="1" ht="15.75" customHeight="1">
      <c r="A1398" s="204" t="str">
        <f>IF(B1398&lt;&gt;"",IF(AND(B1398&gt;=_TM1,B1398&lt;=_TM2,OR(TH!L1398="1111",TH!M1398="1111")),TH!D1398,""),"")</f>
        <v/>
      </c>
      <c r="B1398" s="36">
        <f t="shared" si="448"/>
        <v>11</v>
      </c>
      <c r="C1398" s="191">
        <f t="shared" si="446"/>
        <v>41595</v>
      </c>
      <c r="D1398" s="191" t="s">
        <v>1292</v>
      </c>
      <c r="E1398" s="37">
        <v>41595</v>
      </c>
      <c r="F1398" s="189" t="s">
        <v>1247</v>
      </c>
      <c r="G1398" s="40" t="s">
        <v>1019</v>
      </c>
      <c r="H1398" s="7" t="s">
        <v>1284</v>
      </c>
      <c r="I1398" s="256">
        <v>69</v>
      </c>
      <c r="J1398" s="256">
        <v>32321.481481481482</v>
      </c>
      <c r="K1398" s="602">
        <f t="shared" si="447"/>
        <v>2230182</v>
      </c>
      <c r="L1398" s="39" t="s">
        <v>165</v>
      </c>
      <c r="M1398" s="603" t="s">
        <v>159</v>
      </c>
      <c r="N1398" s="39" t="str">
        <f>IF(AND('331-CT'!$E$7=TH!H1398,OR(L1398="331",M1398="331")),"331",IF(AND(OR(L1398="131",M1398="131"),H1398='131-CT'!$E$7),"131",""))</f>
        <v/>
      </c>
      <c r="O1398" s="39" t="str">
        <f>IF(AND($B1398&gt;='111'!$N$11,$B1398&lt;='111'!$O$11,OR($L1398=$O$7,$M1398=$O$7)),"x","")</f>
        <v/>
      </c>
      <c r="P1398" s="39" t="str">
        <f>IF(AND($L1398=$O$7,$B1398&lt;'111'!$N$11),"x","")</f>
        <v/>
      </c>
      <c r="Q1398" s="39" t="str">
        <f>IF(AND($M1398=$O$7,$B1398&lt;'111'!$N$11),"x","")</f>
        <v/>
      </c>
      <c r="R1398" s="39" t="str">
        <f>IF(ISERROR(FIND('112'!$M$9,G1398,1)),"",IF((AND(FIND('112'!$M$9,G1398,1)&gt;=1,$B1398&gt;='112'!$N$8,$B1398&lt;='112'!$O$8,OR($L1398='112'!$I$6,$M1398='112'!$I$6))),"x",""))</f>
        <v/>
      </c>
      <c r="S1398" s="39" t="str">
        <f>IF(ISERROR(FIND('112'!$M$9,G1398,1)),"",IF((AND(LEFT(G1398,2)=LEFT('112'!$M$9,2),B1398&lt;'112'!$N$8,$L1398='112'!$I$6)),"x",""))</f>
        <v/>
      </c>
      <c r="T1398" s="39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39" t="str">
        <f>IF(OR(TH!L1398=TH!$V$7,M1398=TH!$V$7),"x","")</f>
        <v/>
      </c>
      <c r="W1398" s="39" t="str">
        <f>IF(AND(B1398&gt;='IN-NX'!$P$3,B1398&lt;='IN-NX'!$Q$3,'IN-NX'!$D$7=D1398,OR(LEFT(L1398,2)="15",AND(LEFT(M1398,2)&lt;&gt;"15",LEFT(M1398,2)&lt;&gt;"33"))),"x","")</f>
        <v/>
      </c>
      <c r="X1398" s="39" t="str">
        <f>IF(AND(OR(LEFT(TH!L1398,2)="15",LEFT(TH!M1398,2)="15"),'152-CT'!$J$8=TH!F1398),"x","")</f>
        <v/>
      </c>
      <c r="Y1398" s="39" t="str">
        <f>IF(AND(OR(LEFT(TH!L1398,2)="15",LEFT(TH!M1398,2)="15"),TK!$E$7=TH!F1398),"x","")</f>
        <v/>
      </c>
      <c r="Z1398" s="39" t="str">
        <f>IF(AND(B1398&lt;=NKC!$N$8,B1398&gt;=NKC!$M$8),"x","")</f>
        <v/>
      </c>
      <c r="AA1398" s="883"/>
    </row>
    <row r="1399" spans="1:27" s="211" customFormat="1" ht="15.75" customHeight="1">
      <c r="A1399" s="204" t="str">
        <f>IF(B1399&lt;&gt;"",IF(AND(B1399&gt;=_TM1,B1399&lt;=_TM2,OR(TH!L1399="1111",TH!M1399="1111")),TH!D1399,""),"")</f>
        <v/>
      </c>
      <c r="B1399" s="36">
        <f t="shared" si="448"/>
        <v>11</v>
      </c>
      <c r="C1399" s="191">
        <f t="shared" si="446"/>
        <v>41595</v>
      </c>
      <c r="D1399" s="191" t="s">
        <v>1292</v>
      </c>
      <c r="E1399" s="37">
        <v>41595</v>
      </c>
      <c r="F1399" s="40" t="s">
        <v>1247</v>
      </c>
      <c r="G1399" s="40" t="s">
        <v>1019</v>
      </c>
      <c r="H1399" s="7" t="s">
        <v>1284</v>
      </c>
      <c r="I1399" s="256">
        <v>95</v>
      </c>
      <c r="J1399" s="256">
        <v>32321.481481481482</v>
      </c>
      <c r="K1399" s="602">
        <f t="shared" si="447"/>
        <v>3070541</v>
      </c>
      <c r="L1399" s="39" t="s">
        <v>165</v>
      </c>
      <c r="M1399" s="603" t="s">
        <v>159</v>
      </c>
      <c r="N1399" s="39" t="str">
        <f>IF(AND('331-CT'!$E$7=TH!H1399,OR(L1399="331",M1399="331")),"331",IF(AND(OR(L1399="131",M1399="131"),H1399='131-CT'!$E$7),"131",""))</f>
        <v/>
      </c>
      <c r="O1399" s="39" t="str">
        <f>IF(AND($B1399&gt;='111'!$N$11,$B1399&lt;='111'!$O$11,OR($L1399=$O$7,$M1399=$O$7)),"x","")</f>
        <v/>
      </c>
      <c r="P1399" s="39" t="str">
        <f>IF(AND($L1399=$O$7,$B1399&lt;'111'!$N$11),"x","")</f>
        <v/>
      </c>
      <c r="Q1399" s="39" t="str">
        <f>IF(AND($M1399=$O$7,$B1399&lt;'111'!$N$11),"x","")</f>
        <v/>
      </c>
      <c r="R1399" s="39" t="str">
        <f>IF(ISERROR(FIND('112'!$M$9,G1399,1)),"",IF((AND(FIND('112'!$M$9,G1399,1)&gt;=1,$B1399&gt;='112'!$N$8,$B1399&lt;='112'!$O$8,OR($L1399='112'!$I$6,$M1399='112'!$I$6))),"x",""))</f>
        <v/>
      </c>
      <c r="S1399" s="39" t="str">
        <f>IF(ISERROR(FIND('112'!$M$9,G1399,1)),"",IF((AND(LEFT(G1399,2)=LEFT('112'!$M$9,2),B1399&lt;'112'!$N$8,$L1399='112'!$I$6)),"x",""))</f>
        <v/>
      </c>
      <c r="T1399" s="39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39" t="str">
        <f>IF(OR(TH!L1399=TH!$V$7,M1399=TH!$V$7),"x","")</f>
        <v/>
      </c>
      <c r="W1399" s="39" t="str">
        <f>IF(AND(B1399&gt;='IN-NX'!$P$3,B1399&lt;='IN-NX'!$Q$3,'IN-NX'!$D$7=D1399,OR(LEFT(L1399,2)="15",AND(LEFT(M1399,2)&lt;&gt;"15",LEFT(M1399,2)&lt;&gt;"33"))),"x","")</f>
        <v/>
      </c>
      <c r="X1399" s="39" t="str">
        <f>IF(AND(OR(LEFT(TH!L1399,2)="15",LEFT(TH!M1399,2)="15"),'152-CT'!$J$8=TH!F1399),"x","")</f>
        <v/>
      </c>
      <c r="Y1399" s="39" t="str">
        <f>IF(AND(OR(LEFT(TH!L1399,2)="15",LEFT(TH!M1399,2)="15"),TK!$E$7=TH!F1399),"x","")</f>
        <v/>
      </c>
      <c r="Z1399" s="39" t="str">
        <f>IF(AND(B1399&lt;=NKC!$N$8,B1399&gt;=NKC!$M$8),"x","")</f>
        <v/>
      </c>
      <c r="AA1399" s="883"/>
    </row>
    <row r="1400" spans="1:27" s="211" customFormat="1" ht="15.75" customHeight="1">
      <c r="A1400" s="204" t="str">
        <f>IF(B1400&lt;&gt;"",IF(AND(B1400&gt;=_TM1,B1400&lt;=_TM2,OR(TH!L1400="1111",TH!M1400="1111")),TH!D1400,""),"")</f>
        <v/>
      </c>
      <c r="B1400" s="36">
        <f t="shared" si="448"/>
        <v>11</v>
      </c>
      <c r="C1400" s="191">
        <f t="shared" si="446"/>
        <v>41600</v>
      </c>
      <c r="D1400" s="191" t="s">
        <v>1292</v>
      </c>
      <c r="E1400" s="37">
        <v>41600</v>
      </c>
      <c r="F1400" s="40" t="s">
        <v>1238</v>
      </c>
      <c r="G1400" s="40" t="s">
        <v>1022</v>
      </c>
      <c r="H1400" s="7" t="s">
        <v>1284</v>
      </c>
      <c r="I1400" s="256">
        <v>100</v>
      </c>
      <c r="J1400" s="256">
        <v>23250</v>
      </c>
      <c r="K1400" s="602">
        <f t="shared" si="447"/>
        <v>2325000</v>
      </c>
      <c r="L1400" s="39" t="s">
        <v>165</v>
      </c>
      <c r="M1400" s="603" t="s">
        <v>159</v>
      </c>
      <c r="N1400" s="39" t="str">
        <f>IF(AND('331-CT'!$E$7=TH!H1400,OR(L1400="331",M1400="331")),"331",IF(AND(OR(L1400="131",M1400="131"),H1400='131-CT'!$E$7),"131",""))</f>
        <v/>
      </c>
      <c r="O1400" s="39" t="str">
        <f>IF(AND($B1400&gt;='111'!$N$11,$B1400&lt;='111'!$O$11,OR($L1400=$O$7,$M1400=$O$7)),"x","")</f>
        <v/>
      </c>
      <c r="P1400" s="39" t="str">
        <f>IF(AND($L1400=$O$7,$B1400&lt;'111'!$N$11),"x","")</f>
        <v/>
      </c>
      <c r="Q1400" s="39" t="str">
        <f>IF(AND($M1400=$O$7,$B1400&lt;'111'!$N$11),"x","")</f>
        <v/>
      </c>
      <c r="R1400" s="39" t="str">
        <f>IF(ISERROR(FIND('112'!$M$9,G1400,1)),"",IF((AND(FIND('112'!$M$9,G1400,1)&gt;=1,$B1400&gt;='112'!$N$8,$B1400&lt;='112'!$O$8,OR($L1400='112'!$I$6,$M1400='112'!$I$6))),"x",""))</f>
        <v/>
      </c>
      <c r="S1400" s="39" t="str">
        <f>IF(ISERROR(FIND('112'!$M$9,G1400,1)),"",IF((AND(LEFT(G1400,2)=LEFT('112'!$M$9,2),B1400&lt;'112'!$N$8,$L1400='112'!$I$6)),"x",""))</f>
        <v/>
      </c>
      <c r="T1400" s="39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39" t="str">
        <f>IF(OR(TH!L1400=TH!$V$7,M1400=TH!$V$7),"x","")</f>
        <v/>
      </c>
      <c r="W1400" s="39" t="str">
        <f>IF(AND(B1400&gt;='IN-NX'!$P$3,B1400&lt;='IN-NX'!$Q$3,'IN-NX'!$D$7=D1400,OR(LEFT(L1400,2)="15",AND(LEFT(M1400,2)&lt;&gt;"15",LEFT(M1400,2)&lt;&gt;"33"))),"x","")</f>
        <v/>
      </c>
      <c r="X1400" s="39" t="str">
        <f>IF(AND(OR(LEFT(TH!L1400,2)="15",LEFT(TH!M1400,2)="15"),'152-CT'!$J$8=TH!F1400),"x","")</f>
        <v/>
      </c>
      <c r="Y1400" s="39" t="str">
        <f>IF(AND(OR(LEFT(TH!L1400,2)="15",LEFT(TH!M1400,2)="15"),TK!$E$7=TH!F1400),"x","")</f>
        <v/>
      </c>
      <c r="Z1400" s="39" t="str">
        <f>IF(AND(B1400&lt;=NKC!$N$8,B1400&gt;=NKC!$M$8),"x","")</f>
        <v/>
      </c>
      <c r="AA1400" s="883"/>
    </row>
    <row r="1401" spans="1:27" s="211" customFormat="1" ht="15.75" customHeight="1">
      <c r="A1401" s="204" t="str">
        <f>IF(B1401&lt;&gt;"",IF(AND(B1401&gt;=_TM1,B1401&lt;=_TM2,OR(TH!L1401="1111",TH!M1401="1111")),TH!D1401,""),"")</f>
        <v/>
      </c>
      <c r="B1401" s="36">
        <f t="shared" si="448"/>
        <v>11</v>
      </c>
      <c r="C1401" s="191">
        <f t="shared" si="446"/>
        <v>41601</v>
      </c>
      <c r="D1401" s="191" t="s">
        <v>1292</v>
      </c>
      <c r="E1401" s="37">
        <v>41601</v>
      </c>
      <c r="F1401" s="40" t="s">
        <v>688</v>
      </c>
      <c r="G1401" s="40" t="s">
        <v>652</v>
      </c>
      <c r="H1401" s="7" t="s">
        <v>1284</v>
      </c>
      <c r="I1401" s="256">
        <v>265</v>
      </c>
      <c r="J1401" s="256">
        <v>16000</v>
      </c>
      <c r="K1401" s="602">
        <f t="shared" si="447"/>
        <v>4240000</v>
      </c>
      <c r="L1401" s="39" t="s">
        <v>165</v>
      </c>
      <c r="M1401" s="603" t="s">
        <v>159</v>
      </c>
      <c r="N1401" s="39" t="str">
        <f>IF(AND('331-CT'!$E$7=TH!H1401,OR(L1401="331",M1401="331")),"331",IF(AND(OR(L1401="131",M1401="131"),H1401='131-CT'!$E$7),"131",""))</f>
        <v/>
      </c>
      <c r="O1401" s="39" t="str">
        <f>IF(AND($B1401&gt;='111'!$N$11,$B1401&lt;='111'!$O$11,OR($L1401=$O$7,$M1401=$O$7)),"x","")</f>
        <v/>
      </c>
      <c r="P1401" s="39" t="str">
        <f>IF(AND($L1401=$O$7,$B1401&lt;'111'!$N$11),"x","")</f>
        <v/>
      </c>
      <c r="Q1401" s="39" t="str">
        <f>IF(AND($M1401=$O$7,$B1401&lt;'111'!$N$11),"x","")</f>
        <v/>
      </c>
      <c r="R1401" s="39" t="str">
        <f>IF(ISERROR(FIND('112'!$M$9,G1401,1)),"",IF((AND(FIND('112'!$M$9,G1401,1)&gt;=1,$B1401&gt;='112'!$N$8,$B1401&lt;='112'!$O$8,OR($L1401='112'!$I$6,$M1401='112'!$I$6))),"x",""))</f>
        <v/>
      </c>
      <c r="S1401" s="39" t="str">
        <f>IF(ISERROR(FIND('112'!$M$9,G1401,1)),"",IF((AND(LEFT(G1401,2)=LEFT('112'!$M$9,2),B1401&lt;'112'!$N$8,$L1401='112'!$I$6)),"x",""))</f>
        <v/>
      </c>
      <c r="T1401" s="39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39" t="str">
        <f>IF(OR(TH!L1401=TH!$V$7,M1401=TH!$V$7),"x","")</f>
        <v/>
      </c>
      <c r="W1401" s="39" t="str">
        <f>IF(AND(B1401&gt;='IN-NX'!$P$3,B1401&lt;='IN-NX'!$Q$3,'IN-NX'!$D$7=D1401,OR(LEFT(L1401,2)="15",AND(LEFT(M1401,2)&lt;&gt;"15",LEFT(M1401,2)&lt;&gt;"33"))),"x","")</f>
        <v/>
      </c>
      <c r="X1401" s="39" t="str">
        <f>IF(AND(OR(LEFT(TH!L1401,2)="15",LEFT(TH!M1401,2)="15"),'152-CT'!$J$8=TH!F1401),"x","")</f>
        <v/>
      </c>
      <c r="Y1401" s="39" t="str">
        <f>IF(AND(OR(LEFT(TH!L1401,2)="15",LEFT(TH!M1401,2)="15"),TK!$E$7=TH!F1401),"x","")</f>
        <v/>
      </c>
      <c r="Z1401" s="39" t="str">
        <f>IF(AND(B1401&lt;=NKC!$N$8,B1401&gt;=NKC!$M$8),"x","")</f>
        <v/>
      </c>
      <c r="AA1401" s="883"/>
    </row>
    <row r="1402" spans="1:27" s="211" customFormat="1" ht="15.75" customHeight="1">
      <c r="A1402" s="204" t="str">
        <f>IF(B1402&lt;&gt;"",IF(AND(B1402&gt;=_TM1,B1402&lt;=_TM2,OR(TH!L1402="1111",TH!M1402="1111")),TH!D1402,""),"")</f>
        <v/>
      </c>
      <c r="B1402" s="36">
        <f t="shared" si="448"/>
        <v>11</v>
      </c>
      <c r="C1402" s="191">
        <f t="shared" si="446"/>
        <v>41601</v>
      </c>
      <c r="D1402" s="191" t="s">
        <v>1292</v>
      </c>
      <c r="E1402" s="37">
        <v>41601</v>
      </c>
      <c r="F1402" s="40" t="s">
        <v>625</v>
      </c>
      <c r="G1402" s="40" t="s">
        <v>652</v>
      </c>
      <c r="H1402" s="7" t="s">
        <v>1284</v>
      </c>
      <c r="I1402" s="256">
        <v>251</v>
      </c>
      <c r="J1402" s="256">
        <v>19514</v>
      </c>
      <c r="K1402" s="602">
        <f t="shared" si="447"/>
        <v>4898014</v>
      </c>
      <c r="L1402" s="39" t="s">
        <v>165</v>
      </c>
      <c r="M1402" s="603" t="s">
        <v>159</v>
      </c>
      <c r="N1402" s="39" t="str">
        <f>IF(AND('331-CT'!$E$7=TH!H1402,OR(L1402="331",M1402="331")),"331",IF(AND(OR(L1402="131",M1402="131"),H1402='131-CT'!$E$7),"131",""))</f>
        <v/>
      </c>
      <c r="O1402" s="39" t="str">
        <f>IF(AND($B1402&gt;='111'!$N$11,$B1402&lt;='111'!$O$11,OR($L1402=$O$7,$M1402=$O$7)),"x","")</f>
        <v/>
      </c>
      <c r="P1402" s="39" t="str">
        <f>IF(AND($L1402=$O$7,$B1402&lt;'111'!$N$11),"x","")</f>
        <v/>
      </c>
      <c r="Q1402" s="39" t="str">
        <f>IF(AND($M1402=$O$7,$B1402&lt;'111'!$N$11),"x","")</f>
        <v/>
      </c>
      <c r="R1402" s="39" t="str">
        <f>IF(ISERROR(FIND('112'!$M$9,G1402,1)),"",IF((AND(FIND('112'!$M$9,G1402,1)&gt;=1,$B1402&gt;='112'!$N$8,$B1402&lt;='112'!$O$8,OR($L1402='112'!$I$6,$M1402='112'!$I$6))),"x",""))</f>
        <v/>
      </c>
      <c r="S1402" s="39" t="str">
        <f>IF(ISERROR(FIND('112'!$M$9,G1402,1)),"",IF((AND(LEFT(G1402,2)=LEFT('112'!$M$9,2),B1402&lt;'112'!$N$8,$L1402='112'!$I$6)),"x",""))</f>
        <v/>
      </c>
      <c r="T1402" s="39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39" t="str">
        <f>IF(OR(TH!L1402=TH!$V$7,M1402=TH!$V$7),"x","")</f>
        <v/>
      </c>
      <c r="W1402" s="39" t="str">
        <f>IF(AND(B1402&gt;='IN-NX'!$P$3,B1402&lt;='IN-NX'!$Q$3,'IN-NX'!$D$7=D1402,OR(LEFT(L1402,2)="15",AND(LEFT(M1402,2)&lt;&gt;"15",LEFT(M1402,2)&lt;&gt;"33"))),"x","")</f>
        <v/>
      </c>
      <c r="X1402" s="39" t="str">
        <f>IF(AND(OR(LEFT(TH!L1402,2)="15",LEFT(TH!M1402,2)="15"),'152-CT'!$J$8=TH!F1402),"x","")</f>
        <v/>
      </c>
      <c r="Y1402" s="39" t="str">
        <f>IF(AND(OR(LEFT(TH!L1402,2)="15",LEFT(TH!M1402,2)="15"),TK!$E$7=TH!F1402),"x","")</f>
        <v/>
      </c>
      <c r="Z1402" s="39" t="str">
        <f>IF(AND(B1402&lt;=NKC!$N$8,B1402&gt;=NKC!$M$8),"x","")</f>
        <v/>
      </c>
      <c r="AA1402" s="883"/>
    </row>
    <row r="1403" spans="1:27" s="211" customFormat="1" ht="15.75" customHeight="1">
      <c r="A1403" s="204" t="str">
        <f>IF(B1403&lt;&gt;"",IF(AND(B1403&gt;=_TM1,B1403&lt;=_TM2,OR(TH!L1403="1111",TH!M1403="1111")),TH!D1403,""),"")</f>
        <v/>
      </c>
      <c r="B1403" s="36">
        <f t="shared" si="448"/>
        <v>11</v>
      </c>
      <c r="C1403" s="191">
        <f t="shared" si="446"/>
        <v>41601</v>
      </c>
      <c r="D1403" s="191" t="s">
        <v>1292</v>
      </c>
      <c r="E1403" s="37">
        <v>41601</v>
      </c>
      <c r="F1403" s="192" t="s">
        <v>1264</v>
      </c>
      <c r="G1403" s="40" t="s">
        <v>652</v>
      </c>
      <c r="H1403" s="7" t="s">
        <v>1284</v>
      </c>
      <c r="I1403" s="256">
        <v>200</v>
      </c>
      <c r="J1403" s="256">
        <v>23543</v>
      </c>
      <c r="K1403" s="602">
        <f t="shared" si="447"/>
        <v>4708600</v>
      </c>
      <c r="L1403" s="39" t="s">
        <v>165</v>
      </c>
      <c r="M1403" s="603" t="s">
        <v>159</v>
      </c>
      <c r="N1403" s="39" t="str">
        <f>IF(AND('331-CT'!$E$7=TH!H1403,OR(L1403="331",M1403="331")),"331",IF(AND(OR(L1403="131",M1403="131"),H1403='131-CT'!$E$7),"131",""))</f>
        <v/>
      </c>
      <c r="O1403" s="39" t="str">
        <f>IF(AND($B1403&gt;='111'!$N$11,$B1403&lt;='111'!$O$11,OR($L1403=$O$7,$M1403=$O$7)),"x","")</f>
        <v/>
      </c>
      <c r="P1403" s="39" t="str">
        <f>IF(AND($L1403=$O$7,$B1403&lt;'111'!$N$11),"x","")</f>
        <v/>
      </c>
      <c r="Q1403" s="39" t="str">
        <f>IF(AND($M1403=$O$7,$B1403&lt;'111'!$N$11),"x","")</f>
        <v/>
      </c>
      <c r="R1403" s="39" t="str">
        <f>IF(ISERROR(FIND('112'!$M$9,G1403,1)),"",IF((AND(FIND('112'!$M$9,G1403,1)&gt;=1,$B1403&gt;='112'!$N$8,$B1403&lt;='112'!$O$8,OR($L1403='112'!$I$6,$M1403='112'!$I$6))),"x",""))</f>
        <v/>
      </c>
      <c r="S1403" s="39" t="str">
        <f>IF(ISERROR(FIND('112'!$M$9,G1403,1)),"",IF((AND(LEFT(G1403,2)=LEFT('112'!$M$9,2),B1403&lt;'112'!$N$8,$L1403='112'!$I$6)),"x",""))</f>
        <v/>
      </c>
      <c r="T1403" s="39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39" t="str">
        <f>IF(OR(TH!L1403=TH!$V$7,M1403=TH!$V$7),"x","")</f>
        <v/>
      </c>
      <c r="W1403" s="39" t="str">
        <f>IF(AND(B1403&gt;='IN-NX'!$P$3,B1403&lt;='IN-NX'!$Q$3,'IN-NX'!$D$7=D1403,OR(LEFT(L1403,2)="15",AND(LEFT(M1403,2)&lt;&gt;"15",LEFT(M1403,2)&lt;&gt;"33"))),"x","")</f>
        <v/>
      </c>
      <c r="X1403" s="39" t="str">
        <f>IF(AND(OR(LEFT(TH!L1403,2)="15",LEFT(TH!M1403,2)="15"),'152-CT'!$J$8=TH!F1403),"x","")</f>
        <v/>
      </c>
      <c r="Y1403" s="39" t="str">
        <f>IF(AND(OR(LEFT(TH!L1403,2)="15",LEFT(TH!M1403,2)="15"),TK!$E$7=TH!F1403),"x","")</f>
        <v/>
      </c>
      <c r="Z1403" s="39" t="str">
        <f>IF(AND(B1403&lt;=NKC!$N$8,B1403&gt;=NKC!$M$8),"x","")</f>
        <v/>
      </c>
      <c r="AA1403" s="883"/>
    </row>
    <row r="1404" spans="1:27" s="211" customFormat="1" ht="15.75" customHeight="1">
      <c r="A1404" s="204" t="str">
        <f>IF(B1404&lt;&gt;"",IF(AND(B1404&gt;=_TM1,B1404&lt;=_TM2,OR(TH!L1404="1111",TH!M1404="1111")),TH!D1404,""),"")</f>
        <v/>
      </c>
      <c r="B1404" s="36">
        <f t="shared" si="448"/>
        <v>11</v>
      </c>
      <c r="C1404" s="191">
        <f t="shared" si="446"/>
        <v>41603</v>
      </c>
      <c r="D1404" s="191" t="s">
        <v>1292</v>
      </c>
      <c r="E1404" s="37">
        <v>41603</v>
      </c>
      <c r="F1404" s="40" t="s">
        <v>610</v>
      </c>
      <c r="G1404" s="40" t="s">
        <v>1024</v>
      </c>
      <c r="H1404" s="7" t="s">
        <v>1284</v>
      </c>
      <c r="I1404" s="256">
        <v>259</v>
      </c>
      <c r="J1404" s="256">
        <v>17473</v>
      </c>
      <c r="K1404" s="602">
        <f t="shared" si="447"/>
        <v>4525507</v>
      </c>
      <c r="L1404" s="39" t="s">
        <v>165</v>
      </c>
      <c r="M1404" s="603" t="s">
        <v>159</v>
      </c>
      <c r="N1404" s="39" t="str">
        <f>IF(AND('331-CT'!$E$7=TH!H1404,OR(L1404="331",M1404="331")),"331",IF(AND(OR(L1404="131",M1404="131"),H1404='131-CT'!$E$7),"131",""))</f>
        <v/>
      </c>
      <c r="O1404" s="39" t="str">
        <f>IF(AND($B1404&gt;='111'!$N$11,$B1404&lt;='111'!$O$11,OR($L1404=$O$7,$M1404=$O$7)),"x","")</f>
        <v/>
      </c>
      <c r="P1404" s="39" t="str">
        <f>IF(AND($L1404=$O$7,$B1404&lt;'111'!$N$11),"x","")</f>
        <v/>
      </c>
      <c r="Q1404" s="39" t="str">
        <f>IF(AND($M1404=$O$7,$B1404&lt;'111'!$N$11),"x","")</f>
        <v/>
      </c>
      <c r="R1404" s="39" t="str">
        <f>IF(ISERROR(FIND('112'!$M$9,G1404,1)),"",IF((AND(FIND('112'!$M$9,G1404,1)&gt;=1,$B1404&gt;='112'!$N$8,$B1404&lt;='112'!$O$8,OR($L1404='112'!$I$6,$M1404='112'!$I$6))),"x",""))</f>
        <v/>
      </c>
      <c r="S1404" s="39" t="str">
        <f>IF(ISERROR(FIND('112'!$M$9,G1404,1)),"",IF((AND(LEFT(G1404,2)=LEFT('112'!$M$9,2),B1404&lt;'112'!$N$8,$L1404='112'!$I$6)),"x",""))</f>
        <v/>
      </c>
      <c r="T1404" s="39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39" t="str">
        <f>IF(OR(TH!L1404=TH!$V$7,M1404=TH!$V$7),"x","")</f>
        <v/>
      </c>
      <c r="W1404" s="39" t="str">
        <f>IF(AND(B1404&gt;='IN-NX'!$P$3,B1404&lt;='IN-NX'!$Q$3,'IN-NX'!$D$7=D1404,OR(LEFT(L1404,2)="15",AND(LEFT(M1404,2)&lt;&gt;"15",LEFT(M1404,2)&lt;&gt;"33"))),"x","")</f>
        <v/>
      </c>
      <c r="X1404" s="39" t="str">
        <f>IF(AND(OR(LEFT(TH!L1404,2)="15",LEFT(TH!M1404,2)="15"),'152-CT'!$J$8=TH!F1404),"x","")</f>
        <v/>
      </c>
      <c r="Y1404" s="39" t="str">
        <f>IF(AND(OR(LEFT(TH!L1404,2)="15",LEFT(TH!M1404,2)="15"),TK!$E$7=TH!F1404),"x","")</f>
        <v/>
      </c>
      <c r="Z1404" s="39" t="str">
        <f>IF(AND(B1404&lt;=NKC!$N$8,B1404&gt;=NKC!$M$8),"x","")</f>
        <v/>
      </c>
      <c r="AA1404" s="883"/>
    </row>
    <row r="1405" spans="1:27" s="211" customFormat="1" ht="15.75" customHeight="1">
      <c r="A1405" s="204" t="str">
        <f>IF(B1405&lt;&gt;"",IF(AND(B1405&gt;=_TM1,B1405&lt;=_TM2,OR(TH!L1405="1111",TH!M1405="1111")),TH!D1405,""),"")</f>
        <v/>
      </c>
      <c r="B1405" s="36">
        <f t="shared" si="448"/>
        <v>11</v>
      </c>
      <c r="C1405" s="191">
        <f t="shared" si="446"/>
        <v>41603</v>
      </c>
      <c r="D1405" s="191" t="s">
        <v>1292</v>
      </c>
      <c r="E1405" s="37">
        <v>41603</v>
      </c>
      <c r="F1405" s="40" t="s">
        <v>1230</v>
      </c>
      <c r="G1405" s="40" t="s">
        <v>1024</v>
      </c>
      <c r="H1405" s="7" t="s">
        <v>1284</v>
      </c>
      <c r="I1405" s="256">
        <v>125</v>
      </c>
      <c r="J1405" s="256">
        <v>22301</v>
      </c>
      <c r="K1405" s="602">
        <f t="shared" si="447"/>
        <v>2787625</v>
      </c>
      <c r="L1405" s="39" t="s">
        <v>165</v>
      </c>
      <c r="M1405" s="603" t="s">
        <v>159</v>
      </c>
      <c r="N1405" s="39" t="str">
        <f>IF(AND('331-CT'!$E$7=TH!H1405,OR(L1405="331",M1405="331")),"331",IF(AND(OR(L1405="131",M1405="131"),H1405='131-CT'!$E$7),"131",""))</f>
        <v/>
      </c>
      <c r="O1405" s="39" t="str">
        <f>IF(AND($B1405&gt;='111'!$N$11,$B1405&lt;='111'!$O$11,OR($L1405=$O$7,$M1405=$O$7)),"x","")</f>
        <v/>
      </c>
      <c r="P1405" s="39" t="str">
        <f>IF(AND($L1405=$O$7,$B1405&lt;'111'!$N$11),"x","")</f>
        <v/>
      </c>
      <c r="Q1405" s="39" t="str">
        <f>IF(AND($M1405=$O$7,$B1405&lt;'111'!$N$11),"x","")</f>
        <v/>
      </c>
      <c r="R1405" s="39" t="str">
        <f>IF(ISERROR(FIND('112'!$M$9,G1405,1)),"",IF((AND(FIND('112'!$M$9,G1405,1)&gt;=1,$B1405&gt;='112'!$N$8,$B1405&lt;='112'!$O$8,OR($L1405='112'!$I$6,$M1405='112'!$I$6))),"x",""))</f>
        <v/>
      </c>
      <c r="S1405" s="39" t="str">
        <f>IF(ISERROR(FIND('112'!$M$9,G1405,1)),"",IF((AND(LEFT(G1405,2)=LEFT('112'!$M$9,2),B1405&lt;'112'!$N$8,$L1405='112'!$I$6)),"x",""))</f>
        <v/>
      </c>
      <c r="T1405" s="39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39" t="str">
        <f>IF(OR(TH!L1405=TH!$V$7,M1405=TH!$V$7),"x","")</f>
        <v/>
      </c>
      <c r="W1405" s="39" t="str">
        <f>IF(AND(B1405&gt;='IN-NX'!$P$3,B1405&lt;='IN-NX'!$Q$3,'IN-NX'!$D$7=D1405,OR(LEFT(L1405,2)="15",AND(LEFT(M1405,2)&lt;&gt;"15",LEFT(M1405,2)&lt;&gt;"33"))),"x","")</f>
        <v/>
      </c>
      <c r="X1405" s="39" t="str">
        <f>IF(AND(OR(LEFT(TH!L1405,2)="15",LEFT(TH!M1405,2)="15"),'152-CT'!$J$8=TH!F1405),"x","")</f>
        <v/>
      </c>
      <c r="Y1405" s="39" t="str">
        <f>IF(AND(OR(LEFT(TH!L1405,2)="15",LEFT(TH!M1405,2)="15"),TK!$E$7=TH!F1405),"x","")</f>
        <v/>
      </c>
      <c r="Z1405" s="39" t="str">
        <f>IF(AND(B1405&lt;=NKC!$N$8,B1405&gt;=NKC!$M$8),"x","")</f>
        <v/>
      </c>
      <c r="AA1405" s="883"/>
    </row>
    <row r="1406" spans="1:27" s="211" customFormat="1" ht="15.75" customHeight="1">
      <c r="A1406" s="204" t="str">
        <f>IF(B1406&lt;&gt;"",IF(AND(B1406&gt;=_TM1,B1406&lt;=_TM2,OR(TH!L1406="1111",TH!M1406="1111")),TH!D1406,""),"")</f>
        <v/>
      </c>
      <c r="B1406" s="36">
        <f t="shared" si="448"/>
        <v>11</v>
      </c>
      <c r="C1406" s="191">
        <f t="shared" si="446"/>
        <v>41603</v>
      </c>
      <c r="D1406" s="191" t="s">
        <v>1292</v>
      </c>
      <c r="E1406" s="37">
        <v>41603</v>
      </c>
      <c r="F1406" s="189" t="s">
        <v>688</v>
      </c>
      <c r="G1406" s="40" t="s">
        <v>658</v>
      </c>
      <c r="H1406" s="7" t="s">
        <v>1284</v>
      </c>
      <c r="I1406" s="256">
        <v>240</v>
      </c>
      <c r="J1406" s="256">
        <v>16000</v>
      </c>
      <c r="K1406" s="602">
        <f t="shared" si="447"/>
        <v>3840000</v>
      </c>
      <c r="L1406" s="39" t="s">
        <v>165</v>
      </c>
      <c r="M1406" s="603" t="s">
        <v>159</v>
      </c>
      <c r="N1406" s="39" t="str">
        <f>IF(AND('331-CT'!$E$7=TH!H1406,OR(L1406="331",M1406="331")),"331",IF(AND(OR(L1406="131",M1406="131"),H1406='131-CT'!$E$7),"131",""))</f>
        <v/>
      </c>
      <c r="O1406" s="39" t="str">
        <f>IF(AND($B1406&gt;='111'!$N$11,$B1406&lt;='111'!$O$11,OR($L1406=$O$7,$M1406=$O$7)),"x","")</f>
        <v/>
      </c>
      <c r="P1406" s="39" t="str">
        <f>IF(AND($L1406=$O$7,$B1406&lt;'111'!$N$11),"x","")</f>
        <v/>
      </c>
      <c r="Q1406" s="39" t="str">
        <f>IF(AND($M1406=$O$7,$B1406&lt;'111'!$N$11),"x","")</f>
        <v/>
      </c>
      <c r="R1406" s="39" t="str">
        <f>IF(ISERROR(FIND('112'!$M$9,G1406,1)),"",IF((AND(FIND('112'!$M$9,G1406,1)&gt;=1,$B1406&gt;='112'!$N$8,$B1406&lt;='112'!$O$8,OR($L1406='112'!$I$6,$M1406='112'!$I$6))),"x",""))</f>
        <v/>
      </c>
      <c r="S1406" s="39" t="str">
        <f>IF(ISERROR(FIND('112'!$M$9,G1406,1)),"",IF((AND(LEFT(G1406,2)=LEFT('112'!$M$9,2),B1406&lt;'112'!$N$8,$L1406='112'!$I$6)),"x",""))</f>
        <v/>
      </c>
      <c r="T1406" s="39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39" t="str">
        <f>IF(OR(TH!L1406=TH!$V$7,M1406=TH!$V$7),"x","")</f>
        <v/>
      </c>
      <c r="W1406" s="39" t="str">
        <f>IF(AND(B1406&gt;='IN-NX'!$P$3,B1406&lt;='IN-NX'!$Q$3,'IN-NX'!$D$7=D1406,OR(LEFT(L1406,2)="15",AND(LEFT(M1406,2)&lt;&gt;"15",LEFT(M1406,2)&lt;&gt;"33"))),"x","")</f>
        <v/>
      </c>
      <c r="X1406" s="39" t="str">
        <f>IF(AND(OR(LEFT(TH!L1406,2)="15",LEFT(TH!M1406,2)="15"),'152-CT'!$J$8=TH!F1406),"x","")</f>
        <v/>
      </c>
      <c r="Y1406" s="39" t="str">
        <f>IF(AND(OR(LEFT(TH!L1406,2)="15",LEFT(TH!M1406,2)="15"),TK!$E$7=TH!F1406),"x","")</f>
        <v/>
      </c>
      <c r="Z1406" s="39" t="str">
        <f>IF(AND(B1406&lt;=NKC!$N$8,B1406&gt;=NKC!$M$8),"x","")</f>
        <v/>
      </c>
      <c r="AA1406" s="883"/>
    </row>
    <row r="1407" spans="1:27" s="211" customFormat="1" ht="15.75" customHeight="1">
      <c r="A1407" s="204" t="str">
        <f>IF(B1407&lt;&gt;"",IF(AND(B1407&gt;=_TM1,B1407&lt;=_TM2,OR(TH!L1407="1111",TH!M1407="1111")),TH!D1407,""),"")</f>
        <v/>
      </c>
      <c r="B1407" s="36">
        <f t="shared" si="448"/>
        <v>11</v>
      </c>
      <c r="C1407" s="191">
        <f t="shared" si="446"/>
        <v>41605</v>
      </c>
      <c r="D1407" s="191" t="s">
        <v>1292</v>
      </c>
      <c r="E1407" s="37">
        <v>41605</v>
      </c>
      <c r="F1407" s="40" t="s">
        <v>1205</v>
      </c>
      <c r="G1407" s="40" t="s">
        <v>1025</v>
      </c>
      <c r="H1407" s="7" t="s">
        <v>1284</v>
      </c>
      <c r="I1407" s="256">
        <v>200</v>
      </c>
      <c r="J1407" s="256">
        <v>11712</v>
      </c>
      <c r="K1407" s="602">
        <f t="shared" si="447"/>
        <v>2342400</v>
      </c>
      <c r="L1407" s="39" t="s">
        <v>165</v>
      </c>
      <c r="M1407" s="603" t="s">
        <v>159</v>
      </c>
      <c r="N1407" s="39" t="str">
        <f>IF(AND('331-CT'!$E$7=TH!H1407,OR(L1407="331",M1407="331")),"331",IF(AND(OR(L1407="131",M1407="131"),H1407='131-CT'!$E$7),"131",""))</f>
        <v/>
      </c>
      <c r="O1407" s="39" t="str">
        <f>IF(AND($B1407&gt;='111'!$N$11,$B1407&lt;='111'!$O$11,OR($L1407=$O$7,$M1407=$O$7)),"x","")</f>
        <v/>
      </c>
      <c r="P1407" s="39" t="str">
        <f>IF(AND($L1407=$O$7,$B1407&lt;'111'!$N$11),"x","")</f>
        <v/>
      </c>
      <c r="Q1407" s="39" t="str">
        <f>IF(AND($M1407=$O$7,$B1407&lt;'111'!$N$11),"x","")</f>
        <v/>
      </c>
      <c r="R1407" s="39" t="str">
        <f>IF(ISERROR(FIND('112'!$M$9,G1407,1)),"",IF((AND(FIND('112'!$M$9,G1407,1)&gt;=1,$B1407&gt;='112'!$N$8,$B1407&lt;='112'!$O$8,OR($L1407='112'!$I$6,$M1407='112'!$I$6))),"x",""))</f>
        <v/>
      </c>
      <c r="S1407" s="39" t="str">
        <f>IF(ISERROR(FIND('112'!$M$9,G1407,1)),"",IF((AND(LEFT(G1407,2)=LEFT('112'!$M$9,2),B1407&lt;'112'!$N$8,$L1407='112'!$I$6)),"x",""))</f>
        <v/>
      </c>
      <c r="T1407" s="39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39" t="str">
        <f>IF(OR(TH!L1407=TH!$V$7,M1407=TH!$V$7),"x","")</f>
        <v/>
      </c>
      <c r="W1407" s="39" t="str">
        <f>IF(AND(B1407&gt;='IN-NX'!$P$3,B1407&lt;='IN-NX'!$Q$3,'IN-NX'!$D$7=D1407,OR(LEFT(L1407,2)="15",AND(LEFT(M1407,2)&lt;&gt;"15",LEFT(M1407,2)&lt;&gt;"33"))),"x","")</f>
        <v/>
      </c>
      <c r="X1407" s="39" t="str">
        <f>IF(AND(OR(LEFT(TH!L1407,2)="15",LEFT(TH!M1407,2)="15"),'152-CT'!$J$8=TH!F1407),"x","")</f>
        <v/>
      </c>
      <c r="Y1407" s="39" t="str">
        <f>IF(AND(OR(LEFT(TH!L1407,2)="15",LEFT(TH!M1407,2)="15"),TK!$E$7=TH!F1407),"x","")</f>
        <v/>
      </c>
      <c r="Z1407" s="39" t="str">
        <f>IF(AND(B1407&lt;=NKC!$N$8,B1407&gt;=NKC!$M$8),"x","")</f>
        <v/>
      </c>
      <c r="AA1407" s="883"/>
    </row>
    <row r="1408" spans="1:27" s="211" customFormat="1" ht="15.75" customHeight="1">
      <c r="A1408" s="204" t="str">
        <f>IF(B1408&lt;&gt;"",IF(AND(B1408&gt;=_TM1,B1408&lt;=_TM2,OR(TH!L1408="1111",TH!M1408="1111")),TH!D1408,""),"")</f>
        <v/>
      </c>
      <c r="B1408" s="36">
        <f t="shared" si="448"/>
        <v>11</v>
      </c>
      <c r="C1408" s="191">
        <f t="shared" si="446"/>
        <v>41605</v>
      </c>
      <c r="D1408" s="191" t="s">
        <v>1292</v>
      </c>
      <c r="E1408" s="37">
        <v>41605</v>
      </c>
      <c r="F1408" s="40" t="s">
        <v>1203</v>
      </c>
      <c r="G1408" s="40" t="s">
        <v>1025</v>
      </c>
      <c r="H1408" s="7" t="s">
        <v>1284</v>
      </c>
      <c r="I1408" s="256">
        <v>150</v>
      </c>
      <c r="J1408" s="256">
        <v>12606</v>
      </c>
      <c r="K1408" s="602">
        <f t="shared" si="447"/>
        <v>1890900</v>
      </c>
      <c r="L1408" s="39" t="s">
        <v>165</v>
      </c>
      <c r="M1408" s="603" t="s">
        <v>159</v>
      </c>
      <c r="N1408" s="39" t="str">
        <f>IF(AND('331-CT'!$E$7=TH!H1408,OR(L1408="331",M1408="331")),"331",IF(AND(OR(L1408="131",M1408="131"),H1408='131-CT'!$E$7),"131",""))</f>
        <v/>
      </c>
      <c r="O1408" s="39" t="str">
        <f>IF(AND($B1408&gt;='111'!$N$11,$B1408&lt;='111'!$O$11,OR($L1408=$O$7,$M1408=$O$7)),"x","")</f>
        <v/>
      </c>
      <c r="P1408" s="39" t="str">
        <f>IF(AND($L1408=$O$7,$B1408&lt;'111'!$N$11),"x","")</f>
        <v/>
      </c>
      <c r="Q1408" s="39" t="str">
        <f>IF(AND($M1408=$O$7,$B1408&lt;'111'!$N$11),"x","")</f>
        <v/>
      </c>
      <c r="R1408" s="39" t="str">
        <f>IF(ISERROR(FIND('112'!$M$9,G1408,1)),"",IF((AND(FIND('112'!$M$9,G1408,1)&gt;=1,$B1408&gt;='112'!$N$8,$B1408&lt;='112'!$O$8,OR($L1408='112'!$I$6,$M1408='112'!$I$6))),"x",""))</f>
        <v/>
      </c>
      <c r="S1408" s="39" t="str">
        <f>IF(ISERROR(FIND('112'!$M$9,G1408,1)),"",IF((AND(LEFT(G1408,2)=LEFT('112'!$M$9,2),B1408&lt;'112'!$N$8,$L1408='112'!$I$6)),"x",""))</f>
        <v/>
      </c>
      <c r="T1408" s="39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39" t="str">
        <f>IF(OR(TH!L1408=TH!$V$7,M1408=TH!$V$7),"x","")</f>
        <v/>
      </c>
      <c r="W1408" s="39" t="str">
        <f>IF(AND(B1408&gt;='IN-NX'!$P$3,B1408&lt;='IN-NX'!$Q$3,'IN-NX'!$D$7=D1408,OR(LEFT(L1408,2)="15",AND(LEFT(M1408,2)&lt;&gt;"15",LEFT(M1408,2)&lt;&gt;"33"))),"x","")</f>
        <v/>
      </c>
      <c r="X1408" s="39" t="str">
        <f>IF(AND(OR(LEFT(TH!L1408,2)="15",LEFT(TH!M1408,2)="15"),'152-CT'!$J$8=TH!F1408),"x","")</f>
        <v/>
      </c>
      <c r="Y1408" s="39" t="str">
        <f>IF(AND(OR(LEFT(TH!L1408,2)="15",LEFT(TH!M1408,2)="15"),TK!$E$7=TH!F1408),"x","")</f>
        <v/>
      </c>
      <c r="Z1408" s="39" t="str">
        <f>IF(AND(B1408&lt;=NKC!$N$8,B1408&gt;=NKC!$M$8),"x","")</f>
        <v/>
      </c>
      <c r="AA1408" s="883"/>
    </row>
    <row r="1409" spans="1:27" s="211" customFormat="1" ht="15.75" customHeight="1">
      <c r="A1409" s="204" t="str">
        <f>IF(B1409&lt;&gt;"",IF(AND(B1409&gt;=_TM1,B1409&lt;=_TM2,OR(TH!L1409="1111",TH!M1409="1111")),TH!D1409,""),"")</f>
        <v/>
      </c>
      <c r="B1409" s="36">
        <f t="shared" si="448"/>
        <v>11</v>
      </c>
      <c r="C1409" s="191">
        <f t="shared" si="446"/>
        <v>41605</v>
      </c>
      <c r="D1409" s="191" t="s">
        <v>1292</v>
      </c>
      <c r="E1409" s="191">
        <v>41605</v>
      </c>
      <c r="F1409" s="192" t="s">
        <v>1224</v>
      </c>
      <c r="G1409" s="487" t="s">
        <v>1025</v>
      </c>
      <c r="H1409" s="7" t="s">
        <v>1284</v>
      </c>
      <c r="I1409" s="256">
        <v>40</v>
      </c>
      <c r="J1409" s="256">
        <v>19950</v>
      </c>
      <c r="K1409" s="602">
        <f t="shared" si="447"/>
        <v>798000</v>
      </c>
      <c r="L1409" s="39" t="s">
        <v>165</v>
      </c>
      <c r="M1409" s="603" t="s">
        <v>159</v>
      </c>
      <c r="N1409" s="39" t="str">
        <f>IF(AND('331-CT'!$E$7=TH!H1409,OR(L1409="331",M1409="331")),"331",IF(AND(OR(L1409="131",M1409="131"),H1409='131-CT'!$E$7),"131",""))</f>
        <v/>
      </c>
      <c r="O1409" s="39" t="str">
        <f>IF(AND($B1409&gt;='111'!$N$11,$B1409&lt;='111'!$O$11,OR($L1409=$O$7,$M1409=$O$7)),"x","")</f>
        <v/>
      </c>
      <c r="P1409" s="39" t="str">
        <f>IF(AND($L1409=$O$7,$B1409&lt;'111'!$N$11),"x","")</f>
        <v/>
      </c>
      <c r="Q1409" s="39" t="str">
        <f>IF(AND($M1409=$O$7,$B1409&lt;'111'!$N$11),"x","")</f>
        <v/>
      </c>
      <c r="R1409" s="39" t="str">
        <f>IF(ISERROR(FIND('112'!$M$9,G1409,1)),"",IF((AND(FIND('112'!$M$9,G1409,1)&gt;=1,$B1409&gt;='112'!$N$8,$B1409&lt;='112'!$O$8,OR($L1409='112'!$I$6,$M1409='112'!$I$6))),"x",""))</f>
        <v/>
      </c>
      <c r="S1409" s="39" t="str">
        <f>IF(ISERROR(FIND('112'!$M$9,G1409,1)),"",IF((AND(LEFT(G1409,2)=LEFT('112'!$M$9,2),B1409&lt;'112'!$N$8,$L1409='112'!$I$6)),"x",""))</f>
        <v/>
      </c>
      <c r="T1409" s="39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39" t="str">
        <f>IF(OR(TH!L1409=TH!$V$7,M1409=TH!$V$7),"x","")</f>
        <v/>
      </c>
      <c r="W1409" s="39" t="str">
        <f>IF(AND(B1409&gt;='IN-NX'!$P$3,B1409&lt;='IN-NX'!$Q$3,'IN-NX'!$D$7=D1409,OR(LEFT(L1409,2)="15",AND(LEFT(M1409,2)&lt;&gt;"15",LEFT(M1409,2)&lt;&gt;"33"))),"x","")</f>
        <v/>
      </c>
      <c r="X1409" s="39" t="str">
        <f>IF(AND(OR(LEFT(TH!L1409,2)="15",LEFT(TH!M1409,2)="15"),'152-CT'!$J$8=TH!F1409),"x","")</f>
        <v/>
      </c>
      <c r="Y1409" s="39" t="str">
        <f>IF(AND(OR(LEFT(TH!L1409,2)="15",LEFT(TH!M1409,2)="15"),TK!$E$7=TH!F1409),"x","")</f>
        <v/>
      </c>
      <c r="Z1409" s="39" t="str">
        <f>IF(AND(B1409&lt;=NKC!$N$8,B1409&gt;=NKC!$M$8),"x","")</f>
        <v/>
      </c>
      <c r="AA1409" s="883"/>
    </row>
    <row r="1410" spans="1:27" s="211" customFormat="1" ht="15.75" customHeight="1">
      <c r="A1410" s="204" t="str">
        <f>IF(B1410&lt;&gt;"",IF(AND(B1410&gt;=_TM1,B1410&lt;=_TM2,OR(TH!L1410="1111",TH!M1410="1111")),TH!D1410,""),"")</f>
        <v/>
      </c>
      <c r="B1410" s="36">
        <f t="shared" si="448"/>
        <v>11</v>
      </c>
      <c r="C1410" s="191">
        <f t="shared" si="446"/>
        <v>41605</v>
      </c>
      <c r="D1410" s="191" t="s">
        <v>1292</v>
      </c>
      <c r="E1410" s="191">
        <v>41605</v>
      </c>
      <c r="F1410" s="192" t="s">
        <v>688</v>
      </c>
      <c r="G1410" s="487" t="s">
        <v>1027</v>
      </c>
      <c r="H1410" s="7" t="s">
        <v>1284</v>
      </c>
      <c r="I1410" s="256">
        <v>1236</v>
      </c>
      <c r="J1410" s="256">
        <v>16000</v>
      </c>
      <c r="K1410" s="602">
        <f t="shared" si="447"/>
        <v>19776000</v>
      </c>
      <c r="L1410" s="39" t="s">
        <v>165</v>
      </c>
      <c r="M1410" s="603" t="s">
        <v>159</v>
      </c>
      <c r="N1410" s="39" t="str">
        <f>IF(AND('331-CT'!$E$7=TH!H1410,OR(L1410="331",M1410="331")),"331",IF(AND(OR(L1410="131",M1410="131"),H1410='131-CT'!$E$7),"131",""))</f>
        <v/>
      </c>
      <c r="O1410" s="39" t="str">
        <f>IF(AND($B1410&gt;='111'!$N$11,$B1410&lt;='111'!$O$11,OR($L1410=$O$7,$M1410=$O$7)),"x","")</f>
        <v/>
      </c>
      <c r="P1410" s="39" t="str">
        <f>IF(AND($L1410=$O$7,$B1410&lt;'111'!$N$11),"x","")</f>
        <v/>
      </c>
      <c r="Q1410" s="39" t="str">
        <f>IF(AND($M1410=$O$7,$B1410&lt;'111'!$N$11),"x","")</f>
        <v/>
      </c>
      <c r="R1410" s="39" t="str">
        <f>IF(ISERROR(FIND('112'!$M$9,G1410,1)),"",IF((AND(FIND('112'!$M$9,G1410,1)&gt;=1,$B1410&gt;='112'!$N$8,$B1410&lt;='112'!$O$8,OR($L1410='112'!$I$6,$M1410='112'!$I$6))),"x",""))</f>
        <v/>
      </c>
      <c r="S1410" s="39" t="str">
        <f>IF(ISERROR(FIND('112'!$M$9,G1410,1)),"",IF((AND(LEFT(G1410,2)=LEFT('112'!$M$9,2),B1410&lt;'112'!$N$8,$L1410='112'!$I$6)),"x",""))</f>
        <v/>
      </c>
      <c r="T1410" s="39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39" t="str">
        <f>IF(OR(TH!L1410=TH!$V$7,M1410=TH!$V$7),"x","")</f>
        <v/>
      </c>
      <c r="W1410" s="39" t="str">
        <f>IF(AND(B1410&gt;='IN-NX'!$P$3,B1410&lt;='IN-NX'!$Q$3,'IN-NX'!$D$7=D1410,OR(LEFT(L1410,2)="15",AND(LEFT(M1410,2)&lt;&gt;"15",LEFT(M1410,2)&lt;&gt;"33"))),"x","")</f>
        <v/>
      </c>
      <c r="X1410" s="39" t="str">
        <f>IF(AND(OR(LEFT(TH!L1410,2)="15",LEFT(TH!M1410,2)="15"),'152-CT'!$J$8=TH!F1410),"x","")</f>
        <v/>
      </c>
      <c r="Y1410" s="39" t="str">
        <f>IF(AND(OR(LEFT(TH!L1410,2)="15",LEFT(TH!M1410,2)="15"),TK!$E$7=TH!F1410),"x","")</f>
        <v/>
      </c>
      <c r="Z1410" s="39" t="str">
        <f>IF(AND(B1410&lt;=NKC!$N$8,B1410&gt;=NKC!$M$8),"x","")</f>
        <v/>
      </c>
      <c r="AA1410" s="883"/>
    </row>
    <row r="1411" spans="1:27" s="211" customFormat="1" ht="15.75" customHeight="1">
      <c r="A1411" s="204" t="str">
        <f>IF(B1411&lt;&gt;"",IF(AND(B1411&gt;=_TM1,B1411&lt;=_TM2,OR(TH!L1411="1111",TH!M1411="1111")),TH!D1411,""),"")</f>
        <v/>
      </c>
      <c r="B1411" s="36">
        <f t="shared" si="448"/>
        <v>12</v>
      </c>
      <c r="C1411" s="191">
        <f t="shared" si="446"/>
        <v>41609</v>
      </c>
      <c r="D1411" s="191" t="s">
        <v>1292</v>
      </c>
      <c r="E1411" s="191">
        <v>41609</v>
      </c>
      <c r="F1411" s="192" t="s">
        <v>587</v>
      </c>
      <c r="G1411" s="487" t="s">
        <v>1028</v>
      </c>
      <c r="H1411" s="7" t="s">
        <v>1284</v>
      </c>
      <c r="I1411" s="256">
        <v>260</v>
      </c>
      <c r="J1411" s="256">
        <v>16626</v>
      </c>
      <c r="K1411" s="602">
        <f t="shared" si="447"/>
        <v>4322760</v>
      </c>
      <c r="L1411" s="39" t="s">
        <v>165</v>
      </c>
      <c r="M1411" s="603" t="s">
        <v>159</v>
      </c>
      <c r="N1411" s="39" t="str">
        <f>IF(AND('331-CT'!$E$7=TH!H1411,OR(L1411="331",M1411="331")),"331",IF(AND(OR(L1411="131",M1411="131"),H1411='131-CT'!$E$7),"131",""))</f>
        <v/>
      </c>
      <c r="O1411" s="39" t="str">
        <f>IF(AND($B1411&gt;='111'!$N$11,$B1411&lt;='111'!$O$11,OR($L1411=$O$7,$M1411=$O$7)),"x","")</f>
        <v/>
      </c>
      <c r="P1411" s="39" t="str">
        <f>IF(AND($L1411=$O$7,$B1411&lt;'111'!$N$11),"x","")</f>
        <v/>
      </c>
      <c r="Q1411" s="39" t="str">
        <f>IF(AND($M1411=$O$7,$B1411&lt;'111'!$N$11),"x","")</f>
        <v/>
      </c>
      <c r="R1411" s="39" t="str">
        <f>IF(ISERROR(FIND('112'!$M$9,G1411,1)),"",IF((AND(FIND('112'!$M$9,G1411,1)&gt;=1,$B1411&gt;='112'!$N$8,$B1411&lt;='112'!$O$8,OR($L1411='112'!$I$6,$M1411='112'!$I$6))),"x",""))</f>
        <v/>
      </c>
      <c r="S1411" s="39" t="str">
        <f>IF(ISERROR(FIND('112'!$M$9,G1411,1)),"",IF((AND(LEFT(G1411,2)=LEFT('112'!$M$9,2),B1411&lt;'112'!$N$8,$L1411='112'!$I$6)),"x",""))</f>
        <v/>
      </c>
      <c r="T1411" s="39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39" t="str">
        <f>IF(OR(TH!L1411=TH!$V$7,M1411=TH!$V$7),"x","")</f>
        <v/>
      </c>
      <c r="W1411" s="39" t="str">
        <f>IF(AND(B1411&gt;='IN-NX'!$P$3,B1411&lt;='IN-NX'!$Q$3,'IN-NX'!$D$7=D1411,OR(LEFT(L1411,2)="15",AND(LEFT(M1411,2)&lt;&gt;"15",LEFT(M1411,2)&lt;&gt;"33"))),"x","")</f>
        <v/>
      </c>
      <c r="X1411" s="39" t="str">
        <f>IF(AND(OR(LEFT(TH!L1411,2)="15",LEFT(TH!M1411,2)="15"),'152-CT'!$J$8=TH!F1411),"x","")</f>
        <v/>
      </c>
      <c r="Y1411" s="39" t="str">
        <f>IF(AND(OR(LEFT(TH!L1411,2)="15",LEFT(TH!M1411,2)="15"),TK!$E$7=TH!F1411),"x","")</f>
        <v/>
      </c>
      <c r="Z1411" s="39" t="str">
        <f>IF(AND(B1411&lt;=NKC!$N$8,B1411&gt;=NKC!$M$8),"x","")</f>
        <v/>
      </c>
      <c r="AA1411" s="883"/>
    </row>
    <row r="1412" spans="1:27" s="211" customFormat="1" ht="15.75" customHeight="1">
      <c r="A1412" s="204" t="str">
        <f>IF(B1412&lt;&gt;"",IF(AND(B1412&gt;=_TM1,B1412&lt;=_TM2,OR(TH!L1412="1111",TH!M1412="1111")),TH!D1412,""),"")</f>
        <v/>
      </c>
      <c r="B1412" s="36">
        <f t="shared" si="448"/>
        <v>12</v>
      </c>
      <c r="C1412" s="191">
        <f t="shared" si="446"/>
        <v>41609</v>
      </c>
      <c r="D1412" s="191" t="s">
        <v>1292</v>
      </c>
      <c r="E1412" s="191">
        <v>41609</v>
      </c>
      <c r="F1412" s="192" t="s">
        <v>665</v>
      </c>
      <c r="G1412" s="487" t="s">
        <v>1028</v>
      </c>
      <c r="H1412" s="7" t="s">
        <v>1284</v>
      </c>
      <c r="I1412" s="256">
        <v>255</v>
      </c>
      <c r="J1412" s="256">
        <v>16375</v>
      </c>
      <c r="K1412" s="602">
        <f t="shared" si="447"/>
        <v>4175625</v>
      </c>
      <c r="L1412" s="39" t="s">
        <v>165</v>
      </c>
      <c r="M1412" s="603" t="s">
        <v>159</v>
      </c>
      <c r="N1412" s="39" t="str">
        <f>IF(AND('331-CT'!$E$7=TH!H1412,OR(L1412="331",M1412="331")),"331",IF(AND(OR(L1412="131",M1412="131"),H1412='131-CT'!$E$7),"131",""))</f>
        <v/>
      </c>
      <c r="O1412" s="39" t="str">
        <f>IF(AND($B1412&gt;='111'!$N$11,$B1412&lt;='111'!$O$11,OR($L1412=$O$7,$M1412=$O$7)),"x","")</f>
        <v/>
      </c>
      <c r="P1412" s="39" t="str">
        <f>IF(AND($L1412=$O$7,$B1412&lt;'111'!$N$11),"x","")</f>
        <v/>
      </c>
      <c r="Q1412" s="39" t="str">
        <f>IF(AND($M1412=$O$7,$B1412&lt;'111'!$N$11),"x","")</f>
        <v/>
      </c>
      <c r="R1412" s="39" t="str">
        <f>IF(ISERROR(FIND('112'!$M$9,G1412,1)),"",IF((AND(FIND('112'!$M$9,G1412,1)&gt;=1,$B1412&gt;='112'!$N$8,$B1412&lt;='112'!$O$8,OR($L1412='112'!$I$6,$M1412='112'!$I$6))),"x",""))</f>
        <v/>
      </c>
      <c r="S1412" s="39" t="str">
        <f>IF(ISERROR(FIND('112'!$M$9,G1412,1)),"",IF((AND(LEFT(G1412,2)=LEFT('112'!$M$9,2),B1412&lt;'112'!$N$8,$L1412='112'!$I$6)),"x",""))</f>
        <v/>
      </c>
      <c r="T1412" s="39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39" t="str">
        <f>IF(OR(TH!L1412=TH!$V$7,M1412=TH!$V$7),"x","")</f>
        <v/>
      </c>
      <c r="W1412" s="39" t="str">
        <f>IF(AND(B1412&gt;='IN-NX'!$P$3,B1412&lt;='IN-NX'!$Q$3,'IN-NX'!$D$7=D1412,OR(LEFT(L1412,2)="15",AND(LEFT(M1412,2)&lt;&gt;"15",LEFT(M1412,2)&lt;&gt;"33"))),"x","")</f>
        <v/>
      </c>
      <c r="X1412" s="39" t="str">
        <f>IF(AND(OR(LEFT(TH!L1412,2)="15",LEFT(TH!M1412,2)="15"),'152-CT'!$J$8=TH!F1412),"x","")</f>
        <v/>
      </c>
      <c r="Y1412" s="39" t="str">
        <f>IF(AND(OR(LEFT(TH!L1412,2)="15",LEFT(TH!M1412,2)="15"),TK!$E$7=TH!F1412),"x","")</f>
        <v/>
      </c>
      <c r="Z1412" s="39" t="str">
        <f>IF(AND(B1412&lt;=NKC!$N$8,B1412&gt;=NKC!$M$8),"x","")</f>
        <v/>
      </c>
      <c r="AA1412" s="883"/>
    </row>
    <row r="1413" spans="1:27" s="211" customFormat="1" ht="15.75" customHeight="1">
      <c r="A1413" s="204" t="str">
        <f>IF(B1413&lt;&gt;"",IF(AND(B1413&gt;=_TM1,B1413&lt;=_TM2,OR(TH!L1413="1111",TH!M1413="1111")),TH!D1413,""),"")</f>
        <v/>
      </c>
      <c r="B1413" s="36">
        <f t="shared" si="448"/>
        <v>12</v>
      </c>
      <c r="C1413" s="191">
        <f t="shared" si="446"/>
        <v>41610</v>
      </c>
      <c r="D1413" s="191" t="s">
        <v>1292</v>
      </c>
      <c r="E1413" s="842">
        <v>41610</v>
      </c>
      <c r="F1413" s="192" t="s">
        <v>711</v>
      </c>
      <c r="G1413" s="487" t="s">
        <v>1029</v>
      </c>
      <c r="H1413" s="7" t="s">
        <v>1284</v>
      </c>
      <c r="I1413" s="256">
        <v>205</v>
      </c>
      <c r="J1413" s="256">
        <v>6760</v>
      </c>
      <c r="K1413" s="602">
        <f t="shared" si="447"/>
        <v>1385800</v>
      </c>
      <c r="L1413" s="39" t="s">
        <v>165</v>
      </c>
      <c r="M1413" s="603" t="s">
        <v>159</v>
      </c>
      <c r="N1413" s="39" t="str">
        <f>IF(AND('331-CT'!$E$7=TH!H1413,OR(L1413="331",M1413="331")),"331",IF(AND(OR(L1413="131",M1413="131"),H1413='131-CT'!$E$7),"131",""))</f>
        <v/>
      </c>
      <c r="O1413" s="39" t="str">
        <f>IF(AND($B1413&gt;='111'!$N$11,$B1413&lt;='111'!$O$11,OR($L1413=$O$7,$M1413=$O$7)),"x","")</f>
        <v/>
      </c>
      <c r="P1413" s="39" t="str">
        <f>IF(AND($L1413=$O$7,$B1413&lt;'111'!$N$11),"x","")</f>
        <v/>
      </c>
      <c r="Q1413" s="39" t="str">
        <f>IF(AND($M1413=$O$7,$B1413&lt;'111'!$N$11),"x","")</f>
        <v/>
      </c>
      <c r="R1413" s="39" t="str">
        <f>IF(ISERROR(FIND('112'!$M$9,G1413,1)),"",IF((AND(FIND('112'!$M$9,G1413,1)&gt;=1,$B1413&gt;='112'!$N$8,$B1413&lt;='112'!$O$8,OR($L1413='112'!$I$6,$M1413='112'!$I$6))),"x",""))</f>
        <v/>
      </c>
      <c r="S1413" s="39" t="str">
        <f>IF(ISERROR(FIND('112'!$M$9,G1413,1)),"",IF((AND(LEFT(G1413,2)=LEFT('112'!$M$9,2),B1413&lt;'112'!$N$8,$L1413='112'!$I$6)),"x",""))</f>
        <v/>
      </c>
      <c r="T1413" s="39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39" t="str">
        <f>IF(OR(TH!L1413=TH!$V$7,M1413=TH!$V$7),"x","")</f>
        <v/>
      </c>
      <c r="W1413" s="39" t="str">
        <f>IF(AND(B1413&gt;='IN-NX'!$P$3,B1413&lt;='IN-NX'!$Q$3,'IN-NX'!$D$7=D1413,OR(LEFT(L1413,2)="15",AND(LEFT(M1413,2)&lt;&gt;"15",LEFT(M1413,2)&lt;&gt;"33"))),"x","")</f>
        <v/>
      </c>
      <c r="X1413" s="39" t="str">
        <f>IF(AND(OR(LEFT(TH!L1413,2)="15",LEFT(TH!M1413,2)="15"),'152-CT'!$J$8=TH!F1413),"x","")</f>
        <v/>
      </c>
      <c r="Y1413" s="39" t="str">
        <f>IF(AND(OR(LEFT(TH!L1413,2)="15",LEFT(TH!M1413,2)="15"),TK!$E$7=TH!F1413),"x","")</f>
        <v/>
      </c>
      <c r="Z1413" s="39" t="str">
        <f>IF(AND(B1413&lt;=NKC!$N$8,B1413&gt;=NKC!$M$8),"x","")</f>
        <v/>
      </c>
      <c r="AA1413" s="883"/>
    </row>
    <row r="1414" spans="1:27" s="211" customFormat="1" ht="15.75" customHeight="1">
      <c r="A1414" s="204" t="str">
        <f>IF(B1414&lt;&gt;"",IF(AND(B1414&gt;=_TM1,B1414&lt;=_TM2,OR(TH!L1414="1111",TH!M1414="1111")),TH!D1414,""),"")</f>
        <v/>
      </c>
      <c r="B1414" s="36">
        <f t="shared" si="448"/>
        <v>12</v>
      </c>
      <c r="C1414" s="191">
        <f t="shared" si="446"/>
        <v>41610</v>
      </c>
      <c r="D1414" s="191" t="s">
        <v>1292</v>
      </c>
      <c r="E1414" s="842">
        <v>41610</v>
      </c>
      <c r="F1414" s="192" t="s">
        <v>624</v>
      </c>
      <c r="G1414" s="487" t="s">
        <v>1029</v>
      </c>
      <c r="H1414" s="7" t="s">
        <v>1284</v>
      </c>
      <c r="I1414" s="256">
        <v>50</v>
      </c>
      <c r="J1414" s="256">
        <v>15713</v>
      </c>
      <c r="K1414" s="602">
        <f t="shared" si="447"/>
        <v>785650</v>
      </c>
      <c r="L1414" s="39" t="s">
        <v>165</v>
      </c>
      <c r="M1414" s="603" t="s">
        <v>159</v>
      </c>
      <c r="N1414" s="39" t="str">
        <f>IF(AND('331-CT'!$E$7=TH!H1414,OR(L1414="331",M1414="331")),"331",IF(AND(OR(L1414="131",M1414="131"),H1414='131-CT'!$E$7),"131",""))</f>
        <v/>
      </c>
      <c r="O1414" s="39" t="str">
        <f>IF(AND($B1414&gt;='111'!$N$11,$B1414&lt;='111'!$O$11,OR($L1414=$O$7,$M1414=$O$7)),"x","")</f>
        <v/>
      </c>
      <c r="P1414" s="39" t="str">
        <f>IF(AND($L1414=$O$7,$B1414&lt;'111'!$N$11),"x","")</f>
        <v/>
      </c>
      <c r="Q1414" s="39" t="str">
        <f>IF(AND($M1414=$O$7,$B1414&lt;'111'!$N$11),"x","")</f>
        <v/>
      </c>
      <c r="R1414" s="39" t="str">
        <f>IF(ISERROR(FIND('112'!$M$9,G1414,1)),"",IF((AND(FIND('112'!$M$9,G1414,1)&gt;=1,$B1414&gt;='112'!$N$8,$B1414&lt;='112'!$O$8,OR($L1414='112'!$I$6,$M1414='112'!$I$6))),"x",""))</f>
        <v/>
      </c>
      <c r="S1414" s="39" t="str">
        <f>IF(ISERROR(FIND('112'!$M$9,G1414,1)),"",IF((AND(LEFT(G1414,2)=LEFT('112'!$M$9,2),B1414&lt;'112'!$N$8,$L1414='112'!$I$6)),"x",""))</f>
        <v/>
      </c>
      <c r="T1414" s="39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39" t="str">
        <f>IF(OR(TH!L1414=TH!$V$7,M1414=TH!$V$7),"x","")</f>
        <v/>
      </c>
      <c r="W1414" s="39" t="str">
        <f>IF(AND(B1414&gt;='IN-NX'!$P$3,B1414&lt;='IN-NX'!$Q$3,'IN-NX'!$D$7=D1414,OR(LEFT(L1414,2)="15",AND(LEFT(M1414,2)&lt;&gt;"15",LEFT(M1414,2)&lt;&gt;"33"))),"x","")</f>
        <v/>
      </c>
      <c r="X1414" s="39" t="str">
        <f>IF(AND(OR(LEFT(TH!L1414,2)="15",LEFT(TH!M1414,2)="15"),'152-CT'!$J$8=TH!F1414),"x","")</f>
        <v/>
      </c>
      <c r="Y1414" s="39" t="str">
        <f>IF(AND(OR(LEFT(TH!L1414,2)="15",LEFT(TH!M1414,2)="15"),TK!$E$7=TH!F1414),"x","")</f>
        <v/>
      </c>
      <c r="Z1414" s="39" t="str">
        <f>IF(AND(B1414&lt;=NKC!$N$8,B1414&gt;=NKC!$M$8),"x","")</f>
        <v/>
      </c>
      <c r="AA1414" s="883"/>
    </row>
    <row r="1415" spans="1:27" s="211" customFormat="1" ht="15.75" customHeight="1">
      <c r="A1415" s="204" t="str">
        <f>IF(B1415&lt;&gt;"",IF(AND(B1415&gt;=_TM1,B1415&lt;=_TM2,OR(TH!L1415="1111",TH!M1415="1111")),TH!D1415,""),"")</f>
        <v/>
      </c>
      <c r="B1415" s="36">
        <f t="shared" si="448"/>
        <v>12</v>
      </c>
      <c r="C1415" s="191">
        <f t="shared" si="446"/>
        <v>41612</v>
      </c>
      <c r="D1415" s="191" t="s">
        <v>1292</v>
      </c>
      <c r="E1415" s="771">
        <v>41612</v>
      </c>
      <c r="F1415" s="189" t="s">
        <v>716</v>
      </c>
      <c r="G1415" s="40" t="s">
        <v>660</v>
      </c>
      <c r="H1415" s="7" t="s">
        <v>1284</v>
      </c>
      <c r="I1415" s="256">
        <v>390</v>
      </c>
      <c r="J1415" s="256">
        <v>21907.443037974685</v>
      </c>
      <c r="K1415" s="602">
        <f t="shared" si="447"/>
        <v>8543903</v>
      </c>
      <c r="L1415" s="39" t="s">
        <v>165</v>
      </c>
      <c r="M1415" s="603" t="s">
        <v>159</v>
      </c>
      <c r="N1415" s="39" t="str">
        <f>IF(AND('331-CT'!$E$7=TH!H1415,OR(L1415="331",M1415="331")),"331",IF(AND(OR(L1415="131",M1415="131"),H1415='131-CT'!$E$7),"131",""))</f>
        <v/>
      </c>
      <c r="O1415" s="39" t="str">
        <f>IF(AND($B1415&gt;='111'!$N$11,$B1415&lt;='111'!$O$11,OR($L1415=$O$7,$M1415=$O$7)),"x","")</f>
        <v/>
      </c>
      <c r="P1415" s="39" t="str">
        <f>IF(AND($L1415=$O$7,$B1415&lt;'111'!$N$11),"x","")</f>
        <v/>
      </c>
      <c r="Q1415" s="39" t="str">
        <f>IF(AND($M1415=$O$7,$B1415&lt;'111'!$N$11),"x","")</f>
        <v/>
      </c>
      <c r="R1415" s="39" t="str">
        <f>IF(ISERROR(FIND('112'!$M$9,G1415,1)),"",IF((AND(FIND('112'!$M$9,G1415,1)&gt;=1,$B1415&gt;='112'!$N$8,$B1415&lt;='112'!$O$8,OR($L1415='112'!$I$6,$M1415='112'!$I$6))),"x",""))</f>
        <v/>
      </c>
      <c r="S1415" s="39" t="str">
        <f>IF(ISERROR(FIND('112'!$M$9,G1415,1)),"",IF((AND(LEFT(G1415,2)=LEFT('112'!$M$9,2),B1415&lt;'112'!$N$8,$L1415='112'!$I$6)),"x",""))</f>
        <v/>
      </c>
      <c r="T1415" s="39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39" t="str">
        <f>IF(OR(TH!L1415=TH!$V$7,M1415=TH!$V$7),"x","")</f>
        <v/>
      </c>
      <c r="W1415" s="39" t="str">
        <f>IF(AND(B1415&gt;='IN-NX'!$P$3,B1415&lt;='IN-NX'!$Q$3,'IN-NX'!$D$7=D1415,OR(LEFT(L1415,2)="15",AND(LEFT(M1415,2)&lt;&gt;"15",LEFT(M1415,2)&lt;&gt;"33"))),"x","")</f>
        <v/>
      </c>
      <c r="X1415" s="39" t="str">
        <f>IF(AND(OR(LEFT(TH!L1415,2)="15",LEFT(TH!M1415,2)="15"),'152-CT'!$J$8=TH!F1415),"x","")</f>
        <v/>
      </c>
      <c r="Y1415" s="39" t="str">
        <f>IF(AND(OR(LEFT(TH!L1415,2)="15",LEFT(TH!M1415,2)="15"),TK!$E$7=TH!F1415),"x","")</f>
        <v/>
      </c>
      <c r="Z1415" s="39" t="str">
        <f>IF(AND(B1415&lt;=NKC!$N$8,B1415&gt;=NKC!$M$8),"x","")</f>
        <v/>
      </c>
      <c r="AA1415" s="883"/>
    </row>
    <row r="1416" spans="1:27" s="211" customFormat="1" ht="15.75" customHeight="1">
      <c r="A1416" s="204" t="str">
        <f>IF(B1416&lt;&gt;"",IF(AND(B1416&gt;=_TM1,B1416&lt;=_TM2,OR(TH!L1416="1111",TH!M1416="1111")),TH!D1416,""),"")</f>
        <v/>
      </c>
      <c r="B1416" s="36">
        <f t="shared" si="448"/>
        <v>12</v>
      </c>
      <c r="C1416" s="191">
        <f t="shared" si="446"/>
        <v>41617</v>
      </c>
      <c r="D1416" s="191" t="s">
        <v>1292</v>
      </c>
      <c r="E1416" s="841">
        <v>41617</v>
      </c>
      <c r="F1416" s="40" t="s">
        <v>586</v>
      </c>
      <c r="G1416" s="40" t="s">
        <v>1030</v>
      </c>
      <c r="H1416" s="7" t="s">
        <v>1284</v>
      </c>
      <c r="I1416" s="256">
        <v>201</v>
      </c>
      <c r="J1416" s="256">
        <v>17438</v>
      </c>
      <c r="K1416" s="602">
        <f t="shared" si="447"/>
        <v>3505038</v>
      </c>
      <c r="L1416" s="39" t="s">
        <v>165</v>
      </c>
      <c r="M1416" s="603" t="s">
        <v>159</v>
      </c>
      <c r="N1416" s="39" t="str">
        <f>IF(AND('331-CT'!$E$7=TH!H1416,OR(L1416="331",M1416="331")),"331",IF(AND(OR(L1416="131",M1416="131"),H1416='131-CT'!$E$7),"131",""))</f>
        <v/>
      </c>
      <c r="O1416" s="39" t="str">
        <f>IF(AND($B1416&gt;='111'!$N$11,$B1416&lt;='111'!$O$11,OR($L1416=$O$7,$M1416=$O$7)),"x","")</f>
        <v/>
      </c>
      <c r="P1416" s="39" t="str">
        <f>IF(AND($L1416=$O$7,$B1416&lt;'111'!$N$11),"x","")</f>
        <v/>
      </c>
      <c r="Q1416" s="39" t="str">
        <f>IF(AND($M1416=$O$7,$B1416&lt;'111'!$N$11),"x","")</f>
        <v/>
      </c>
      <c r="R1416" s="39" t="str">
        <f>IF(ISERROR(FIND('112'!$M$9,G1416,1)),"",IF((AND(FIND('112'!$M$9,G1416,1)&gt;=1,$B1416&gt;='112'!$N$8,$B1416&lt;='112'!$O$8,OR($L1416='112'!$I$6,$M1416='112'!$I$6))),"x",""))</f>
        <v/>
      </c>
      <c r="S1416" s="39" t="str">
        <f>IF(ISERROR(FIND('112'!$M$9,G1416,1)),"",IF((AND(LEFT(G1416,2)=LEFT('112'!$M$9,2),B1416&lt;'112'!$N$8,$L1416='112'!$I$6)),"x",""))</f>
        <v/>
      </c>
      <c r="T1416" s="39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39" t="str">
        <f>IF(OR(TH!L1416=TH!$V$7,M1416=TH!$V$7),"x","")</f>
        <v/>
      </c>
      <c r="W1416" s="39" t="str">
        <f>IF(AND(B1416&gt;='IN-NX'!$P$3,B1416&lt;='IN-NX'!$Q$3,'IN-NX'!$D$7=D1416,OR(LEFT(L1416,2)="15",AND(LEFT(M1416,2)&lt;&gt;"15",LEFT(M1416,2)&lt;&gt;"33"))),"x","")</f>
        <v/>
      </c>
      <c r="X1416" s="39" t="str">
        <f>IF(AND(OR(LEFT(TH!L1416,2)="15",LEFT(TH!M1416,2)="15"),'152-CT'!$J$8=TH!F1416),"x","")</f>
        <v/>
      </c>
      <c r="Y1416" s="39" t="str">
        <f>IF(AND(OR(LEFT(TH!L1416,2)="15",LEFT(TH!M1416,2)="15"),TK!$E$7=TH!F1416),"x","")</f>
        <v/>
      </c>
      <c r="Z1416" s="39" t="str">
        <f>IF(AND(B1416&lt;=NKC!$N$8,B1416&gt;=NKC!$M$8),"x","")</f>
        <v/>
      </c>
      <c r="AA1416" s="883"/>
    </row>
    <row r="1417" spans="1:27" s="211" customFormat="1" ht="15.75" customHeight="1">
      <c r="A1417" s="204" t="str">
        <f>IF(B1417&lt;&gt;"",IF(AND(B1417&gt;=_TM1,B1417&lt;=_TM2,OR(TH!L1417="1111",TH!M1417="1111")),TH!D1417,""),"")</f>
        <v/>
      </c>
      <c r="B1417" s="36">
        <f t="shared" si="448"/>
        <v>12</v>
      </c>
      <c r="C1417" s="191">
        <f t="shared" si="446"/>
        <v>41619</v>
      </c>
      <c r="D1417" s="191" t="s">
        <v>1292</v>
      </c>
      <c r="E1417" s="841">
        <v>41619</v>
      </c>
      <c r="F1417" s="40" t="s">
        <v>716</v>
      </c>
      <c r="G1417" s="40" t="s">
        <v>1031</v>
      </c>
      <c r="H1417" s="7" t="s">
        <v>1284</v>
      </c>
      <c r="I1417" s="256">
        <v>390</v>
      </c>
      <c r="J1417" s="256">
        <v>21907.441025641026</v>
      </c>
      <c r="K1417" s="602">
        <f t="shared" si="447"/>
        <v>8543902</v>
      </c>
      <c r="L1417" s="39" t="s">
        <v>165</v>
      </c>
      <c r="M1417" s="603" t="s">
        <v>159</v>
      </c>
      <c r="N1417" s="39" t="str">
        <f>IF(AND('331-CT'!$E$7=TH!H1417,OR(L1417="331",M1417="331")),"331",IF(AND(OR(L1417="131",M1417="131"),H1417='131-CT'!$E$7),"131",""))</f>
        <v/>
      </c>
      <c r="O1417" s="39" t="str">
        <f>IF(AND($B1417&gt;='111'!$N$11,$B1417&lt;='111'!$O$11,OR($L1417=$O$7,$M1417=$O$7)),"x","")</f>
        <v/>
      </c>
      <c r="P1417" s="39" t="str">
        <f>IF(AND($L1417=$O$7,$B1417&lt;'111'!$N$11),"x","")</f>
        <v/>
      </c>
      <c r="Q1417" s="39" t="str">
        <f>IF(AND($M1417=$O$7,$B1417&lt;'111'!$N$11),"x","")</f>
        <v/>
      </c>
      <c r="R1417" s="39" t="str">
        <f>IF(ISERROR(FIND('112'!$M$9,G1417,1)),"",IF((AND(FIND('112'!$M$9,G1417,1)&gt;=1,$B1417&gt;='112'!$N$8,$B1417&lt;='112'!$O$8,OR($L1417='112'!$I$6,$M1417='112'!$I$6))),"x",""))</f>
        <v/>
      </c>
      <c r="S1417" s="39" t="str">
        <f>IF(ISERROR(FIND('112'!$M$9,G1417,1)),"",IF((AND(LEFT(G1417,2)=LEFT('112'!$M$9,2),B1417&lt;'112'!$N$8,$L1417='112'!$I$6)),"x",""))</f>
        <v/>
      </c>
      <c r="T1417" s="39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39" t="str">
        <f>IF(OR(TH!L1417=TH!$V$7,M1417=TH!$V$7),"x","")</f>
        <v/>
      </c>
      <c r="W1417" s="39" t="str">
        <f>IF(AND(B1417&gt;='IN-NX'!$P$3,B1417&lt;='IN-NX'!$Q$3,'IN-NX'!$D$7=D1417,OR(LEFT(L1417,2)="15",AND(LEFT(M1417,2)&lt;&gt;"15",LEFT(M1417,2)&lt;&gt;"33"))),"x","")</f>
        <v/>
      </c>
      <c r="X1417" s="39" t="str">
        <f>IF(AND(OR(LEFT(TH!L1417,2)="15",LEFT(TH!M1417,2)="15"),'152-CT'!$J$8=TH!F1417),"x","")</f>
        <v/>
      </c>
      <c r="Y1417" s="39" t="str">
        <f>IF(AND(OR(LEFT(TH!L1417,2)="15",LEFT(TH!M1417,2)="15"),TK!$E$7=TH!F1417),"x","")</f>
        <v/>
      </c>
      <c r="Z1417" s="39" t="str">
        <f>IF(AND(B1417&lt;=NKC!$N$8,B1417&gt;=NKC!$M$8),"x","")</f>
        <v/>
      </c>
      <c r="AA1417" s="883"/>
    </row>
    <row r="1418" spans="1:27" s="211" customFormat="1" ht="15.75" customHeight="1">
      <c r="A1418" s="204" t="str">
        <f>IF(B1418&lt;&gt;"",IF(AND(B1418&gt;=_TM1,B1418&lt;=_TM2,OR(TH!L1418="1111",TH!M1418="1111")),TH!D1418,""),"")</f>
        <v/>
      </c>
      <c r="B1418" s="36">
        <f t="shared" si="448"/>
        <v>12</v>
      </c>
      <c r="C1418" s="191">
        <f t="shared" si="446"/>
        <v>41621</v>
      </c>
      <c r="D1418" s="191" t="s">
        <v>1292</v>
      </c>
      <c r="E1418" s="841">
        <v>41621</v>
      </c>
      <c r="F1418" s="40" t="s">
        <v>1241</v>
      </c>
      <c r="G1418" s="40" t="s">
        <v>1032</v>
      </c>
      <c r="H1418" s="7" t="s">
        <v>1284</v>
      </c>
      <c r="I1418" s="256">
        <v>515</v>
      </c>
      <c r="J1418" s="256">
        <v>19910.05909888824</v>
      </c>
      <c r="K1418" s="602">
        <f t="shared" si="447"/>
        <v>10253680</v>
      </c>
      <c r="L1418" s="39" t="s">
        <v>165</v>
      </c>
      <c r="M1418" s="603" t="s">
        <v>159</v>
      </c>
      <c r="N1418" s="39" t="str">
        <f>IF(AND('331-CT'!$E$7=TH!H1418,OR(L1418="331",M1418="331")),"331",IF(AND(OR(L1418="131",M1418="131"),H1418='131-CT'!$E$7),"131",""))</f>
        <v/>
      </c>
      <c r="O1418" s="39" t="str">
        <f>IF(AND($B1418&gt;='111'!$N$11,$B1418&lt;='111'!$O$11,OR($L1418=$O$7,$M1418=$O$7)),"x","")</f>
        <v/>
      </c>
      <c r="P1418" s="39" t="str">
        <f>IF(AND($L1418=$O$7,$B1418&lt;'111'!$N$11),"x","")</f>
        <v/>
      </c>
      <c r="Q1418" s="39" t="str">
        <f>IF(AND($M1418=$O$7,$B1418&lt;'111'!$N$11),"x","")</f>
        <v/>
      </c>
      <c r="R1418" s="39" t="str">
        <f>IF(ISERROR(FIND('112'!$M$9,G1418,1)),"",IF((AND(FIND('112'!$M$9,G1418,1)&gt;=1,$B1418&gt;='112'!$N$8,$B1418&lt;='112'!$O$8,OR($L1418='112'!$I$6,$M1418='112'!$I$6))),"x",""))</f>
        <v/>
      </c>
      <c r="S1418" s="39" t="str">
        <f>IF(ISERROR(FIND('112'!$M$9,G1418,1)),"",IF((AND(LEFT(G1418,2)=LEFT('112'!$M$9,2),B1418&lt;'112'!$N$8,$L1418='112'!$I$6)),"x",""))</f>
        <v/>
      </c>
      <c r="T1418" s="39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39" t="str">
        <f>IF(OR(TH!L1418=TH!$V$7,M1418=TH!$V$7),"x","")</f>
        <v/>
      </c>
      <c r="W1418" s="39" t="str">
        <f>IF(AND(B1418&gt;='IN-NX'!$P$3,B1418&lt;='IN-NX'!$Q$3,'IN-NX'!$D$7=D1418,OR(LEFT(L1418,2)="15",AND(LEFT(M1418,2)&lt;&gt;"15",LEFT(M1418,2)&lt;&gt;"33"))),"x","")</f>
        <v/>
      </c>
      <c r="X1418" s="39" t="str">
        <f>IF(AND(OR(LEFT(TH!L1418,2)="15",LEFT(TH!M1418,2)="15"),'152-CT'!$J$8=TH!F1418),"x","")</f>
        <v/>
      </c>
      <c r="Y1418" s="39" t="str">
        <f>IF(AND(OR(LEFT(TH!L1418,2)="15",LEFT(TH!M1418,2)="15"),TK!$E$7=TH!F1418),"x","")</f>
        <v/>
      </c>
      <c r="Z1418" s="39" t="str">
        <f>IF(AND(B1418&lt;=NKC!$N$8,B1418&gt;=NKC!$M$8),"x","")</f>
        <v/>
      </c>
      <c r="AA1418" s="883"/>
    </row>
    <row r="1419" spans="1:27" s="211" customFormat="1" ht="15.75" customHeight="1">
      <c r="A1419" s="204" t="str">
        <f>IF(B1419&lt;&gt;"",IF(AND(B1419&gt;=_TM1,B1419&lt;=_TM2,OR(TH!L1419="1111",TH!M1419="1111")),TH!D1419,""),"")</f>
        <v/>
      </c>
      <c r="B1419" s="36">
        <f t="shared" si="448"/>
        <v>12</v>
      </c>
      <c r="C1419" s="191">
        <f t="shared" si="446"/>
        <v>41622</v>
      </c>
      <c r="D1419" s="191" t="s">
        <v>1292</v>
      </c>
      <c r="E1419" s="841">
        <v>41622</v>
      </c>
      <c r="F1419" s="192" t="s">
        <v>708</v>
      </c>
      <c r="G1419" s="40" t="s">
        <v>1033</v>
      </c>
      <c r="H1419" s="7" t="s">
        <v>1284</v>
      </c>
      <c r="I1419" s="256">
        <v>800</v>
      </c>
      <c r="J1419" s="256">
        <v>9000</v>
      </c>
      <c r="K1419" s="602">
        <f t="shared" si="447"/>
        <v>7200000</v>
      </c>
      <c r="L1419" s="39" t="s">
        <v>165</v>
      </c>
      <c r="M1419" s="603" t="s">
        <v>159</v>
      </c>
      <c r="N1419" s="39" t="str">
        <f>IF(AND('331-CT'!$E$7=TH!H1419,OR(L1419="331",M1419="331")),"331",IF(AND(OR(L1419="131",M1419="131"),H1419='131-CT'!$E$7),"131",""))</f>
        <v/>
      </c>
      <c r="O1419" s="39" t="str">
        <f>IF(AND($B1419&gt;='111'!$N$11,$B1419&lt;='111'!$O$11,OR($L1419=$O$7,$M1419=$O$7)),"x","")</f>
        <v/>
      </c>
      <c r="P1419" s="39" t="str">
        <f>IF(AND($L1419=$O$7,$B1419&lt;'111'!$N$11),"x","")</f>
        <v/>
      </c>
      <c r="Q1419" s="39" t="str">
        <f>IF(AND($M1419=$O$7,$B1419&lt;'111'!$N$11),"x","")</f>
        <v/>
      </c>
      <c r="R1419" s="39" t="str">
        <f>IF(ISERROR(FIND('112'!$M$9,G1419,1)),"",IF((AND(FIND('112'!$M$9,G1419,1)&gt;=1,$B1419&gt;='112'!$N$8,$B1419&lt;='112'!$O$8,OR($L1419='112'!$I$6,$M1419='112'!$I$6))),"x",""))</f>
        <v/>
      </c>
      <c r="S1419" s="39" t="str">
        <f>IF(ISERROR(FIND('112'!$M$9,G1419,1)),"",IF((AND(LEFT(G1419,2)=LEFT('112'!$M$9,2),B1419&lt;'112'!$N$8,$L1419='112'!$I$6)),"x",""))</f>
        <v/>
      </c>
      <c r="T1419" s="39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39" t="str">
        <f>IF(OR(TH!L1419=TH!$V$7,M1419=TH!$V$7),"x","")</f>
        <v/>
      </c>
      <c r="W1419" s="39" t="str">
        <f>IF(AND(B1419&gt;='IN-NX'!$P$3,B1419&lt;='IN-NX'!$Q$3,'IN-NX'!$D$7=D1419,OR(LEFT(L1419,2)="15",AND(LEFT(M1419,2)&lt;&gt;"15",LEFT(M1419,2)&lt;&gt;"33"))),"x","")</f>
        <v/>
      </c>
      <c r="X1419" s="39" t="str">
        <f>IF(AND(OR(LEFT(TH!L1419,2)="15",LEFT(TH!M1419,2)="15"),'152-CT'!$J$8=TH!F1419),"x","")</f>
        <v/>
      </c>
      <c r="Y1419" s="39" t="str">
        <f>IF(AND(OR(LEFT(TH!L1419,2)="15",LEFT(TH!M1419,2)="15"),TK!$E$7=TH!F1419),"x","")</f>
        <v/>
      </c>
      <c r="Z1419" s="39" t="str">
        <f>IF(AND(B1419&lt;=NKC!$N$8,B1419&gt;=NKC!$M$8),"x","")</f>
        <v/>
      </c>
      <c r="AA1419" s="883"/>
    </row>
    <row r="1420" spans="1:27" s="211" customFormat="1" ht="15.75" customHeight="1">
      <c r="A1420" s="204" t="str">
        <f>IF(B1420&lt;&gt;"",IF(AND(B1420&gt;=_TM1,B1420&lt;=_TM2,OR(TH!L1420="1111",TH!M1420="1111")),TH!D1420,""),"")</f>
        <v/>
      </c>
      <c r="B1420" s="36">
        <f t="shared" si="448"/>
        <v>12</v>
      </c>
      <c r="C1420" s="191">
        <f t="shared" si="446"/>
        <v>41623</v>
      </c>
      <c r="D1420" s="191" t="s">
        <v>1292</v>
      </c>
      <c r="E1420" s="841">
        <v>41623</v>
      </c>
      <c r="F1420" s="40" t="s">
        <v>665</v>
      </c>
      <c r="G1420" s="40" t="s">
        <v>1034</v>
      </c>
      <c r="H1420" s="7" t="s">
        <v>1284</v>
      </c>
      <c r="I1420" s="256">
        <v>255</v>
      </c>
      <c r="J1420" s="256">
        <v>16375</v>
      </c>
      <c r="K1420" s="602">
        <f t="shared" si="447"/>
        <v>4175625</v>
      </c>
      <c r="L1420" s="39" t="s">
        <v>165</v>
      </c>
      <c r="M1420" s="603" t="s">
        <v>159</v>
      </c>
      <c r="N1420" s="39" t="str">
        <f>IF(AND('331-CT'!$E$7=TH!H1420,OR(L1420="331",M1420="331")),"331",IF(AND(OR(L1420="131",M1420="131"),H1420='131-CT'!$E$7),"131",""))</f>
        <v/>
      </c>
      <c r="O1420" s="39" t="str">
        <f>IF(AND($B1420&gt;='111'!$N$11,$B1420&lt;='111'!$O$11,OR($L1420=$O$7,$M1420=$O$7)),"x","")</f>
        <v/>
      </c>
      <c r="P1420" s="39" t="str">
        <f>IF(AND($L1420=$O$7,$B1420&lt;'111'!$N$11),"x","")</f>
        <v/>
      </c>
      <c r="Q1420" s="39" t="str">
        <f>IF(AND($M1420=$O$7,$B1420&lt;'111'!$N$11),"x","")</f>
        <v/>
      </c>
      <c r="R1420" s="39" t="str">
        <f>IF(ISERROR(FIND('112'!$M$9,G1420,1)),"",IF((AND(FIND('112'!$M$9,G1420,1)&gt;=1,$B1420&gt;='112'!$N$8,$B1420&lt;='112'!$O$8,OR($L1420='112'!$I$6,$M1420='112'!$I$6))),"x",""))</f>
        <v/>
      </c>
      <c r="S1420" s="39" t="str">
        <f>IF(ISERROR(FIND('112'!$M$9,G1420,1)),"",IF((AND(LEFT(G1420,2)=LEFT('112'!$M$9,2),B1420&lt;'112'!$N$8,$L1420='112'!$I$6)),"x",""))</f>
        <v/>
      </c>
      <c r="T1420" s="39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39" t="str">
        <f>IF(OR(TH!L1420=TH!$V$7,M1420=TH!$V$7),"x","")</f>
        <v/>
      </c>
      <c r="W1420" s="39" t="str">
        <f>IF(AND(B1420&gt;='IN-NX'!$P$3,B1420&lt;='IN-NX'!$Q$3,'IN-NX'!$D$7=D1420,OR(LEFT(L1420,2)="15",AND(LEFT(M1420,2)&lt;&gt;"15",LEFT(M1420,2)&lt;&gt;"33"))),"x","")</f>
        <v/>
      </c>
      <c r="X1420" s="39" t="str">
        <f>IF(AND(OR(LEFT(TH!L1420,2)="15",LEFT(TH!M1420,2)="15"),'152-CT'!$J$8=TH!F1420),"x","")</f>
        <v/>
      </c>
      <c r="Y1420" s="39" t="str">
        <f>IF(AND(OR(LEFT(TH!L1420,2)="15",LEFT(TH!M1420,2)="15"),TK!$E$7=TH!F1420),"x","")</f>
        <v/>
      </c>
      <c r="Z1420" s="39" t="str">
        <f>IF(AND(B1420&lt;=NKC!$N$8,B1420&gt;=NKC!$M$8),"x","")</f>
        <v/>
      </c>
      <c r="AA1420" s="883"/>
    </row>
    <row r="1421" spans="1:27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448"/>
        <v>12</v>
      </c>
      <c r="C1421" s="191">
        <f t="shared" si="446"/>
        <v>41625</v>
      </c>
      <c r="D1421" s="191" t="s">
        <v>1292</v>
      </c>
      <c r="E1421" s="37">
        <v>41625</v>
      </c>
      <c r="F1421" s="40" t="s">
        <v>673</v>
      </c>
      <c r="G1421" s="40" t="s">
        <v>1035</v>
      </c>
      <c r="H1421" s="7" t="s">
        <v>1284</v>
      </c>
      <c r="I1421" s="256">
        <v>150</v>
      </c>
      <c r="J1421" s="256">
        <v>10904</v>
      </c>
      <c r="K1421" s="602">
        <f t="shared" si="447"/>
        <v>1635600</v>
      </c>
      <c r="L1421" s="39" t="s">
        <v>165</v>
      </c>
      <c r="M1421" s="603" t="s">
        <v>159</v>
      </c>
      <c r="N1421" s="39" t="str">
        <f>IF(AND('331-CT'!$E$7=TH!H1421,OR(L1421="331",M1421="331")),"331",IF(AND(OR(L1421="131",M1421="131"),H1421='131-CT'!$E$7),"131",""))</f>
        <v/>
      </c>
      <c r="O1421" s="39" t="str">
        <f>IF(AND($B1421&gt;='111'!$N$11,$B1421&lt;='111'!$O$11,OR($L1421=$O$7,$M1421=$O$7)),"x","")</f>
        <v/>
      </c>
      <c r="P1421" s="39" t="str">
        <f>IF(AND($L1421=$O$7,$B1421&lt;'111'!$N$11),"x","")</f>
        <v/>
      </c>
      <c r="Q1421" s="39" t="str">
        <f>IF(AND($M1421=$O$7,$B1421&lt;'111'!$N$11),"x","")</f>
        <v/>
      </c>
      <c r="R1421" s="39" t="str">
        <f>IF(ISERROR(FIND('112'!$M$9,G1421,1)),"",IF((AND(FIND('112'!$M$9,G1421,1)&gt;=1,$B1421&gt;='112'!$N$8,$B1421&lt;='112'!$O$8,OR($L1421='112'!$I$6,$M1421='112'!$I$6))),"x",""))</f>
        <v/>
      </c>
      <c r="S1421" s="39" t="str">
        <f>IF(ISERROR(FIND('112'!$M$9,G1421,1)),"",IF((AND(LEFT(G1421,2)=LEFT('112'!$M$9,2),B1421&lt;'112'!$N$8,$L1421='112'!$I$6)),"x",""))</f>
        <v/>
      </c>
      <c r="T1421" s="39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39" t="str">
        <f>IF(OR(TH!L1421=TH!$V$7,M1421=TH!$V$7),"x","")</f>
        <v/>
      </c>
      <c r="W1421" s="39" t="str">
        <f>IF(AND(B1421&gt;='IN-NX'!$P$3,B1421&lt;='IN-NX'!$Q$3,'IN-NX'!$D$7=D1421,OR(LEFT(L1421,2)="15",AND(LEFT(M1421,2)&lt;&gt;"15",LEFT(M1421,2)&lt;&gt;"33"))),"x","")</f>
        <v/>
      </c>
      <c r="X1421" s="39" t="str">
        <f>IF(AND(OR(LEFT(TH!L1421,2)="15",LEFT(TH!M1421,2)="15"),'152-CT'!$J$8=TH!F1421),"x","")</f>
        <v/>
      </c>
      <c r="Y1421" s="39" t="str">
        <f>IF(AND(OR(LEFT(TH!L1421,2)="15",LEFT(TH!M1421,2)="15"),TK!$E$7=TH!F1421),"x","")</f>
        <v/>
      </c>
      <c r="Z1421" s="39" t="str">
        <f>IF(AND(B1421&lt;=NKC!$N$8,B1421&gt;=NKC!$M$8),"x","")</f>
        <v/>
      </c>
      <c r="AA1421" s="883"/>
    </row>
    <row r="1422" spans="1:27" s="211" customFormat="1" ht="15.75" customHeight="1">
      <c r="A1422" s="204" t="str">
        <f>IF(B1422&lt;&gt;"",IF(AND(B1422&gt;=_TM1,B1422&lt;=_TM2,OR(TH!L1422="1111",TH!M1422="1111")),TH!D1422,""),"")</f>
        <v/>
      </c>
      <c r="B1422" s="36">
        <f t="shared" si="448"/>
        <v>12</v>
      </c>
      <c r="C1422" s="191">
        <f t="shared" ref="C1422:C1485" si="449">E1422</f>
        <v>41625</v>
      </c>
      <c r="D1422" s="191" t="s">
        <v>1292</v>
      </c>
      <c r="E1422" s="37">
        <v>41625</v>
      </c>
      <c r="F1422" s="40" t="s">
        <v>616</v>
      </c>
      <c r="G1422" s="40" t="s">
        <v>1035</v>
      </c>
      <c r="H1422" s="7" t="s">
        <v>1284</v>
      </c>
      <c r="I1422" s="256">
        <v>106</v>
      </c>
      <c r="J1422" s="256">
        <v>12528</v>
      </c>
      <c r="K1422" s="602">
        <f t="shared" ref="K1422:K1485" si="450">ROUND(I1422*J1422,0)</f>
        <v>1327968</v>
      </c>
      <c r="L1422" s="39" t="s">
        <v>165</v>
      </c>
      <c r="M1422" s="603" t="s">
        <v>159</v>
      </c>
      <c r="N1422" s="39" t="str">
        <f>IF(AND('331-CT'!$E$7=TH!H1422,OR(L1422="331",M1422="331")),"331",IF(AND(OR(L1422="131",M1422="131"),H1422='131-CT'!$E$7),"131",""))</f>
        <v/>
      </c>
      <c r="O1422" s="39" t="str">
        <f>IF(AND($B1422&gt;='111'!$N$11,$B1422&lt;='111'!$O$11,OR($L1422=$O$7,$M1422=$O$7)),"x","")</f>
        <v/>
      </c>
      <c r="P1422" s="39" t="str">
        <f>IF(AND($L1422=$O$7,$B1422&lt;'111'!$N$11),"x","")</f>
        <v/>
      </c>
      <c r="Q1422" s="39" t="str">
        <f>IF(AND($M1422=$O$7,$B1422&lt;'111'!$N$11),"x","")</f>
        <v/>
      </c>
      <c r="R1422" s="39" t="str">
        <f>IF(ISERROR(FIND('112'!$M$9,G1422,1)),"",IF((AND(FIND('112'!$M$9,G1422,1)&gt;=1,$B1422&gt;='112'!$N$8,$B1422&lt;='112'!$O$8,OR($L1422='112'!$I$6,$M1422='112'!$I$6))),"x",""))</f>
        <v/>
      </c>
      <c r="S1422" s="39" t="str">
        <f>IF(ISERROR(FIND('112'!$M$9,G1422,1)),"",IF((AND(LEFT(G1422,2)=LEFT('112'!$M$9,2),B1422&lt;'112'!$N$8,$L1422='112'!$I$6)),"x",""))</f>
        <v/>
      </c>
      <c r="T1422" s="39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39" t="str">
        <f>IF(OR(TH!L1422=TH!$V$7,M1422=TH!$V$7),"x","")</f>
        <v/>
      </c>
      <c r="W1422" s="39" t="str">
        <f>IF(AND(B1422&gt;='IN-NX'!$P$3,B1422&lt;='IN-NX'!$Q$3,'IN-NX'!$D$7=D1422,OR(LEFT(L1422,2)="15",AND(LEFT(M1422,2)&lt;&gt;"15",LEFT(M1422,2)&lt;&gt;"33"))),"x","")</f>
        <v/>
      </c>
      <c r="X1422" s="39" t="str">
        <f>IF(AND(OR(LEFT(TH!L1422,2)="15",LEFT(TH!M1422,2)="15"),'152-CT'!$J$8=TH!F1422),"x","")</f>
        <v/>
      </c>
      <c r="Y1422" s="39" t="str">
        <f>IF(AND(OR(LEFT(TH!L1422,2)="15",LEFT(TH!M1422,2)="15"),TK!$E$7=TH!F1422),"x","")</f>
        <v/>
      </c>
      <c r="Z1422" s="39" t="str">
        <f>IF(AND(B1422&lt;=NKC!$N$8,B1422&gt;=NKC!$M$8),"x","")</f>
        <v/>
      </c>
      <c r="AA1422" s="883"/>
    </row>
    <row r="1423" spans="1:27" s="211" customFormat="1" ht="15.75" customHeight="1">
      <c r="A1423" s="204" t="str">
        <f>IF(B1423&lt;&gt;"",IF(AND(B1423&gt;=_TM1,B1423&lt;=_TM2,OR(TH!L1423="1111",TH!M1423="1111")),TH!D1423,""),"")</f>
        <v/>
      </c>
      <c r="B1423" s="36">
        <f t="shared" si="448"/>
        <v>12</v>
      </c>
      <c r="C1423" s="191">
        <f t="shared" si="449"/>
        <v>41625</v>
      </c>
      <c r="D1423" s="191" t="s">
        <v>1292</v>
      </c>
      <c r="E1423" s="37">
        <v>41625</v>
      </c>
      <c r="F1423" s="40" t="s">
        <v>628</v>
      </c>
      <c r="G1423" s="40" t="s">
        <v>1035</v>
      </c>
      <c r="H1423" s="7" t="s">
        <v>1284</v>
      </c>
      <c r="I1423" s="256">
        <v>283</v>
      </c>
      <c r="J1423" s="256">
        <v>8385</v>
      </c>
      <c r="K1423" s="602">
        <f t="shared" si="450"/>
        <v>2372955</v>
      </c>
      <c r="L1423" s="39" t="s">
        <v>165</v>
      </c>
      <c r="M1423" s="603" t="s">
        <v>159</v>
      </c>
      <c r="N1423" s="39" t="str">
        <f>IF(AND('331-CT'!$E$7=TH!H1423,OR(L1423="331",M1423="331")),"331",IF(AND(OR(L1423="131",M1423="131"),H1423='131-CT'!$E$7),"131",""))</f>
        <v/>
      </c>
      <c r="O1423" s="39" t="str">
        <f>IF(AND($B1423&gt;='111'!$N$11,$B1423&lt;='111'!$O$11,OR($L1423=$O$7,$M1423=$O$7)),"x","")</f>
        <v/>
      </c>
      <c r="P1423" s="39" t="str">
        <f>IF(AND($L1423=$O$7,$B1423&lt;'111'!$N$11),"x","")</f>
        <v/>
      </c>
      <c r="Q1423" s="39" t="str">
        <f>IF(AND($M1423=$O$7,$B1423&lt;'111'!$N$11),"x","")</f>
        <v/>
      </c>
      <c r="R1423" s="39" t="str">
        <f>IF(ISERROR(FIND('112'!$M$9,G1423,1)),"",IF((AND(FIND('112'!$M$9,G1423,1)&gt;=1,$B1423&gt;='112'!$N$8,$B1423&lt;='112'!$O$8,OR($L1423='112'!$I$6,$M1423='112'!$I$6))),"x",""))</f>
        <v/>
      </c>
      <c r="S1423" s="39" t="str">
        <f>IF(ISERROR(FIND('112'!$M$9,G1423,1)),"",IF((AND(LEFT(G1423,2)=LEFT('112'!$M$9,2),B1423&lt;'112'!$N$8,$L1423='112'!$I$6)),"x",""))</f>
        <v/>
      </c>
      <c r="T1423" s="39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39" t="str">
        <f>IF(OR(TH!L1423=TH!$V$7,M1423=TH!$V$7),"x","")</f>
        <v/>
      </c>
      <c r="W1423" s="39" t="str">
        <f>IF(AND(B1423&gt;='IN-NX'!$P$3,B1423&lt;='IN-NX'!$Q$3,'IN-NX'!$D$7=D1423,OR(LEFT(L1423,2)="15",AND(LEFT(M1423,2)&lt;&gt;"15",LEFT(M1423,2)&lt;&gt;"33"))),"x","")</f>
        <v/>
      </c>
      <c r="X1423" s="39" t="str">
        <f>IF(AND(OR(LEFT(TH!L1423,2)="15",LEFT(TH!M1423,2)="15"),'152-CT'!$J$8=TH!F1423),"x","")</f>
        <v/>
      </c>
      <c r="Y1423" s="39" t="str">
        <f>IF(AND(OR(LEFT(TH!L1423,2)="15",LEFT(TH!M1423,2)="15"),TK!$E$7=TH!F1423),"x","")</f>
        <v/>
      </c>
      <c r="Z1423" s="39" t="str">
        <f>IF(AND(B1423&lt;=NKC!$N$8,B1423&gt;=NKC!$M$8),"x","")</f>
        <v/>
      </c>
      <c r="AA1423" s="883"/>
    </row>
    <row r="1424" spans="1:27" s="211" customFormat="1" ht="15.75" customHeight="1">
      <c r="A1424" s="204" t="str">
        <f>IF(B1424&lt;&gt;"",IF(AND(B1424&gt;=_TM1,B1424&lt;=_TM2,OR(TH!L1424="1111",TH!M1424="1111")),TH!D1424,""),"")</f>
        <v/>
      </c>
      <c r="B1424" s="36">
        <f t="shared" si="448"/>
        <v>12</v>
      </c>
      <c r="C1424" s="191">
        <f t="shared" si="449"/>
        <v>41625</v>
      </c>
      <c r="D1424" s="191" t="s">
        <v>1292</v>
      </c>
      <c r="E1424" s="37">
        <v>41625</v>
      </c>
      <c r="F1424" s="192" t="s">
        <v>670</v>
      </c>
      <c r="G1424" s="40" t="s">
        <v>1035</v>
      </c>
      <c r="H1424" s="7" t="s">
        <v>1284</v>
      </c>
      <c r="I1424" s="256">
        <v>203</v>
      </c>
      <c r="J1424" s="256">
        <v>10801</v>
      </c>
      <c r="K1424" s="602">
        <f t="shared" si="450"/>
        <v>2192603</v>
      </c>
      <c r="L1424" s="39" t="s">
        <v>165</v>
      </c>
      <c r="M1424" s="603" t="s">
        <v>159</v>
      </c>
      <c r="N1424" s="39" t="str">
        <f>IF(AND('331-CT'!$E$7=TH!H1424,OR(L1424="331",M1424="331")),"331",IF(AND(OR(L1424="131",M1424="131"),H1424='131-CT'!$E$7),"131",""))</f>
        <v/>
      </c>
      <c r="O1424" s="39" t="str">
        <f>IF(AND($B1424&gt;='111'!$N$11,$B1424&lt;='111'!$O$11,OR($L1424=$O$7,$M1424=$O$7)),"x","")</f>
        <v/>
      </c>
      <c r="P1424" s="39" t="str">
        <f>IF(AND($L1424=$O$7,$B1424&lt;'111'!$N$11),"x","")</f>
        <v/>
      </c>
      <c r="Q1424" s="39" t="str">
        <f>IF(AND($M1424=$O$7,$B1424&lt;'111'!$N$11),"x","")</f>
        <v/>
      </c>
      <c r="R1424" s="39" t="str">
        <f>IF(ISERROR(FIND('112'!$M$9,G1424,1)),"",IF((AND(FIND('112'!$M$9,G1424,1)&gt;=1,$B1424&gt;='112'!$N$8,$B1424&lt;='112'!$O$8,OR($L1424='112'!$I$6,$M1424='112'!$I$6))),"x",""))</f>
        <v/>
      </c>
      <c r="S1424" s="39" t="str">
        <f>IF(ISERROR(FIND('112'!$M$9,G1424,1)),"",IF((AND(LEFT(G1424,2)=LEFT('112'!$M$9,2),B1424&lt;'112'!$N$8,$L1424='112'!$I$6)),"x",""))</f>
        <v/>
      </c>
      <c r="T1424" s="39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39" t="str">
        <f>IF(OR(TH!L1424=TH!$V$7,M1424=TH!$V$7),"x","")</f>
        <v/>
      </c>
      <c r="W1424" s="39" t="str">
        <f>IF(AND(B1424&gt;='IN-NX'!$P$3,B1424&lt;='IN-NX'!$Q$3,'IN-NX'!$D$7=D1424,OR(LEFT(L1424,2)="15",AND(LEFT(M1424,2)&lt;&gt;"15",LEFT(M1424,2)&lt;&gt;"33"))),"x","")</f>
        <v/>
      </c>
      <c r="X1424" s="39" t="str">
        <f>IF(AND(OR(LEFT(TH!L1424,2)="15",LEFT(TH!M1424,2)="15"),'152-CT'!$J$8=TH!F1424),"x","")</f>
        <v/>
      </c>
      <c r="Y1424" s="39" t="str">
        <f>IF(AND(OR(LEFT(TH!L1424,2)="15",LEFT(TH!M1424,2)="15"),TK!$E$7=TH!F1424),"x","")</f>
        <v/>
      </c>
      <c r="Z1424" s="39" t="str">
        <f>IF(AND(B1424&lt;=NKC!$N$8,B1424&gt;=NKC!$M$8),"x","")</f>
        <v/>
      </c>
      <c r="AA1424" s="883"/>
    </row>
    <row r="1425" spans="1:27" s="211" customFormat="1" ht="15.75" customHeight="1">
      <c r="A1425" s="204" t="str">
        <f>IF(B1425&lt;&gt;"",IF(AND(B1425&gt;=_TM1,B1425&lt;=_TM2,OR(TH!L1425="1111",TH!M1425="1111")),TH!D1425,""),"")</f>
        <v/>
      </c>
      <c r="B1425" s="36">
        <f t="shared" si="448"/>
        <v>12</v>
      </c>
      <c r="C1425" s="191">
        <f t="shared" si="449"/>
        <v>41625</v>
      </c>
      <c r="D1425" s="191" t="s">
        <v>1292</v>
      </c>
      <c r="E1425" s="37">
        <v>41625</v>
      </c>
      <c r="F1425" s="40" t="s">
        <v>1230</v>
      </c>
      <c r="G1425" s="40" t="s">
        <v>1035</v>
      </c>
      <c r="H1425" s="7" t="s">
        <v>1284</v>
      </c>
      <c r="I1425" s="256">
        <v>60</v>
      </c>
      <c r="J1425" s="256">
        <v>22301</v>
      </c>
      <c r="K1425" s="602">
        <f t="shared" si="450"/>
        <v>1338060</v>
      </c>
      <c r="L1425" s="39" t="s">
        <v>165</v>
      </c>
      <c r="M1425" s="603" t="s">
        <v>159</v>
      </c>
      <c r="N1425" s="39" t="str">
        <f>IF(AND('331-CT'!$E$7=TH!H1425,OR(L1425="331",M1425="331")),"331",IF(AND(OR(L1425="131",M1425="131"),H1425='131-CT'!$E$7),"131",""))</f>
        <v/>
      </c>
      <c r="O1425" s="39" t="str">
        <f>IF(AND($B1425&gt;='111'!$N$11,$B1425&lt;='111'!$O$11,OR($L1425=$O$7,$M1425=$O$7)),"x","")</f>
        <v/>
      </c>
      <c r="P1425" s="39" t="str">
        <f>IF(AND($L1425=$O$7,$B1425&lt;'111'!$N$11),"x","")</f>
        <v/>
      </c>
      <c r="Q1425" s="39" t="str">
        <f>IF(AND($M1425=$O$7,$B1425&lt;'111'!$N$11),"x","")</f>
        <v/>
      </c>
      <c r="R1425" s="39" t="str">
        <f>IF(ISERROR(FIND('112'!$M$9,G1425,1)),"",IF((AND(FIND('112'!$M$9,G1425,1)&gt;=1,$B1425&gt;='112'!$N$8,$B1425&lt;='112'!$O$8,OR($L1425='112'!$I$6,$M1425='112'!$I$6))),"x",""))</f>
        <v/>
      </c>
      <c r="S1425" s="39" t="str">
        <f>IF(ISERROR(FIND('112'!$M$9,G1425,1)),"",IF((AND(LEFT(G1425,2)=LEFT('112'!$M$9,2),B1425&lt;'112'!$N$8,$L1425='112'!$I$6)),"x",""))</f>
        <v/>
      </c>
      <c r="T1425" s="39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39" t="str">
        <f>IF(OR(TH!L1425=TH!$V$7,M1425=TH!$V$7),"x","")</f>
        <v/>
      </c>
      <c r="W1425" s="39" t="str">
        <f>IF(AND(B1425&gt;='IN-NX'!$P$3,B1425&lt;='IN-NX'!$Q$3,'IN-NX'!$D$7=D1425,OR(LEFT(L1425,2)="15",AND(LEFT(M1425,2)&lt;&gt;"15",LEFT(M1425,2)&lt;&gt;"33"))),"x","")</f>
        <v/>
      </c>
      <c r="X1425" s="39" t="str">
        <f>IF(AND(OR(LEFT(TH!L1425,2)="15",LEFT(TH!M1425,2)="15"),'152-CT'!$J$8=TH!F1425),"x","")</f>
        <v/>
      </c>
      <c r="Y1425" s="39" t="str">
        <f>IF(AND(OR(LEFT(TH!L1425,2)="15",LEFT(TH!M1425,2)="15"),TK!$E$7=TH!F1425),"x","")</f>
        <v/>
      </c>
      <c r="Z1425" s="39" t="str">
        <f>IF(AND(B1425&lt;=NKC!$N$8,B1425&gt;=NKC!$M$8),"x","")</f>
        <v/>
      </c>
      <c r="AA1425" s="883"/>
    </row>
    <row r="1426" spans="1:27" s="211" customFormat="1" ht="15.75" customHeight="1">
      <c r="A1426" s="204" t="str">
        <f>IF(B1426&lt;&gt;"",IF(AND(B1426&gt;=_TM1,B1426&lt;=_TM2,OR(TH!L1426="1111",TH!M1426="1111")),TH!D1426,""),"")</f>
        <v/>
      </c>
      <c r="B1426" s="36">
        <f t="shared" si="448"/>
        <v>12</v>
      </c>
      <c r="C1426" s="191">
        <f t="shared" si="449"/>
        <v>41625</v>
      </c>
      <c r="D1426" s="191" t="s">
        <v>1292</v>
      </c>
      <c r="E1426" s="184">
        <v>41625</v>
      </c>
      <c r="F1426" s="189" t="s">
        <v>711</v>
      </c>
      <c r="G1426" s="604" t="s">
        <v>1035</v>
      </c>
      <c r="H1426" s="7" t="s">
        <v>1284</v>
      </c>
      <c r="I1426" s="256">
        <v>445</v>
      </c>
      <c r="J1426" s="256">
        <v>6760</v>
      </c>
      <c r="K1426" s="602">
        <f t="shared" si="450"/>
        <v>3008200</v>
      </c>
      <c r="L1426" s="39" t="s">
        <v>165</v>
      </c>
      <c r="M1426" s="603" t="s">
        <v>159</v>
      </c>
      <c r="N1426" s="39" t="str">
        <f>IF(AND('331-CT'!$E$7=TH!H1426,OR(L1426="331",M1426="331")),"331",IF(AND(OR(L1426="131",M1426="131"),H1426='131-CT'!$E$7),"131",""))</f>
        <v/>
      </c>
      <c r="O1426" s="39" t="str">
        <f>IF(AND($B1426&gt;='111'!$N$11,$B1426&lt;='111'!$O$11,OR($L1426=$O$7,$M1426=$O$7)),"x","")</f>
        <v/>
      </c>
      <c r="P1426" s="39" t="str">
        <f>IF(AND($L1426=$O$7,$B1426&lt;'111'!$N$11),"x","")</f>
        <v/>
      </c>
      <c r="Q1426" s="39" t="str">
        <f>IF(AND($M1426=$O$7,$B1426&lt;'111'!$N$11),"x","")</f>
        <v/>
      </c>
      <c r="R1426" s="39" t="str">
        <f>IF(ISERROR(FIND('112'!$M$9,G1426,1)),"",IF((AND(FIND('112'!$M$9,G1426,1)&gt;=1,$B1426&gt;='112'!$N$8,$B1426&lt;='112'!$O$8,OR($L1426='112'!$I$6,$M1426='112'!$I$6))),"x",""))</f>
        <v/>
      </c>
      <c r="S1426" s="39" t="str">
        <f>IF(ISERROR(FIND('112'!$M$9,G1426,1)),"",IF((AND(LEFT(G1426,2)=LEFT('112'!$M$9,2),B1426&lt;'112'!$N$8,$L1426='112'!$I$6)),"x",""))</f>
        <v/>
      </c>
      <c r="T1426" s="39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39" t="str">
        <f>IF(OR(TH!L1426=TH!$V$7,M1426=TH!$V$7),"x","")</f>
        <v/>
      </c>
      <c r="W1426" s="39" t="str">
        <f>IF(AND(B1426&gt;='IN-NX'!$P$3,B1426&lt;='IN-NX'!$Q$3,'IN-NX'!$D$7=D1426,OR(LEFT(L1426,2)="15",AND(LEFT(M1426,2)&lt;&gt;"15",LEFT(M1426,2)&lt;&gt;"33"))),"x","")</f>
        <v/>
      </c>
      <c r="X1426" s="39" t="str">
        <f>IF(AND(OR(LEFT(TH!L1426,2)="15",LEFT(TH!M1426,2)="15"),'152-CT'!$J$8=TH!F1426),"x","")</f>
        <v/>
      </c>
      <c r="Y1426" s="39" t="str">
        <f>IF(AND(OR(LEFT(TH!L1426,2)="15",LEFT(TH!M1426,2)="15"),TK!$E$7=TH!F1426),"x","")</f>
        <v/>
      </c>
      <c r="Z1426" s="39" t="str">
        <f>IF(AND(B1426&lt;=NKC!$N$8,B1426&gt;=NKC!$M$8),"x","")</f>
        <v/>
      </c>
      <c r="AA1426" s="883"/>
    </row>
    <row r="1427" spans="1:27" s="211" customFormat="1" ht="15.75" customHeight="1">
      <c r="A1427" s="204" t="str">
        <f>IF(B1427&lt;&gt;"",IF(AND(B1427&gt;=_TM1,B1427&lt;=_TM2,OR(TH!L1427="1111",TH!M1427="1111")),TH!D1427,""),"")</f>
        <v/>
      </c>
      <c r="B1427" s="36">
        <f t="shared" si="448"/>
        <v>12</v>
      </c>
      <c r="C1427" s="191">
        <f t="shared" si="449"/>
        <v>41625</v>
      </c>
      <c r="D1427" s="191" t="s">
        <v>1292</v>
      </c>
      <c r="E1427" s="191">
        <v>41625</v>
      </c>
      <c r="F1427" s="192" t="s">
        <v>694</v>
      </c>
      <c r="G1427" s="487" t="s">
        <v>1035</v>
      </c>
      <c r="H1427" s="7" t="s">
        <v>1284</v>
      </c>
      <c r="I1427" s="256">
        <v>104</v>
      </c>
      <c r="J1427" s="256">
        <v>6656</v>
      </c>
      <c r="K1427" s="602">
        <f t="shared" si="450"/>
        <v>692224</v>
      </c>
      <c r="L1427" s="39" t="s">
        <v>165</v>
      </c>
      <c r="M1427" s="603" t="s">
        <v>159</v>
      </c>
      <c r="N1427" s="39" t="str">
        <f>IF(AND('331-CT'!$E$7=TH!H1427,OR(L1427="331",M1427="331")),"331",IF(AND(OR(L1427="131",M1427="131"),H1427='131-CT'!$E$7),"131",""))</f>
        <v/>
      </c>
      <c r="O1427" s="39" t="str">
        <f>IF(AND($B1427&gt;='111'!$N$11,$B1427&lt;='111'!$O$11,OR($L1427=$O$7,$M1427=$O$7)),"x","")</f>
        <v/>
      </c>
      <c r="P1427" s="39" t="str">
        <f>IF(AND($L1427=$O$7,$B1427&lt;'111'!$N$11),"x","")</f>
        <v/>
      </c>
      <c r="Q1427" s="39" t="str">
        <f>IF(AND($M1427=$O$7,$B1427&lt;'111'!$N$11),"x","")</f>
        <v/>
      </c>
      <c r="R1427" s="39" t="str">
        <f>IF(ISERROR(FIND('112'!$M$9,G1427,1)),"",IF((AND(FIND('112'!$M$9,G1427,1)&gt;=1,$B1427&gt;='112'!$N$8,$B1427&lt;='112'!$O$8,OR($L1427='112'!$I$6,$M1427='112'!$I$6))),"x",""))</f>
        <v/>
      </c>
      <c r="S1427" s="39" t="str">
        <f>IF(ISERROR(FIND('112'!$M$9,G1427,1)),"",IF((AND(LEFT(G1427,2)=LEFT('112'!$M$9,2),B1427&lt;'112'!$N$8,$L1427='112'!$I$6)),"x",""))</f>
        <v/>
      </c>
      <c r="T1427" s="39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39" t="str">
        <f>IF(OR(TH!L1427=TH!$V$7,M1427=TH!$V$7),"x","")</f>
        <v/>
      </c>
      <c r="W1427" s="39" t="str">
        <f>IF(AND(B1427&gt;='IN-NX'!$P$3,B1427&lt;='IN-NX'!$Q$3,'IN-NX'!$D$7=D1427,OR(LEFT(L1427,2)="15",AND(LEFT(M1427,2)&lt;&gt;"15",LEFT(M1427,2)&lt;&gt;"33"))),"x","")</f>
        <v/>
      </c>
      <c r="X1427" s="39" t="str">
        <f>IF(AND(OR(LEFT(TH!L1427,2)="15",LEFT(TH!M1427,2)="15"),'152-CT'!$J$8=TH!F1427),"x","")</f>
        <v/>
      </c>
      <c r="Y1427" s="39" t="str">
        <f>IF(AND(OR(LEFT(TH!L1427,2)="15",LEFT(TH!M1427,2)="15"),TK!$E$7=TH!F1427),"x","")</f>
        <v/>
      </c>
      <c r="Z1427" s="39" t="str">
        <f>IF(AND(B1427&lt;=NKC!$N$8,B1427&gt;=NKC!$M$8),"x","")</f>
        <v/>
      </c>
      <c r="AA1427" s="883"/>
    </row>
    <row r="1428" spans="1:27" s="211" customFormat="1" ht="15.75" customHeight="1">
      <c r="A1428" s="204" t="str">
        <f>IF(B1428&lt;&gt;"",IF(AND(B1428&gt;=_TM1,B1428&lt;=_TM2,OR(TH!L1428="1111",TH!M1428="1111")),TH!D1428,""),"")</f>
        <v/>
      </c>
      <c r="B1428" s="36">
        <f t="shared" si="448"/>
        <v>12</v>
      </c>
      <c r="C1428" s="191">
        <f t="shared" si="449"/>
        <v>41625</v>
      </c>
      <c r="D1428" s="191" t="s">
        <v>1292</v>
      </c>
      <c r="E1428" s="191">
        <v>41625</v>
      </c>
      <c r="F1428" s="192" t="s">
        <v>709</v>
      </c>
      <c r="G1428" s="487" t="s">
        <v>1035</v>
      </c>
      <c r="H1428" s="7" t="s">
        <v>1284</v>
      </c>
      <c r="I1428" s="256">
        <v>56</v>
      </c>
      <c r="J1428" s="256">
        <v>15000</v>
      </c>
      <c r="K1428" s="602">
        <f t="shared" si="450"/>
        <v>840000</v>
      </c>
      <c r="L1428" s="39" t="s">
        <v>165</v>
      </c>
      <c r="M1428" s="603" t="s">
        <v>159</v>
      </c>
      <c r="N1428" s="39" t="str">
        <f>IF(AND('331-CT'!$E$7=TH!H1428,OR(L1428="331",M1428="331")),"331",IF(AND(OR(L1428="131",M1428="131"),H1428='131-CT'!$E$7),"131",""))</f>
        <v/>
      </c>
      <c r="O1428" s="39" t="str">
        <f>IF(AND($B1428&gt;='111'!$N$11,$B1428&lt;='111'!$O$11,OR($L1428=$O$7,$M1428=$O$7)),"x","")</f>
        <v/>
      </c>
      <c r="P1428" s="39" t="str">
        <f>IF(AND($L1428=$O$7,$B1428&lt;'111'!$N$11),"x","")</f>
        <v/>
      </c>
      <c r="Q1428" s="39" t="str">
        <f>IF(AND($M1428=$O$7,$B1428&lt;'111'!$N$11),"x","")</f>
        <v/>
      </c>
      <c r="R1428" s="39" t="str">
        <f>IF(ISERROR(FIND('112'!$M$9,G1428,1)),"",IF((AND(FIND('112'!$M$9,G1428,1)&gt;=1,$B1428&gt;='112'!$N$8,$B1428&lt;='112'!$O$8,OR($L1428='112'!$I$6,$M1428='112'!$I$6))),"x",""))</f>
        <v/>
      </c>
      <c r="S1428" s="39" t="str">
        <f>IF(ISERROR(FIND('112'!$M$9,G1428,1)),"",IF((AND(LEFT(G1428,2)=LEFT('112'!$M$9,2),B1428&lt;'112'!$N$8,$L1428='112'!$I$6)),"x",""))</f>
        <v/>
      </c>
      <c r="T1428" s="39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39" t="str">
        <f>IF(OR(TH!L1428=TH!$V$7,M1428=TH!$V$7),"x","")</f>
        <v/>
      </c>
      <c r="W1428" s="39" t="str">
        <f>IF(AND(B1428&gt;='IN-NX'!$P$3,B1428&lt;='IN-NX'!$Q$3,'IN-NX'!$D$7=D1428,OR(LEFT(L1428,2)="15",AND(LEFT(M1428,2)&lt;&gt;"15",LEFT(M1428,2)&lt;&gt;"33"))),"x","")</f>
        <v/>
      </c>
      <c r="X1428" s="39" t="str">
        <f>IF(AND(OR(LEFT(TH!L1428,2)="15",LEFT(TH!M1428,2)="15"),'152-CT'!$J$8=TH!F1428),"x","")</f>
        <v/>
      </c>
      <c r="Y1428" s="39" t="str">
        <f>IF(AND(OR(LEFT(TH!L1428,2)="15",LEFT(TH!M1428,2)="15"),TK!$E$7=TH!F1428),"x","")</f>
        <v/>
      </c>
      <c r="Z1428" s="39" t="str">
        <f>IF(AND(B1428&lt;=NKC!$N$8,B1428&gt;=NKC!$M$8),"x","")</f>
        <v/>
      </c>
      <c r="AA1428" s="883"/>
    </row>
    <row r="1429" spans="1:27" s="211" customFormat="1" ht="15.75" customHeight="1">
      <c r="A1429" s="204" t="str">
        <f>IF(B1429&lt;&gt;"",IF(AND(B1429&gt;=_TM1,B1429&lt;=_TM2,OR(TH!L1429="1111",TH!M1429="1111")),TH!D1429,""),"")</f>
        <v/>
      </c>
      <c r="B1429" s="36">
        <f t="shared" si="448"/>
        <v>12</v>
      </c>
      <c r="C1429" s="191">
        <f t="shared" si="449"/>
        <v>41628</v>
      </c>
      <c r="D1429" s="191" t="s">
        <v>1292</v>
      </c>
      <c r="E1429" s="191">
        <v>41628</v>
      </c>
      <c r="F1429" s="192" t="s">
        <v>589</v>
      </c>
      <c r="G1429" s="487" t="s">
        <v>1037</v>
      </c>
      <c r="H1429" s="7" t="s">
        <v>1284</v>
      </c>
      <c r="I1429" s="256">
        <v>258</v>
      </c>
      <c r="J1429" s="256">
        <v>19896</v>
      </c>
      <c r="K1429" s="602">
        <f t="shared" si="450"/>
        <v>5133168</v>
      </c>
      <c r="L1429" s="39" t="s">
        <v>165</v>
      </c>
      <c r="M1429" s="603" t="s">
        <v>159</v>
      </c>
      <c r="N1429" s="39" t="str">
        <f>IF(AND('331-CT'!$E$7=TH!H1429,OR(L1429="331",M1429="331")),"331",IF(AND(OR(L1429="131",M1429="131"),H1429='131-CT'!$E$7),"131",""))</f>
        <v/>
      </c>
      <c r="O1429" s="39" t="str">
        <f>IF(AND($B1429&gt;='111'!$N$11,$B1429&lt;='111'!$O$11,OR($L1429=$O$7,$M1429=$O$7)),"x","")</f>
        <v/>
      </c>
      <c r="P1429" s="39" t="str">
        <f>IF(AND($L1429=$O$7,$B1429&lt;'111'!$N$11),"x","")</f>
        <v/>
      </c>
      <c r="Q1429" s="39" t="str">
        <f>IF(AND($M1429=$O$7,$B1429&lt;'111'!$N$11),"x","")</f>
        <v/>
      </c>
      <c r="R1429" s="39" t="str">
        <f>IF(ISERROR(FIND('112'!$M$9,G1429,1)),"",IF((AND(FIND('112'!$M$9,G1429,1)&gt;=1,$B1429&gt;='112'!$N$8,$B1429&lt;='112'!$O$8,OR($L1429='112'!$I$6,$M1429='112'!$I$6))),"x",""))</f>
        <v/>
      </c>
      <c r="S1429" s="39" t="str">
        <f>IF(ISERROR(FIND('112'!$M$9,G1429,1)),"",IF((AND(LEFT(G1429,2)=LEFT('112'!$M$9,2),B1429&lt;'112'!$N$8,$L1429='112'!$I$6)),"x",""))</f>
        <v/>
      </c>
      <c r="T1429" s="39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39" t="str">
        <f>IF(OR(TH!L1429=TH!$V$7,M1429=TH!$V$7),"x","")</f>
        <v/>
      </c>
      <c r="W1429" s="39" t="str">
        <f>IF(AND(B1429&gt;='IN-NX'!$P$3,B1429&lt;='IN-NX'!$Q$3,'IN-NX'!$D$7=D1429,OR(LEFT(L1429,2)="15",AND(LEFT(M1429,2)&lt;&gt;"15",LEFT(M1429,2)&lt;&gt;"33"))),"x","")</f>
        <v/>
      </c>
      <c r="X1429" s="39" t="str">
        <f>IF(AND(OR(LEFT(TH!L1429,2)="15",LEFT(TH!M1429,2)="15"),'152-CT'!$J$8=TH!F1429),"x","")</f>
        <v/>
      </c>
      <c r="Y1429" s="39" t="str">
        <f>IF(AND(OR(LEFT(TH!L1429,2)="15",LEFT(TH!M1429,2)="15"),TK!$E$7=TH!F1429),"x","")</f>
        <v/>
      </c>
      <c r="Z1429" s="39" t="str">
        <f>IF(AND(B1429&lt;=NKC!$N$8,B1429&gt;=NKC!$M$8),"x","")</f>
        <v/>
      </c>
      <c r="AA1429" s="883"/>
    </row>
    <row r="1430" spans="1:27" s="211" customFormat="1" ht="15.75" customHeight="1">
      <c r="A1430" s="204" t="str">
        <f>IF(B1430&lt;&gt;"",IF(AND(B1430&gt;=_TM1,B1430&lt;=_TM2,OR(TH!L1430="1111",TH!M1430="1111")),TH!D1430,""),"")</f>
        <v/>
      </c>
      <c r="B1430" s="36">
        <f t="shared" si="448"/>
        <v>12</v>
      </c>
      <c r="C1430" s="191">
        <f t="shared" si="449"/>
        <v>41630</v>
      </c>
      <c r="D1430" s="191" t="s">
        <v>1292</v>
      </c>
      <c r="E1430" s="191">
        <v>41630</v>
      </c>
      <c r="F1430" s="192" t="s">
        <v>711</v>
      </c>
      <c r="G1430" s="487" t="s">
        <v>1038</v>
      </c>
      <c r="H1430" s="7" t="s">
        <v>1284</v>
      </c>
      <c r="I1430" s="256">
        <v>1000</v>
      </c>
      <c r="J1430" s="256">
        <v>6760</v>
      </c>
      <c r="K1430" s="602">
        <f t="shared" si="450"/>
        <v>6760000</v>
      </c>
      <c r="L1430" s="39" t="s">
        <v>165</v>
      </c>
      <c r="M1430" s="603" t="s">
        <v>159</v>
      </c>
      <c r="N1430" s="39" t="str">
        <f>IF(AND('331-CT'!$E$7=TH!H1430,OR(L1430="331",M1430="331")),"331",IF(AND(OR(L1430="131",M1430="131"),H1430='131-CT'!$E$7),"131",""))</f>
        <v/>
      </c>
      <c r="O1430" s="39" t="str">
        <f>IF(AND($B1430&gt;='111'!$N$11,$B1430&lt;='111'!$O$11,OR($L1430=$O$7,$M1430=$O$7)),"x","")</f>
        <v/>
      </c>
      <c r="P1430" s="39" t="str">
        <f>IF(AND($L1430=$O$7,$B1430&lt;'111'!$N$11),"x","")</f>
        <v/>
      </c>
      <c r="Q1430" s="39" t="str">
        <f>IF(AND($M1430=$O$7,$B1430&lt;'111'!$N$11),"x","")</f>
        <v/>
      </c>
      <c r="R1430" s="39" t="str">
        <f>IF(ISERROR(FIND('112'!$M$9,G1430,1)),"",IF((AND(FIND('112'!$M$9,G1430,1)&gt;=1,$B1430&gt;='112'!$N$8,$B1430&lt;='112'!$O$8,OR($L1430='112'!$I$6,$M1430='112'!$I$6))),"x",""))</f>
        <v/>
      </c>
      <c r="S1430" s="39" t="str">
        <f>IF(ISERROR(FIND('112'!$M$9,G1430,1)),"",IF((AND(LEFT(G1430,2)=LEFT('112'!$M$9,2),B1430&lt;'112'!$N$8,$L1430='112'!$I$6)),"x",""))</f>
        <v/>
      </c>
      <c r="T1430" s="39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39" t="str">
        <f>IF(OR(TH!L1430=TH!$V$7,M1430=TH!$V$7),"x","")</f>
        <v/>
      </c>
      <c r="W1430" s="39" t="str">
        <f>IF(AND(B1430&gt;='IN-NX'!$P$3,B1430&lt;='IN-NX'!$Q$3,'IN-NX'!$D$7=D1430,OR(LEFT(L1430,2)="15",AND(LEFT(M1430,2)&lt;&gt;"15",LEFT(M1430,2)&lt;&gt;"33"))),"x","")</f>
        <v/>
      </c>
      <c r="X1430" s="39" t="str">
        <f>IF(AND(OR(LEFT(TH!L1430,2)="15",LEFT(TH!M1430,2)="15"),'152-CT'!$J$8=TH!F1430),"x","")</f>
        <v/>
      </c>
      <c r="Y1430" s="39" t="str">
        <f>IF(AND(OR(LEFT(TH!L1430,2)="15",LEFT(TH!M1430,2)="15"),TK!$E$7=TH!F1430),"x","")</f>
        <v/>
      </c>
      <c r="Z1430" s="39" t="str">
        <f>IF(AND(B1430&lt;=NKC!$N$8,B1430&gt;=NKC!$M$8),"x","")</f>
        <v/>
      </c>
      <c r="AA1430" s="883"/>
    </row>
    <row r="1431" spans="1:27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448"/>
        <v>12</v>
      </c>
      <c r="C1431" s="191">
        <f t="shared" si="449"/>
        <v>41632</v>
      </c>
      <c r="D1431" s="191" t="s">
        <v>1292</v>
      </c>
      <c r="E1431" s="37">
        <v>41632</v>
      </c>
      <c r="F1431" s="40" t="s">
        <v>627</v>
      </c>
      <c r="G1431" s="40" t="s">
        <v>1039</v>
      </c>
      <c r="H1431" s="7" t="s">
        <v>1284</v>
      </c>
      <c r="I1431" s="256">
        <v>70</v>
      </c>
      <c r="J1431" s="256">
        <v>31288</v>
      </c>
      <c r="K1431" s="602">
        <f t="shared" si="450"/>
        <v>2190160</v>
      </c>
      <c r="L1431" s="39" t="s">
        <v>165</v>
      </c>
      <c r="M1431" s="603" t="s">
        <v>159</v>
      </c>
      <c r="N1431" s="39" t="str">
        <f>IF(AND('331-CT'!$E$7=TH!H1431,OR(L1431="331",M1431="331")),"331",IF(AND(OR(L1431="131",M1431="131"),H1431='131-CT'!$E$7),"131",""))</f>
        <v/>
      </c>
      <c r="O1431" s="39" t="str">
        <f>IF(AND($B1431&gt;='111'!$N$11,$B1431&lt;='111'!$O$11,OR($L1431=$O$7,$M1431=$O$7)),"x","")</f>
        <v/>
      </c>
      <c r="P1431" s="39" t="str">
        <f>IF(AND($L1431=$O$7,$B1431&lt;'111'!$N$11),"x","")</f>
        <v/>
      </c>
      <c r="Q1431" s="39" t="str">
        <f>IF(AND($M1431=$O$7,$B1431&lt;'111'!$N$11),"x","")</f>
        <v/>
      </c>
      <c r="R1431" s="39" t="str">
        <f>IF(ISERROR(FIND('112'!$M$9,G1431,1)),"",IF((AND(FIND('112'!$M$9,G1431,1)&gt;=1,$B1431&gt;='112'!$N$8,$B1431&lt;='112'!$O$8,OR($L1431='112'!$I$6,$M1431='112'!$I$6))),"x",""))</f>
        <v/>
      </c>
      <c r="S1431" s="39" t="str">
        <f>IF(ISERROR(FIND('112'!$M$9,G1431,1)),"",IF((AND(LEFT(G1431,2)=LEFT('112'!$M$9,2),B1431&lt;'112'!$N$8,$L1431='112'!$I$6)),"x",""))</f>
        <v/>
      </c>
      <c r="T1431" s="39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39" t="str">
        <f>IF(OR(TH!L1431=TH!$V$7,M1431=TH!$V$7),"x","")</f>
        <v/>
      </c>
      <c r="W1431" s="39" t="str">
        <f>IF(AND(B1431&gt;='IN-NX'!$P$3,B1431&lt;='IN-NX'!$Q$3,'IN-NX'!$D$7=D1431,OR(LEFT(L1431,2)="15",AND(LEFT(M1431,2)&lt;&gt;"15",LEFT(M1431,2)&lt;&gt;"33"))),"x","")</f>
        <v/>
      </c>
      <c r="X1431" s="39" t="str">
        <f>IF(AND(OR(LEFT(TH!L1431,2)="15",LEFT(TH!M1431,2)="15"),'152-CT'!$J$8=TH!F1431),"x","")</f>
        <v/>
      </c>
      <c r="Y1431" s="39" t="str">
        <f>IF(AND(OR(LEFT(TH!L1431,2)="15",LEFT(TH!M1431,2)="15"),TK!$E$7=TH!F1431),"x","")</f>
        <v/>
      </c>
      <c r="Z1431" s="39" t="str">
        <f>IF(AND(B1431&lt;=NKC!$N$8,B1431&gt;=NKC!$M$8),"x","")</f>
        <v/>
      </c>
      <c r="AA1431" s="883"/>
    </row>
    <row r="1432" spans="1:27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448"/>
        <v>12</v>
      </c>
      <c r="C1432" s="191">
        <f t="shared" si="449"/>
        <v>41632</v>
      </c>
      <c r="D1432" s="191" t="s">
        <v>1292</v>
      </c>
      <c r="E1432" s="37">
        <v>41632</v>
      </c>
      <c r="F1432" s="40" t="s">
        <v>606</v>
      </c>
      <c r="G1432" s="40" t="s">
        <v>1039</v>
      </c>
      <c r="H1432" s="7" t="s">
        <v>1284</v>
      </c>
      <c r="I1432" s="256">
        <v>10</v>
      </c>
      <c r="J1432" s="256">
        <v>38966</v>
      </c>
      <c r="K1432" s="602">
        <f t="shared" si="450"/>
        <v>389660</v>
      </c>
      <c r="L1432" s="39" t="s">
        <v>165</v>
      </c>
      <c r="M1432" s="603" t="s">
        <v>159</v>
      </c>
      <c r="N1432" s="39" t="str">
        <f>IF(AND('331-CT'!$E$7=TH!H1432,OR(L1432="331",M1432="331")),"331",IF(AND(OR(L1432="131",M1432="131"),H1432='131-CT'!$E$7),"131",""))</f>
        <v/>
      </c>
      <c r="O1432" s="39" t="str">
        <f>IF(AND($B1432&gt;='111'!$N$11,$B1432&lt;='111'!$O$11,OR($L1432=$O$7,$M1432=$O$7)),"x","")</f>
        <v/>
      </c>
      <c r="P1432" s="39" t="str">
        <f>IF(AND($L1432=$O$7,$B1432&lt;'111'!$N$11),"x","")</f>
        <v/>
      </c>
      <c r="Q1432" s="39" t="str">
        <f>IF(AND($M1432=$O$7,$B1432&lt;'111'!$N$11),"x","")</f>
        <v/>
      </c>
      <c r="R1432" s="39" t="str">
        <f>IF(ISERROR(FIND('112'!$M$9,G1432,1)),"",IF((AND(FIND('112'!$M$9,G1432,1)&gt;=1,$B1432&gt;='112'!$N$8,$B1432&lt;='112'!$O$8,OR($L1432='112'!$I$6,$M1432='112'!$I$6))),"x",""))</f>
        <v/>
      </c>
      <c r="S1432" s="39" t="str">
        <f>IF(ISERROR(FIND('112'!$M$9,G1432,1)),"",IF((AND(LEFT(G1432,2)=LEFT('112'!$M$9,2),B1432&lt;'112'!$N$8,$L1432='112'!$I$6)),"x",""))</f>
        <v/>
      </c>
      <c r="T1432" s="39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39" t="str">
        <f>IF(OR(TH!L1432=TH!$V$7,M1432=TH!$V$7),"x","")</f>
        <v/>
      </c>
      <c r="W1432" s="39" t="str">
        <f>IF(AND(B1432&gt;='IN-NX'!$P$3,B1432&lt;='IN-NX'!$Q$3,'IN-NX'!$D$7=D1432,OR(LEFT(L1432,2)="15",AND(LEFT(M1432,2)&lt;&gt;"15",LEFT(M1432,2)&lt;&gt;"33"))),"x","")</f>
        <v/>
      </c>
      <c r="X1432" s="39" t="str">
        <f>IF(AND(OR(LEFT(TH!L1432,2)="15",LEFT(TH!M1432,2)="15"),'152-CT'!$J$8=TH!F1432),"x","")</f>
        <v/>
      </c>
      <c r="Y1432" s="39" t="str">
        <f>IF(AND(OR(LEFT(TH!L1432,2)="15",LEFT(TH!M1432,2)="15"),TK!$E$7=TH!F1432),"x","")</f>
        <v/>
      </c>
      <c r="Z1432" s="39" t="str">
        <f>IF(AND(B1432&lt;=NKC!$N$8,B1432&gt;=NKC!$M$8),"x","")</f>
        <v/>
      </c>
      <c r="AA1432" s="883"/>
    </row>
    <row r="1433" spans="1:27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448"/>
        <v>12</v>
      </c>
      <c r="C1433" s="191">
        <f t="shared" si="449"/>
        <v>41632</v>
      </c>
      <c r="D1433" s="191" t="s">
        <v>1292</v>
      </c>
      <c r="E1433" s="37">
        <v>41632</v>
      </c>
      <c r="F1433" s="40" t="s">
        <v>606</v>
      </c>
      <c r="G1433" s="40" t="s">
        <v>1039</v>
      </c>
      <c r="H1433" s="7" t="s">
        <v>1284</v>
      </c>
      <c r="I1433" s="256">
        <v>20</v>
      </c>
      <c r="J1433" s="256">
        <v>38966</v>
      </c>
      <c r="K1433" s="602">
        <f t="shared" si="450"/>
        <v>779320</v>
      </c>
      <c r="L1433" s="39" t="s">
        <v>165</v>
      </c>
      <c r="M1433" s="603" t="s">
        <v>159</v>
      </c>
      <c r="N1433" s="39" t="str">
        <f>IF(AND('331-CT'!$E$7=TH!H1433,OR(L1433="331",M1433="331")),"331",IF(AND(OR(L1433="131",M1433="131"),H1433='131-CT'!$E$7),"131",""))</f>
        <v/>
      </c>
      <c r="O1433" s="39" t="str">
        <f>IF(AND($B1433&gt;='111'!$N$11,$B1433&lt;='111'!$O$11,OR($L1433=$O$7,$M1433=$O$7)),"x","")</f>
        <v/>
      </c>
      <c r="P1433" s="39" t="str">
        <f>IF(AND($L1433=$O$7,$B1433&lt;'111'!$N$11),"x","")</f>
        <v/>
      </c>
      <c r="Q1433" s="39" t="str">
        <f>IF(AND($M1433=$O$7,$B1433&lt;'111'!$N$11),"x","")</f>
        <v/>
      </c>
      <c r="R1433" s="39" t="str">
        <f>IF(ISERROR(FIND('112'!$M$9,G1433,1)),"",IF((AND(FIND('112'!$M$9,G1433,1)&gt;=1,$B1433&gt;='112'!$N$8,$B1433&lt;='112'!$O$8,OR($L1433='112'!$I$6,$M1433='112'!$I$6))),"x",""))</f>
        <v/>
      </c>
      <c r="S1433" s="39" t="str">
        <f>IF(ISERROR(FIND('112'!$M$9,G1433,1)),"",IF((AND(LEFT(G1433,2)=LEFT('112'!$M$9,2),B1433&lt;'112'!$N$8,$L1433='112'!$I$6)),"x",""))</f>
        <v/>
      </c>
      <c r="T1433" s="39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39" t="str">
        <f>IF(OR(TH!L1433=TH!$V$7,M1433=TH!$V$7),"x","")</f>
        <v/>
      </c>
      <c r="W1433" s="39" t="str">
        <f>IF(AND(B1433&gt;='IN-NX'!$P$3,B1433&lt;='IN-NX'!$Q$3,'IN-NX'!$D$7=D1433,OR(LEFT(L1433,2)="15",AND(LEFT(M1433,2)&lt;&gt;"15",LEFT(M1433,2)&lt;&gt;"33"))),"x","")</f>
        <v/>
      </c>
      <c r="X1433" s="39" t="str">
        <f>IF(AND(OR(LEFT(TH!L1433,2)="15",LEFT(TH!M1433,2)="15"),'152-CT'!$J$8=TH!F1433),"x","")</f>
        <v/>
      </c>
      <c r="Y1433" s="39" t="str">
        <f>IF(AND(OR(LEFT(TH!L1433,2)="15",LEFT(TH!M1433,2)="15"),TK!$E$7=TH!F1433),"x","")</f>
        <v/>
      </c>
      <c r="Z1433" s="39" t="str">
        <f>IF(AND(B1433&lt;=NKC!$N$8,B1433&gt;=NKC!$M$8),"x","")</f>
        <v/>
      </c>
      <c r="AA1433" s="883"/>
    </row>
    <row r="1434" spans="1:27" s="211" customFormat="1" ht="15.75" customHeight="1">
      <c r="A1434" s="204" t="str">
        <f>IF(B1434&lt;&gt;"",IF(AND(B1434&gt;=_TM1,B1434&lt;=_TM2,OR(TH!L1434="1111",TH!M1434="1111")),TH!D1434,""),"")</f>
        <v/>
      </c>
      <c r="B1434" s="36">
        <f t="shared" si="448"/>
        <v>12</v>
      </c>
      <c r="C1434" s="191">
        <f t="shared" si="449"/>
        <v>41632</v>
      </c>
      <c r="D1434" s="191" t="s">
        <v>1292</v>
      </c>
      <c r="E1434" s="37">
        <v>41632</v>
      </c>
      <c r="F1434" s="40" t="s">
        <v>659</v>
      </c>
      <c r="G1434" s="40" t="s">
        <v>1040</v>
      </c>
      <c r="H1434" s="7" t="s">
        <v>1284</v>
      </c>
      <c r="I1434" s="256">
        <v>350</v>
      </c>
      <c r="J1434" s="256">
        <v>20290</v>
      </c>
      <c r="K1434" s="602">
        <f t="shared" si="450"/>
        <v>7101500</v>
      </c>
      <c r="L1434" s="39" t="s">
        <v>165</v>
      </c>
      <c r="M1434" s="603" t="s">
        <v>159</v>
      </c>
      <c r="N1434" s="39" t="str">
        <f>IF(AND('331-CT'!$E$7=TH!H1434,OR(L1434="331",M1434="331")),"331",IF(AND(OR(L1434="131",M1434="131"),H1434='131-CT'!$E$7),"131",""))</f>
        <v/>
      </c>
      <c r="O1434" s="39" t="str">
        <f>IF(AND($B1434&gt;='111'!$N$11,$B1434&lt;='111'!$O$11,OR($L1434=$O$7,$M1434=$O$7)),"x","")</f>
        <v/>
      </c>
      <c r="P1434" s="39" t="str">
        <f>IF(AND($L1434=$O$7,$B1434&lt;'111'!$N$11),"x","")</f>
        <v/>
      </c>
      <c r="Q1434" s="39" t="str">
        <f>IF(AND($M1434=$O$7,$B1434&lt;'111'!$N$11),"x","")</f>
        <v/>
      </c>
      <c r="R1434" s="39" t="str">
        <f>IF(ISERROR(FIND('112'!$M$9,G1434,1)),"",IF((AND(FIND('112'!$M$9,G1434,1)&gt;=1,$B1434&gt;='112'!$N$8,$B1434&lt;='112'!$O$8,OR($L1434='112'!$I$6,$M1434='112'!$I$6))),"x",""))</f>
        <v/>
      </c>
      <c r="S1434" s="39" t="str">
        <f>IF(ISERROR(FIND('112'!$M$9,G1434,1)),"",IF((AND(LEFT(G1434,2)=LEFT('112'!$M$9,2),B1434&lt;'112'!$N$8,$L1434='112'!$I$6)),"x",""))</f>
        <v/>
      </c>
      <c r="T1434" s="39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39" t="str">
        <f>IF(OR(TH!L1434=TH!$V$7,M1434=TH!$V$7),"x","")</f>
        <v/>
      </c>
      <c r="W1434" s="39" t="str">
        <f>IF(AND(B1434&gt;='IN-NX'!$P$3,B1434&lt;='IN-NX'!$Q$3,'IN-NX'!$D$7=D1434,OR(LEFT(L1434,2)="15",AND(LEFT(M1434,2)&lt;&gt;"15",LEFT(M1434,2)&lt;&gt;"33"))),"x","")</f>
        <v/>
      </c>
      <c r="X1434" s="39" t="str">
        <f>IF(AND(OR(LEFT(TH!L1434,2)="15",LEFT(TH!M1434,2)="15"),'152-CT'!$J$8=TH!F1434),"x","")</f>
        <v/>
      </c>
      <c r="Y1434" s="39" t="str">
        <f>IF(AND(OR(LEFT(TH!L1434,2)="15",LEFT(TH!M1434,2)="15"),TK!$E$7=TH!F1434),"x","")</f>
        <v/>
      </c>
      <c r="Z1434" s="39" t="str">
        <f>IF(AND(B1434&lt;=NKC!$N$8,B1434&gt;=NKC!$M$8),"x","")</f>
        <v/>
      </c>
      <c r="AA1434" s="883"/>
    </row>
    <row r="1435" spans="1:27" s="211" customFormat="1" ht="15.75" customHeight="1">
      <c r="A1435" s="204" t="str">
        <f>IF(B1435&lt;&gt;"",IF(AND(B1435&gt;=_TM1,B1435&lt;=_TM2,OR(TH!L1435="1111",TH!M1435="1111")),TH!D1435,""),"")</f>
        <v/>
      </c>
      <c r="B1435" s="36">
        <f t="shared" si="448"/>
        <v>12</v>
      </c>
      <c r="C1435" s="191">
        <f t="shared" si="449"/>
        <v>41633</v>
      </c>
      <c r="D1435" s="191" t="s">
        <v>1292</v>
      </c>
      <c r="E1435" s="37">
        <v>41633</v>
      </c>
      <c r="F1435" s="40" t="s">
        <v>1251</v>
      </c>
      <c r="G1435" s="40" t="s">
        <v>1041</v>
      </c>
      <c r="H1435" s="7" t="s">
        <v>1284</v>
      </c>
      <c r="I1435" s="256">
        <v>67</v>
      </c>
      <c r="J1435" s="256">
        <v>23028</v>
      </c>
      <c r="K1435" s="602">
        <f t="shared" si="450"/>
        <v>1542876</v>
      </c>
      <c r="L1435" s="39" t="s">
        <v>165</v>
      </c>
      <c r="M1435" s="603" t="s">
        <v>159</v>
      </c>
      <c r="N1435" s="39" t="str">
        <f>IF(AND('331-CT'!$E$7=TH!H1435,OR(L1435="331",M1435="331")),"331",IF(AND(OR(L1435="131",M1435="131"),H1435='131-CT'!$E$7),"131",""))</f>
        <v/>
      </c>
      <c r="O1435" s="39" t="str">
        <f>IF(AND($B1435&gt;='111'!$N$11,$B1435&lt;='111'!$O$11,OR($L1435=$O$7,$M1435=$O$7)),"x","")</f>
        <v/>
      </c>
      <c r="P1435" s="39" t="str">
        <f>IF(AND($L1435=$O$7,$B1435&lt;'111'!$N$11),"x","")</f>
        <v/>
      </c>
      <c r="Q1435" s="39" t="str">
        <f>IF(AND($M1435=$O$7,$B1435&lt;'111'!$N$11),"x","")</f>
        <v/>
      </c>
      <c r="R1435" s="39" t="str">
        <f>IF(ISERROR(FIND('112'!$M$9,G1435,1)),"",IF((AND(FIND('112'!$M$9,G1435,1)&gt;=1,$B1435&gt;='112'!$N$8,$B1435&lt;='112'!$O$8,OR($L1435='112'!$I$6,$M1435='112'!$I$6))),"x",""))</f>
        <v/>
      </c>
      <c r="S1435" s="39" t="str">
        <f>IF(ISERROR(FIND('112'!$M$9,G1435,1)),"",IF((AND(LEFT(G1435,2)=LEFT('112'!$M$9,2),B1435&lt;'112'!$N$8,$L1435='112'!$I$6)),"x",""))</f>
        <v/>
      </c>
      <c r="T1435" s="39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39" t="str">
        <f>IF(OR(TH!L1435=TH!$V$7,M1435=TH!$V$7),"x","")</f>
        <v/>
      </c>
      <c r="W1435" s="39" t="str">
        <f>IF(AND(B1435&gt;='IN-NX'!$P$3,B1435&lt;='IN-NX'!$Q$3,'IN-NX'!$D$7=D1435,OR(LEFT(L1435,2)="15",AND(LEFT(M1435,2)&lt;&gt;"15",LEFT(M1435,2)&lt;&gt;"33"))),"x","")</f>
        <v/>
      </c>
      <c r="X1435" s="39" t="str">
        <f>IF(AND(OR(LEFT(TH!L1435,2)="15",LEFT(TH!M1435,2)="15"),'152-CT'!$J$8=TH!F1435),"x","")</f>
        <v/>
      </c>
      <c r="Y1435" s="39" t="str">
        <f>IF(AND(OR(LEFT(TH!L1435,2)="15",LEFT(TH!M1435,2)="15"),TK!$E$7=TH!F1435),"x","")</f>
        <v/>
      </c>
      <c r="Z1435" s="39" t="str">
        <f>IF(AND(B1435&lt;=NKC!$N$8,B1435&gt;=NKC!$M$8),"x","")</f>
        <v/>
      </c>
      <c r="AA1435" s="883"/>
    </row>
    <row r="1436" spans="1:27" s="840" customFormat="1" ht="15.75" customHeight="1">
      <c r="A1436" s="902" t="str">
        <f>IF(B1436&lt;&gt;"",IF(AND(B1436&gt;=_TM1,B1436&lt;=_TM2,OR(TH!L1436="1111",TH!M1436="1111")),TH!D1436,""),"")</f>
        <v/>
      </c>
      <c r="B1436" s="838">
        <f t="shared" si="448"/>
        <v>1</v>
      </c>
      <c r="C1436" s="903">
        <f t="shared" si="449"/>
        <v>41276</v>
      </c>
      <c r="D1436" s="904" t="s">
        <v>1293</v>
      </c>
      <c r="E1436" s="904">
        <v>41276</v>
      </c>
      <c r="F1436" s="905" t="s">
        <v>721</v>
      </c>
      <c r="G1436" s="905" t="s">
        <v>722</v>
      </c>
      <c r="H1436" s="906" t="s">
        <v>1289</v>
      </c>
      <c r="I1436" s="914">
        <v>905</v>
      </c>
      <c r="J1436" s="914">
        <v>5546.5167796569285</v>
      </c>
      <c r="K1436" s="835">
        <f t="shared" si="450"/>
        <v>5019598</v>
      </c>
      <c r="L1436" s="828" t="s">
        <v>167</v>
      </c>
      <c r="M1436" s="909" t="s">
        <v>165</v>
      </c>
      <c r="N1436" s="828" t="str">
        <f>IF(AND('331-CT'!$E$7=TH!H1436,OR(L1436="331",M1436="331")),"331",IF(AND(OR(L1436="131",M1436="131"),H1436='131-CT'!$E$7),"131",""))</f>
        <v/>
      </c>
      <c r="O1436" s="828" t="str">
        <f>IF(AND($B1436&gt;='111'!$N$11,$B1436&lt;='111'!$O$11,OR($L1436=$O$7,$M1436=$O$7)),"x","")</f>
        <v/>
      </c>
      <c r="P1436" s="828" t="str">
        <f>IF(AND($L1436=$O$7,$B1436&lt;'111'!$N$11),"x","")</f>
        <v/>
      </c>
      <c r="Q1436" s="828" t="str">
        <f>IF(AND($M1436=$O$7,$B1436&lt;'111'!$N$11),"x","")</f>
        <v/>
      </c>
      <c r="R1436" s="828" t="str">
        <f>IF(ISERROR(FIND('112'!$M$9,G1436,1)),"",IF((AND(FIND('112'!$M$9,G1436,1)&gt;=1,$B1436&gt;='112'!$N$8,$B1436&lt;='112'!$O$8,OR($L1436='112'!$I$6,$M1436='112'!$I$6))),"x",""))</f>
        <v/>
      </c>
      <c r="S1436" s="828" t="str">
        <f>IF(ISERROR(FIND('112'!$M$9,G1436,1)),"",IF((AND(LEFT(G1436,2)=LEFT('112'!$M$9,2),B1436&lt;'112'!$N$8,$L1436='112'!$I$6)),"x",""))</f>
        <v/>
      </c>
      <c r="T1436" s="828" t="str">
        <f>IF(ISERROR(FIND('112'!$M$9,G1436,1)),"",IF((AND(RIGHT(G1436,2)=RIGHT('112'!$M$9,2),B1436&lt;'112'!$N$8,$M1436='112'!$I$6)),"x",""))</f>
        <v/>
      </c>
      <c r="U1436" s="828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828" t="str">
        <f>IF(OR(TH!L1436=TH!$V$7,M1436=TH!$V$7),"x","")</f>
        <v/>
      </c>
      <c r="W1436" s="828" t="str">
        <f>IF(AND(B1436&gt;='IN-NX'!$P$3,B1436&lt;='IN-NX'!$Q$3,'IN-NX'!$D$7=D1436,OR(LEFT(L1436,2)="15",AND(LEFT(M1436,2)&lt;&gt;"15",LEFT(M1436,2)&lt;&gt;"33"))),"x","")</f>
        <v/>
      </c>
      <c r="X1436" s="828" t="str">
        <f>IF(AND(OR(LEFT(TH!L1436,2)="15",LEFT(TH!M1436,2)="15"),'152-CT'!$J$8=TH!F1436),"x","")</f>
        <v/>
      </c>
      <c r="Y1436" s="828" t="str">
        <f>IF(AND(OR(LEFT(TH!L1436,2)="15",LEFT(TH!M1436,2)="15"),TK!$E$7=TH!F1436),"x","")</f>
        <v/>
      </c>
      <c r="Z1436" s="828" t="str">
        <f>IF(AND(B1436&lt;=NKC!$N$8,B1436&gt;=NKC!$M$8),"x","")</f>
        <v/>
      </c>
      <c r="AA1436" s="910"/>
    </row>
    <row r="1437" spans="1:27" s="808" customFormat="1" ht="15.75" customHeight="1">
      <c r="A1437" s="893" t="str">
        <f>IF(B1437&lt;&gt;"",IF(AND(B1437&gt;=_TM1,B1437&lt;=_TM2,OR(TH!L1437="1111",TH!M1437="1111")),TH!D1437,""),"")</f>
        <v/>
      </c>
      <c r="B1437" s="700">
        <f t="shared" si="448"/>
        <v>1</v>
      </c>
      <c r="C1437" s="833">
        <f t="shared" si="449"/>
        <v>41276</v>
      </c>
      <c r="D1437" s="833" t="s">
        <v>1293</v>
      </c>
      <c r="E1437" s="833">
        <v>41276</v>
      </c>
      <c r="F1437" s="895" t="s">
        <v>723</v>
      </c>
      <c r="G1437" s="834" t="s">
        <v>722</v>
      </c>
      <c r="H1437" s="837" t="s">
        <v>1289</v>
      </c>
      <c r="I1437" s="254">
        <v>305</v>
      </c>
      <c r="J1437" s="254">
        <v>5358.1209821748162</v>
      </c>
      <c r="K1437" s="701">
        <f t="shared" si="450"/>
        <v>1634227</v>
      </c>
      <c r="L1437" s="52" t="s">
        <v>167</v>
      </c>
      <c r="M1437" s="896" t="s">
        <v>165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52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50"/>
    </row>
    <row r="1438" spans="1:27" s="808" customFormat="1" ht="15.75" customHeight="1">
      <c r="A1438" s="893" t="str">
        <f>IF(B1438&lt;&gt;"",IF(AND(B1438&gt;=_TM1,B1438&lt;=_TM2,OR(TH!L1438="1111",TH!M1438="1111")),TH!D1438,""),"")</f>
        <v/>
      </c>
      <c r="B1438" s="700">
        <f t="shared" si="448"/>
        <v>1</v>
      </c>
      <c r="C1438" s="833">
        <f t="shared" si="449"/>
        <v>41282</v>
      </c>
      <c r="D1438" s="833" t="s">
        <v>1293</v>
      </c>
      <c r="E1438" s="833">
        <v>41282</v>
      </c>
      <c r="F1438" s="895" t="s">
        <v>725</v>
      </c>
      <c r="G1438" s="834" t="s">
        <v>726</v>
      </c>
      <c r="H1438" s="837" t="s">
        <v>1289</v>
      </c>
      <c r="I1438" s="917">
        <v>480</v>
      </c>
      <c r="J1438" s="917">
        <v>10851.863810043669</v>
      </c>
      <c r="K1438" s="701">
        <f t="shared" si="450"/>
        <v>5208895</v>
      </c>
      <c r="L1438" s="52" t="s">
        <v>167</v>
      </c>
      <c r="M1438" s="896" t="s">
        <v>165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52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50"/>
    </row>
    <row r="1439" spans="1:27" s="808" customFormat="1" ht="15.75" customHeight="1">
      <c r="A1439" s="893" t="str">
        <f>IF(B1439&lt;&gt;"",IF(AND(B1439&gt;=_TM1,B1439&lt;=_TM2,OR(TH!L1439="1111",TH!M1439="1111")),TH!D1439,""),"")</f>
        <v/>
      </c>
      <c r="B1439" s="700">
        <f t="shared" si="448"/>
        <v>1</v>
      </c>
      <c r="C1439" s="833">
        <f t="shared" si="449"/>
        <v>41282</v>
      </c>
      <c r="D1439" s="833" t="s">
        <v>1293</v>
      </c>
      <c r="E1439" s="48">
        <v>41282</v>
      </c>
      <c r="F1439" s="49" t="s">
        <v>728</v>
      </c>
      <c r="G1439" s="49" t="s">
        <v>726</v>
      </c>
      <c r="H1439" s="837" t="s">
        <v>1289</v>
      </c>
      <c r="I1439" s="254">
        <v>199</v>
      </c>
      <c r="J1439" s="254">
        <v>6930.8791994909043</v>
      </c>
      <c r="K1439" s="701">
        <f t="shared" si="450"/>
        <v>1379245</v>
      </c>
      <c r="L1439" s="52" t="s">
        <v>167</v>
      </c>
      <c r="M1439" s="896" t="s">
        <v>165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52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50"/>
    </row>
    <row r="1440" spans="1:27" s="808" customFormat="1" ht="15.75" customHeight="1">
      <c r="A1440" s="893" t="str">
        <f>IF(B1440&lt;&gt;"",IF(AND(B1440&gt;=_TM1,B1440&lt;=_TM2,OR(TH!L1440="1111",TH!M1440="1111")),TH!D1440,""),"")</f>
        <v/>
      </c>
      <c r="B1440" s="700">
        <f t="shared" si="448"/>
        <v>1</v>
      </c>
      <c r="C1440" s="833">
        <f t="shared" si="449"/>
        <v>41284</v>
      </c>
      <c r="D1440" s="833" t="s">
        <v>1293</v>
      </c>
      <c r="E1440" s="48">
        <v>41284</v>
      </c>
      <c r="F1440" s="49" t="s">
        <v>729</v>
      </c>
      <c r="G1440" s="49" t="s">
        <v>730</v>
      </c>
      <c r="H1440" s="837" t="s">
        <v>1289</v>
      </c>
      <c r="I1440" s="254">
        <v>992</v>
      </c>
      <c r="J1440" s="254">
        <v>8115.5835681081835</v>
      </c>
      <c r="K1440" s="701">
        <f t="shared" si="450"/>
        <v>8050659</v>
      </c>
      <c r="L1440" s="52" t="s">
        <v>167</v>
      </c>
      <c r="M1440" s="896" t="s">
        <v>165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52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50"/>
    </row>
    <row r="1441" spans="1:27" s="808" customFormat="1" ht="15.75" customHeight="1">
      <c r="A1441" s="893" t="str">
        <f>IF(B1441&lt;&gt;"",IF(AND(B1441&gt;=_TM1,B1441&lt;=_TM2,OR(TH!L1441="1111",TH!M1441="1111")),TH!D1441,""),"")</f>
        <v/>
      </c>
      <c r="B1441" s="700">
        <f t="shared" si="448"/>
        <v>1</v>
      </c>
      <c r="C1441" s="833">
        <f t="shared" si="449"/>
        <v>41285</v>
      </c>
      <c r="D1441" s="833" t="s">
        <v>1293</v>
      </c>
      <c r="E1441" s="833">
        <v>41285</v>
      </c>
      <c r="F1441" s="918" t="s">
        <v>731</v>
      </c>
      <c r="G1441" s="919" t="s">
        <v>732</v>
      </c>
      <c r="H1441" s="837" t="s">
        <v>1289</v>
      </c>
      <c r="I1441" s="254">
        <v>202</v>
      </c>
      <c r="J1441" s="254">
        <v>6854.9052704397072</v>
      </c>
      <c r="K1441" s="701">
        <f t="shared" si="450"/>
        <v>1384691</v>
      </c>
      <c r="L1441" s="52" t="s">
        <v>167</v>
      </c>
      <c r="M1441" s="896" t="s">
        <v>165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52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50"/>
    </row>
    <row r="1442" spans="1:27" s="808" customFormat="1" ht="15.75" customHeight="1">
      <c r="A1442" s="893" t="str">
        <f>IF(B1442&lt;&gt;"",IF(AND(B1442&gt;=_TM1,B1442&lt;=_TM2,OR(TH!L1442="1111",TH!M1442="1111")),TH!D1442,""),"")</f>
        <v/>
      </c>
      <c r="B1442" s="700">
        <f t="shared" si="448"/>
        <v>1</v>
      </c>
      <c r="C1442" s="833">
        <f t="shared" si="449"/>
        <v>41285</v>
      </c>
      <c r="D1442" s="833" t="s">
        <v>1293</v>
      </c>
      <c r="E1442" s="833">
        <v>41285</v>
      </c>
      <c r="F1442" s="895" t="s">
        <v>733</v>
      </c>
      <c r="G1442" s="834" t="s">
        <v>732</v>
      </c>
      <c r="H1442" s="837" t="s">
        <v>1289</v>
      </c>
      <c r="I1442" s="254">
        <v>204</v>
      </c>
      <c r="J1442" s="254">
        <v>8096.6738590632767</v>
      </c>
      <c r="K1442" s="701">
        <f t="shared" si="450"/>
        <v>1651721</v>
      </c>
      <c r="L1442" s="52" t="s">
        <v>167</v>
      </c>
      <c r="M1442" s="896" t="s">
        <v>165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52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50"/>
    </row>
    <row r="1443" spans="1:27" s="808" customFormat="1" ht="15.75" customHeight="1">
      <c r="A1443" s="893" t="str">
        <f>IF(B1443&lt;&gt;"",IF(AND(B1443&gt;=_TM1,B1443&lt;=_TM2,OR(TH!L1443="1111",TH!M1443="1111")),TH!D1443,""),"")</f>
        <v/>
      </c>
      <c r="B1443" s="700">
        <f t="shared" si="448"/>
        <v>1</v>
      </c>
      <c r="C1443" s="833">
        <f t="shared" si="449"/>
        <v>41285</v>
      </c>
      <c r="D1443" s="833" t="s">
        <v>1293</v>
      </c>
      <c r="E1443" s="833">
        <v>41285</v>
      </c>
      <c r="F1443" s="895" t="s">
        <v>734</v>
      </c>
      <c r="G1443" s="834" t="s">
        <v>732</v>
      </c>
      <c r="H1443" s="837" t="s">
        <v>1289</v>
      </c>
      <c r="I1443" s="254">
        <v>510</v>
      </c>
      <c r="J1443" s="254">
        <v>1920.0228786711191</v>
      </c>
      <c r="K1443" s="701">
        <f t="shared" si="450"/>
        <v>979212</v>
      </c>
      <c r="L1443" s="52" t="s">
        <v>167</v>
      </c>
      <c r="M1443" s="896" t="s">
        <v>165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52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50"/>
    </row>
    <row r="1444" spans="1:27" s="808" customFormat="1" ht="15.75" customHeight="1">
      <c r="A1444" s="893" t="str">
        <f>IF(B1444&lt;&gt;"",IF(AND(B1444&gt;=_TM1,B1444&lt;=_TM2,OR(TH!L1444="1111",TH!M1444="1111")),TH!D1444,""),"")</f>
        <v/>
      </c>
      <c r="B1444" s="700">
        <f t="shared" si="448"/>
        <v>1</v>
      </c>
      <c r="C1444" s="833">
        <f t="shared" si="449"/>
        <v>41285</v>
      </c>
      <c r="D1444" s="833" t="s">
        <v>1293</v>
      </c>
      <c r="E1444" s="833">
        <v>41285</v>
      </c>
      <c r="F1444" s="918" t="s">
        <v>735</v>
      </c>
      <c r="G1444" s="919" t="s">
        <v>732</v>
      </c>
      <c r="H1444" s="837" t="s">
        <v>1289</v>
      </c>
      <c r="I1444" s="254">
        <v>420</v>
      </c>
      <c r="J1444" s="254">
        <v>1942.4632148055728</v>
      </c>
      <c r="K1444" s="701">
        <f t="shared" si="450"/>
        <v>815835</v>
      </c>
      <c r="L1444" s="52" t="s">
        <v>167</v>
      </c>
      <c r="M1444" s="896" t="s">
        <v>165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52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50"/>
    </row>
    <row r="1445" spans="1:27" s="808" customFormat="1" ht="15.75" customHeight="1">
      <c r="A1445" s="893" t="str">
        <f>IF(B1445&lt;&gt;"",IF(AND(B1445&gt;=_TM1,B1445&lt;=_TM2,OR(TH!L1445="1111",TH!M1445="1111")),TH!D1445,""),"")</f>
        <v/>
      </c>
      <c r="B1445" s="700">
        <f t="shared" si="448"/>
        <v>1</v>
      </c>
      <c r="C1445" s="833">
        <f t="shared" si="449"/>
        <v>41285</v>
      </c>
      <c r="D1445" s="833" t="s">
        <v>1293</v>
      </c>
      <c r="E1445" s="833">
        <v>41285</v>
      </c>
      <c r="F1445" s="918" t="s">
        <v>736</v>
      </c>
      <c r="G1445" s="919" t="s">
        <v>732</v>
      </c>
      <c r="H1445" s="837" t="s">
        <v>1289</v>
      </c>
      <c r="I1445" s="254">
        <v>200</v>
      </c>
      <c r="J1445" s="254">
        <v>2082.3413100436678</v>
      </c>
      <c r="K1445" s="701">
        <f t="shared" si="450"/>
        <v>416468</v>
      </c>
      <c r="L1445" s="52" t="s">
        <v>167</v>
      </c>
      <c r="M1445" s="896" t="s">
        <v>165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52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50"/>
    </row>
    <row r="1446" spans="1:27" s="808" customFormat="1" ht="15.75" customHeight="1">
      <c r="A1446" s="893" t="str">
        <f>IF(B1446&lt;&gt;"",IF(AND(B1446&gt;=_TM1,B1446&lt;=_TM2,OR(TH!L1446="1111",TH!M1446="1111")),TH!D1446,""),"")</f>
        <v/>
      </c>
      <c r="B1446" s="700">
        <f t="shared" si="448"/>
        <v>1</v>
      </c>
      <c r="C1446" s="833">
        <f t="shared" si="449"/>
        <v>41285</v>
      </c>
      <c r="D1446" s="833" t="s">
        <v>1293</v>
      </c>
      <c r="E1446" s="851">
        <v>41285</v>
      </c>
      <c r="F1446" s="49" t="s">
        <v>737</v>
      </c>
      <c r="G1446" s="49" t="s">
        <v>732</v>
      </c>
      <c r="H1446" s="837" t="s">
        <v>1289</v>
      </c>
      <c r="I1446" s="254">
        <v>420</v>
      </c>
      <c r="J1446" s="254">
        <v>1942.4632148055728</v>
      </c>
      <c r="K1446" s="701">
        <f t="shared" si="450"/>
        <v>815835</v>
      </c>
      <c r="L1446" s="52" t="s">
        <v>167</v>
      </c>
      <c r="M1446" s="896" t="s">
        <v>165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52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50"/>
    </row>
    <row r="1447" spans="1:27" s="808" customFormat="1" ht="15.75" customHeight="1">
      <c r="A1447" s="893" t="str">
        <f>IF(B1447&lt;&gt;"",IF(AND(B1447&gt;=_TM1,B1447&lt;=_TM2,OR(TH!L1447="1111",TH!M1447="1111")),TH!D1447,""),"")</f>
        <v/>
      </c>
      <c r="B1447" s="700">
        <f t="shared" si="448"/>
        <v>1</v>
      </c>
      <c r="C1447" s="833">
        <f t="shared" si="449"/>
        <v>41285</v>
      </c>
      <c r="D1447" s="833" t="s">
        <v>1293</v>
      </c>
      <c r="E1447" s="920">
        <v>41285</v>
      </c>
      <c r="F1447" s="895" t="s">
        <v>738</v>
      </c>
      <c r="G1447" s="834" t="s">
        <v>732</v>
      </c>
      <c r="H1447" s="837" t="s">
        <v>1289</v>
      </c>
      <c r="I1447" s="254">
        <v>52</v>
      </c>
      <c r="J1447" s="254">
        <v>10538.378233120591</v>
      </c>
      <c r="K1447" s="701">
        <f t="shared" si="450"/>
        <v>547996</v>
      </c>
      <c r="L1447" s="52" t="s">
        <v>167</v>
      </c>
      <c r="M1447" s="896" t="s">
        <v>165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52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50"/>
    </row>
    <row r="1448" spans="1:27" s="808" customFormat="1" ht="15.75" customHeight="1">
      <c r="A1448" s="893" t="str">
        <f>IF(B1448&lt;&gt;"",IF(AND(B1448&gt;=_TM1,B1448&lt;=_TM2,OR(TH!L1448="1111",TH!M1448="1111")),TH!D1448,""),"")</f>
        <v/>
      </c>
      <c r="B1448" s="700">
        <f t="shared" ref="B1448:B1511" si="451">IF(C1448&lt;&gt;"",MONTH(C1448),"")</f>
        <v>1</v>
      </c>
      <c r="C1448" s="833">
        <f t="shared" si="449"/>
        <v>41288</v>
      </c>
      <c r="D1448" s="833" t="s">
        <v>1293</v>
      </c>
      <c r="E1448" s="920">
        <v>41288</v>
      </c>
      <c r="F1448" s="895" t="s">
        <v>739</v>
      </c>
      <c r="G1448" s="834" t="s">
        <v>740</v>
      </c>
      <c r="H1448" s="837" t="s">
        <v>1289</v>
      </c>
      <c r="I1448" s="254">
        <v>820</v>
      </c>
      <c r="J1448" s="254">
        <v>7334.2037490680577</v>
      </c>
      <c r="K1448" s="701">
        <f t="shared" si="450"/>
        <v>6014047</v>
      </c>
      <c r="L1448" s="52" t="s">
        <v>167</v>
      </c>
      <c r="M1448" s="896" t="s">
        <v>165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52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50"/>
    </row>
    <row r="1449" spans="1:27" s="808" customFormat="1" ht="15.75" customHeight="1">
      <c r="A1449" s="893" t="str">
        <f>IF(B1449&lt;&gt;"",IF(AND(B1449&gt;=_TM1,B1449&lt;=_TM2,OR(TH!L1449="1111",TH!M1449="1111")),TH!D1449,""),"")</f>
        <v/>
      </c>
      <c r="B1449" s="700">
        <f t="shared" si="451"/>
        <v>1</v>
      </c>
      <c r="C1449" s="833">
        <f t="shared" si="449"/>
        <v>41290</v>
      </c>
      <c r="D1449" s="833" t="s">
        <v>1293</v>
      </c>
      <c r="E1449" s="833">
        <v>41290</v>
      </c>
      <c r="F1449" s="836" t="s">
        <v>742</v>
      </c>
      <c r="G1449" s="834" t="s">
        <v>743</v>
      </c>
      <c r="H1449" s="837" t="s">
        <v>1289</v>
      </c>
      <c r="I1449" s="254">
        <v>274</v>
      </c>
      <c r="J1449" s="254">
        <v>24927.345105664106</v>
      </c>
      <c r="K1449" s="701">
        <f t="shared" si="450"/>
        <v>6830093</v>
      </c>
      <c r="L1449" s="52" t="s">
        <v>167</v>
      </c>
      <c r="M1449" s="896" t="s">
        <v>165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52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50"/>
    </row>
    <row r="1450" spans="1:27" s="808" customFormat="1" ht="15.75" customHeight="1">
      <c r="A1450" s="893" t="str">
        <f>IF(B1450&lt;&gt;"",IF(AND(B1450&gt;=_TM1,B1450&lt;=_TM2,OR(TH!L1450="1111",TH!M1450="1111")),TH!D1450,""),"")</f>
        <v/>
      </c>
      <c r="B1450" s="700">
        <f t="shared" si="451"/>
        <v>1</v>
      </c>
      <c r="C1450" s="833">
        <f t="shared" si="449"/>
        <v>41292</v>
      </c>
      <c r="D1450" s="833" t="s">
        <v>1293</v>
      </c>
      <c r="E1450" s="833">
        <v>41292</v>
      </c>
      <c r="F1450" s="836" t="s">
        <v>745</v>
      </c>
      <c r="G1450" s="834" t="s">
        <v>746</v>
      </c>
      <c r="H1450" s="837" t="s">
        <v>1289</v>
      </c>
      <c r="I1450" s="254">
        <v>113</v>
      </c>
      <c r="J1450" s="254">
        <v>26518.310159601184</v>
      </c>
      <c r="K1450" s="701">
        <f t="shared" si="450"/>
        <v>2996569</v>
      </c>
      <c r="L1450" s="52" t="s">
        <v>167</v>
      </c>
      <c r="M1450" s="896" t="s">
        <v>165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52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50"/>
    </row>
    <row r="1451" spans="1:27" s="808" customFormat="1" ht="15.75" customHeight="1">
      <c r="A1451" s="893" t="str">
        <f>IF(B1451&lt;&gt;"",IF(AND(B1451&gt;=_TM1,B1451&lt;=_TM2,OR(TH!L1451="1111",TH!M1451="1111")),TH!D1451,""),"")</f>
        <v/>
      </c>
      <c r="B1451" s="700">
        <f t="shared" si="451"/>
        <v>1</v>
      </c>
      <c r="C1451" s="833">
        <f t="shared" si="449"/>
        <v>41292</v>
      </c>
      <c r="D1451" s="833" t="s">
        <v>1293</v>
      </c>
      <c r="E1451" s="894">
        <v>41292</v>
      </c>
      <c r="F1451" s="918" t="s">
        <v>747</v>
      </c>
      <c r="G1451" s="919" t="s">
        <v>748</v>
      </c>
      <c r="H1451" s="837" t="s">
        <v>1289</v>
      </c>
      <c r="I1451" s="254">
        <v>1319</v>
      </c>
      <c r="J1451" s="254">
        <v>5210.9040393840787</v>
      </c>
      <c r="K1451" s="701">
        <f t="shared" si="450"/>
        <v>6873182</v>
      </c>
      <c r="L1451" s="52" t="s">
        <v>167</v>
      </c>
      <c r="M1451" s="896" t="s">
        <v>165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52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50"/>
    </row>
    <row r="1452" spans="1:27" s="808" customFormat="1" ht="15.75" customHeight="1">
      <c r="A1452" s="893" t="str">
        <f>IF(B1452&lt;&gt;"",IF(AND(B1452&gt;=_TM1,B1452&lt;=_TM2,OR(TH!L1452="1111",TH!M1452="1111")),TH!D1452,""),"")</f>
        <v/>
      </c>
      <c r="B1452" s="700">
        <f t="shared" si="451"/>
        <v>1</v>
      </c>
      <c r="C1452" s="833">
        <f t="shared" si="449"/>
        <v>41292</v>
      </c>
      <c r="D1452" s="833" t="s">
        <v>1293</v>
      </c>
      <c r="E1452" s="851">
        <v>41292</v>
      </c>
      <c r="F1452" s="918" t="s">
        <v>749</v>
      </c>
      <c r="G1452" s="49" t="s">
        <v>748</v>
      </c>
      <c r="H1452" s="837" t="s">
        <v>1289</v>
      </c>
      <c r="I1452" s="254">
        <v>306</v>
      </c>
      <c r="J1452" s="254">
        <v>5700.5954276907269</v>
      </c>
      <c r="K1452" s="701">
        <f t="shared" si="450"/>
        <v>1744382</v>
      </c>
      <c r="L1452" s="52" t="s">
        <v>167</v>
      </c>
      <c r="M1452" s="896" t="s">
        <v>165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52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50"/>
    </row>
    <row r="1453" spans="1:27" s="808" customFormat="1" ht="15.75" customHeight="1">
      <c r="A1453" s="893" t="str">
        <f>IF(B1453&lt;&gt;"",IF(AND(B1453&gt;=_TM1,B1453&lt;=_TM2,OR(TH!L1453="1111",TH!M1453="1111")),TH!D1453,""),"")</f>
        <v/>
      </c>
      <c r="B1453" s="700">
        <f t="shared" si="451"/>
        <v>1</v>
      </c>
      <c r="C1453" s="833">
        <f t="shared" si="449"/>
        <v>41293</v>
      </c>
      <c r="D1453" s="833" t="s">
        <v>1293</v>
      </c>
      <c r="E1453" s="851">
        <v>41293</v>
      </c>
      <c r="F1453" s="49" t="s">
        <v>750</v>
      </c>
      <c r="G1453" s="49" t="s">
        <v>751</v>
      </c>
      <c r="H1453" s="837" t="s">
        <v>1289</v>
      </c>
      <c r="I1453" s="254">
        <v>294</v>
      </c>
      <c r="J1453" s="254">
        <v>13653.852330451831</v>
      </c>
      <c r="K1453" s="701">
        <f t="shared" si="450"/>
        <v>4014233</v>
      </c>
      <c r="L1453" s="52" t="s">
        <v>167</v>
      </c>
      <c r="M1453" s="896" t="s">
        <v>165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52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50"/>
    </row>
    <row r="1454" spans="1:27" s="808" customFormat="1" ht="15.75" customHeight="1">
      <c r="A1454" s="893" t="str">
        <f>IF(B1454&lt;&gt;"",IF(AND(B1454&gt;=_TM1,B1454&lt;=_TM2,OR(TH!L1454="1111",TH!M1454="1111")),TH!D1454,""),"")</f>
        <v/>
      </c>
      <c r="B1454" s="700">
        <f t="shared" si="451"/>
        <v>1</v>
      </c>
      <c r="C1454" s="833">
        <f t="shared" si="449"/>
        <v>41293</v>
      </c>
      <c r="D1454" s="833" t="s">
        <v>1293</v>
      </c>
      <c r="E1454" s="851">
        <v>41293</v>
      </c>
      <c r="F1454" s="918" t="s">
        <v>752</v>
      </c>
      <c r="G1454" s="49" t="s">
        <v>751</v>
      </c>
      <c r="H1454" s="837" t="s">
        <v>1289</v>
      </c>
      <c r="I1454" s="921">
        <v>100</v>
      </c>
      <c r="J1454" s="254">
        <v>8598.3013100436692</v>
      </c>
      <c r="K1454" s="701">
        <f t="shared" si="450"/>
        <v>859830</v>
      </c>
      <c r="L1454" s="52" t="s">
        <v>167</v>
      </c>
      <c r="M1454" s="896" t="s">
        <v>165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52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50"/>
    </row>
    <row r="1455" spans="1:27" s="808" customFormat="1" ht="15.75" customHeight="1">
      <c r="A1455" s="893" t="str">
        <f>IF(B1455&lt;&gt;"",IF(AND(B1455&gt;=_TM1,B1455&lt;=_TM2,OR(TH!L1455="1111",TH!M1455="1111")),TH!D1455,""),"")</f>
        <v/>
      </c>
      <c r="B1455" s="700">
        <f t="shared" si="451"/>
        <v>1</v>
      </c>
      <c r="C1455" s="833">
        <f t="shared" si="449"/>
        <v>41293</v>
      </c>
      <c r="D1455" s="833" t="s">
        <v>1293</v>
      </c>
      <c r="E1455" s="851">
        <v>41293</v>
      </c>
      <c r="F1455" s="49" t="s">
        <v>753</v>
      </c>
      <c r="G1455" s="49" t="s">
        <v>751</v>
      </c>
      <c r="H1455" s="837" t="s">
        <v>1289</v>
      </c>
      <c r="I1455" s="254">
        <v>494</v>
      </c>
      <c r="J1455" s="254">
        <v>13088.287140003185</v>
      </c>
      <c r="K1455" s="701">
        <f t="shared" si="450"/>
        <v>6465614</v>
      </c>
      <c r="L1455" s="52" t="s">
        <v>167</v>
      </c>
      <c r="M1455" s="896" t="s">
        <v>165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52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50"/>
    </row>
    <row r="1456" spans="1:27" s="808" customFormat="1" ht="15.75" customHeight="1">
      <c r="A1456" s="893" t="str">
        <f>IF(B1456&lt;&gt;"",IF(AND(B1456&gt;=_TM1,B1456&lt;=_TM2,OR(TH!L1456="1111",TH!M1456="1111")),TH!D1456,""),"")</f>
        <v/>
      </c>
      <c r="B1456" s="700">
        <f t="shared" si="451"/>
        <v>1</v>
      </c>
      <c r="C1456" s="833">
        <f t="shared" si="449"/>
        <v>41293</v>
      </c>
      <c r="D1456" s="833" t="s">
        <v>1293</v>
      </c>
      <c r="E1456" s="851">
        <v>41293</v>
      </c>
      <c r="F1456" s="918" t="s">
        <v>754</v>
      </c>
      <c r="G1456" s="49" t="s">
        <v>751</v>
      </c>
      <c r="H1456" s="837" t="s">
        <v>1289</v>
      </c>
      <c r="I1456" s="254">
        <v>284</v>
      </c>
      <c r="J1456" s="254">
        <v>12697.695676240852</v>
      </c>
      <c r="K1456" s="701">
        <f t="shared" si="450"/>
        <v>3606146</v>
      </c>
      <c r="L1456" s="52" t="s">
        <v>167</v>
      </c>
      <c r="M1456" s="896" t="s">
        <v>165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52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50"/>
    </row>
    <row r="1457" spans="1:27" s="808" customFormat="1" ht="15.75" customHeight="1">
      <c r="A1457" s="893" t="str">
        <f>IF(B1457&lt;&gt;"",IF(AND(B1457&gt;=_TM1,B1457&lt;=_TM2,OR(TH!L1457="1111",TH!M1457="1111")),TH!D1457,""),"")</f>
        <v/>
      </c>
      <c r="B1457" s="700">
        <f t="shared" si="451"/>
        <v>1</v>
      </c>
      <c r="C1457" s="833">
        <f t="shared" si="449"/>
        <v>41297</v>
      </c>
      <c r="D1457" s="833" t="s">
        <v>1293</v>
      </c>
      <c r="E1457" s="851">
        <v>41297</v>
      </c>
      <c r="F1457" s="918" t="s">
        <v>755</v>
      </c>
      <c r="G1457" s="49" t="s">
        <v>756</v>
      </c>
      <c r="H1457" s="837" t="s">
        <v>1289</v>
      </c>
      <c r="I1457" s="254">
        <v>707</v>
      </c>
      <c r="J1457" s="254">
        <v>7225.6619889687045</v>
      </c>
      <c r="K1457" s="701">
        <f t="shared" si="450"/>
        <v>5108543</v>
      </c>
      <c r="L1457" s="52" t="s">
        <v>167</v>
      </c>
      <c r="M1457" s="896" t="s">
        <v>165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52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50"/>
    </row>
    <row r="1458" spans="1:27" s="808" customFormat="1" ht="15.75" customHeight="1">
      <c r="A1458" s="893" t="str">
        <f>IF(B1458&lt;&gt;"",IF(AND(B1458&gt;=_TM1,B1458&lt;=_TM2,OR(TH!L1458="1111",TH!M1458="1111")),TH!D1458,""),"")</f>
        <v/>
      </c>
      <c r="B1458" s="700">
        <f t="shared" si="451"/>
        <v>1</v>
      </c>
      <c r="C1458" s="833">
        <f t="shared" si="449"/>
        <v>41303</v>
      </c>
      <c r="D1458" s="833" t="s">
        <v>1293</v>
      </c>
      <c r="E1458" s="851">
        <v>41303</v>
      </c>
      <c r="F1458" s="918" t="s">
        <v>739</v>
      </c>
      <c r="G1458" s="49" t="s">
        <v>757</v>
      </c>
      <c r="H1458" s="837" t="s">
        <v>1289</v>
      </c>
      <c r="I1458" s="254">
        <v>593</v>
      </c>
      <c r="J1458" s="254">
        <v>7448.1006355074123</v>
      </c>
      <c r="K1458" s="701">
        <f t="shared" si="450"/>
        <v>4416724</v>
      </c>
      <c r="L1458" s="52" t="s">
        <v>167</v>
      </c>
      <c r="M1458" s="896" t="s">
        <v>165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52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50"/>
    </row>
    <row r="1459" spans="1:27" s="808" customFormat="1" ht="15.75" customHeight="1">
      <c r="A1459" s="893" t="str">
        <f>IF(B1459&lt;&gt;"",IF(AND(B1459&gt;=_TM1,B1459&lt;=_TM2,OR(TH!L1459="1111",TH!M1459="1111")),TH!D1459,""),"")</f>
        <v/>
      </c>
      <c r="B1459" s="700">
        <f t="shared" si="451"/>
        <v>1</v>
      </c>
      <c r="C1459" s="833">
        <f t="shared" si="449"/>
        <v>41303</v>
      </c>
      <c r="D1459" s="833" t="s">
        <v>1293</v>
      </c>
      <c r="E1459" s="851">
        <v>41303</v>
      </c>
      <c r="F1459" s="918" t="s">
        <v>758</v>
      </c>
      <c r="G1459" s="49" t="s">
        <v>757</v>
      </c>
      <c r="H1459" s="837" t="s">
        <v>1289</v>
      </c>
      <c r="I1459" s="254">
        <v>398</v>
      </c>
      <c r="J1459" s="254">
        <v>7546.2058326567339</v>
      </c>
      <c r="K1459" s="701">
        <f t="shared" si="450"/>
        <v>3003390</v>
      </c>
      <c r="L1459" s="52" t="s">
        <v>167</v>
      </c>
      <c r="M1459" s="896" t="s">
        <v>165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52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50"/>
    </row>
    <row r="1460" spans="1:27" s="808" customFormat="1" ht="15.75" customHeight="1">
      <c r="A1460" s="893" t="str">
        <f>IF(B1460&lt;&gt;"",IF(AND(B1460&gt;=_TM1,B1460&lt;=_TM2,OR(TH!L1460="1111",TH!M1460="1111")),TH!D1460,""),"")</f>
        <v/>
      </c>
      <c r="B1460" s="700">
        <f t="shared" si="451"/>
        <v>1</v>
      </c>
      <c r="C1460" s="833">
        <f t="shared" si="449"/>
        <v>41303</v>
      </c>
      <c r="D1460" s="833" t="s">
        <v>1293</v>
      </c>
      <c r="E1460" s="851">
        <v>41303</v>
      </c>
      <c r="F1460" s="918" t="s">
        <v>750</v>
      </c>
      <c r="G1460" s="49" t="s">
        <v>759</v>
      </c>
      <c r="H1460" s="837" t="s">
        <v>1289</v>
      </c>
      <c r="I1460" s="254">
        <v>410</v>
      </c>
      <c r="J1460" s="254">
        <v>13214.962285653424</v>
      </c>
      <c r="K1460" s="701">
        <f t="shared" si="450"/>
        <v>5418135</v>
      </c>
      <c r="L1460" s="52" t="s">
        <v>167</v>
      </c>
      <c r="M1460" s="896" t="s">
        <v>165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52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50"/>
    </row>
    <row r="1461" spans="1:27" s="808" customFormat="1" ht="15.75" customHeight="1">
      <c r="A1461" s="893" t="str">
        <f>IF(B1461&lt;&gt;"",IF(AND(B1461&gt;=_TM1,B1461&lt;=_TM2,OR(TH!L1461="1111",TH!M1461="1111")),TH!D1461,""),"")</f>
        <v/>
      </c>
      <c r="B1461" s="700">
        <f t="shared" si="451"/>
        <v>1</v>
      </c>
      <c r="C1461" s="833">
        <f t="shared" si="449"/>
        <v>41303</v>
      </c>
      <c r="D1461" s="833" t="s">
        <v>1293</v>
      </c>
      <c r="E1461" s="833">
        <v>41303</v>
      </c>
      <c r="F1461" s="895" t="s">
        <v>755</v>
      </c>
      <c r="G1461" s="834" t="s">
        <v>760</v>
      </c>
      <c r="H1461" s="837" t="s">
        <v>1289</v>
      </c>
      <c r="I1461" s="254">
        <v>1106</v>
      </c>
      <c r="J1461" s="254">
        <v>7222.2859393384251</v>
      </c>
      <c r="K1461" s="701">
        <f t="shared" si="450"/>
        <v>7987848</v>
      </c>
      <c r="L1461" s="52" t="s">
        <v>167</v>
      </c>
      <c r="M1461" s="896" t="s">
        <v>165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52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50"/>
    </row>
    <row r="1462" spans="1:27" s="808" customFormat="1" ht="15.75" customHeight="1">
      <c r="A1462" s="893" t="str">
        <f>IF(B1462&lt;&gt;"",IF(AND(B1462&gt;=_TM1,B1462&lt;=_TM2,OR(TH!L1462="1111",TH!M1462="1111")),TH!D1462,""),"")</f>
        <v/>
      </c>
      <c r="B1462" s="700">
        <f t="shared" si="451"/>
        <v>1</v>
      </c>
      <c r="C1462" s="833">
        <f t="shared" si="449"/>
        <v>41305</v>
      </c>
      <c r="D1462" s="833" t="s">
        <v>1293</v>
      </c>
      <c r="E1462" s="833">
        <v>41305</v>
      </c>
      <c r="F1462" s="895" t="s">
        <v>729</v>
      </c>
      <c r="G1462" s="834" t="s">
        <v>761</v>
      </c>
      <c r="H1462" s="837" t="s">
        <v>1289</v>
      </c>
      <c r="I1462" s="254">
        <v>1693</v>
      </c>
      <c r="J1462" s="254">
        <v>8011.9167855309679</v>
      </c>
      <c r="K1462" s="701">
        <f t="shared" si="450"/>
        <v>13564175</v>
      </c>
      <c r="L1462" s="52" t="s">
        <v>167</v>
      </c>
      <c r="M1462" s="896" t="s">
        <v>165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52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50"/>
    </row>
    <row r="1463" spans="1:27" s="808" customFormat="1" ht="15.75" customHeight="1">
      <c r="A1463" s="893" t="str">
        <f>IF(B1463&lt;&gt;"",IF(AND(B1463&gt;=_TM1,B1463&lt;=_TM2,OR(TH!L1463="1111",TH!M1463="1111")),TH!D1463,""),"")</f>
        <v/>
      </c>
      <c r="B1463" s="700">
        <f t="shared" si="451"/>
        <v>1</v>
      </c>
      <c r="C1463" s="833">
        <f t="shared" si="449"/>
        <v>41305</v>
      </c>
      <c r="D1463" s="833" t="s">
        <v>1293</v>
      </c>
      <c r="E1463" s="851">
        <v>41305</v>
      </c>
      <c r="F1463" s="49" t="s">
        <v>762</v>
      </c>
      <c r="G1463" s="49" t="s">
        <v>763</v>
      </c>
      <c r="H1463" s="837" t="s">
        <v>1289</v>
      </c>
      <c r="I1463" s="254">
        <v>466</v>
      </c>
      <c r="J1463" s="254">
        <v>21416.116760687448</v>
      </c>
      <c r="K1463" s="701">
        <f t="shared" si="450"/>
        <v>9979910</v>
      </c>
      <c r="L1463" s="52" t="s">
        <v>167</v>
      </c>
      <c r="M1463" s="896" t="s">
        <v>165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52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50"/>
    </row>
    <row r="1464" spans="1:27" s="808" customFormat="1" ht="15.75" customHeight="1">
      <c r="A1464" s="893" t="str">
        <f>IF(B1464&lt;&gt;"",IF(AND(B1464&gt;=_TM1,B1464&lt;=_TM2,OR(TH!L1464="1111",TH!M1464="1111")),TH!D1464,""),"")</f>
        <v/>
      </c>
      <c r="B1464" s="700">
        <f t="shared" si="451"/>
        <v>2</v>
      </c>
      <c r="C1464" s="833">
        <f t="shared" si="449"/>
        <v>41328</v>
      </c>
      <c r="D1464" s="833" t="s">
        <v>1293</v>
      </c>
      <c r="E1464" s="851">
        <v>41328</v>
      </c>
      <c r="F1464" s="918" t="s">
        <v>764</v>
      </c>
      <c r="G1464" s="49" t="s">
        <v>765</v>
      </c>
      <c r="H1464" s="837" t="s">
        <v>1289</v>
      </c>
      <c r="I1464" s="254">
        <v>610</v>
      </c>
      <c r="J1464" s="254">
        <v>7278.6439329944869</v>
      </c>
      <c r="K1464" s="701">
        <f t="shared" si="450"/>
        <v>4439973</v>
      </c>
      <c r="L1464" s="52" t="s">
        <v>167</v>
      </c>
      <c r="M1464" s="896" t="s">
        <v>165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52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50"/>
    </row>
    <row r="1465" spans="1:27" s="808" customFormat="1" ht="15.75" customHeight="1">
      <c r="A1465" s="893" t="str">
        <f>IF(B1465&lt;&gt;"",IF(AND(B1465&gt;=_TM1,B1465&lt;=_TM2,OR(TH!L1465="1111",TH!M1465="1111")),TH!D1465,""),"")</f>
        <v/>
      </c>
      <c r="B1465" s="700">
        <f t="shared" si="451"/>
        <v>3</v>
      </c>
      <c r="C1465" s="833">
        <f t="shared" si="449"/>
        <v>41337</v>
      </c>
      <c r="D1465" s="833" t="s">
        <v>1293</v>
      </c>
      <c r="E1465" s="851">
        <v>41337</v>
      </c>
      <c r="F1465" s="918" t="s">
        <v>766</v>
      </c>
      <c r="G1465" s="49" t="s">
        <v>767</v>
      </c>
      <c r="H1465" s="837" t="s">
        <v>1289</v>
      </c>
      <c r="I1465" s="254">
        <v>620</v>
      </c>
      <c r="J1465" s="254">
        <v>9716.4626003662488</v>
      </c>
      <c r="K1465" s="701">
        <f t="shared" si="450"/>
        <v>6024207</v>
      </c>
      <c r="L1465" s="52" t="s">
        <v>167</v>
      </c>
      <c r="M1465" s="896" t="s">
        <v>165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52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50"/>
    </row>
    <row r="1466" spans="1:27" s="808" customFormat="1" ht="15.75" customHeight="1">
      <c r="A1466" s="893" t="str">
        <f>IF(B1466&lt;&gt;"",IF(AND(B1466&gt;=_TM1,B1466&lt;=_TM2,OR(TH!L1466="1111",TH!M1466="1111")),TH!D1466,""),"")</f>
        <v/>
      </c>
      <c r="B1466" s="700">
        <f t="shared" si="451"/>
        <v>3</v>
      </c>
      <c r="C1466" s="833">
        <f t="shared" si="449"/>
        <v>41337</v>
      </c>
      <c r="D1466" s="833" t="s">
        <v>1293</v>
      </c>
      <c r="E1466" s="851">
        <v>41337</v>
      </c>
      <c r="F1466" s="918" t="s">
        <v>747</v>
      </c>
      <c r="G1466" s="49" t="s">
        <v>768</v>
      </c>
      <c r="H1466" s="837" t="s">
        <v>1289</v>
      </c>
      <c r="I1466" s="254">
        <v>1963</v>
      </c>
      <c r="J1466" s="254">
        <v>5237.7159814649622</v>
      </c>
      <c r="K1466" s="701">
        <f t="shared" si="450"/>
        <v>10281636</v>
      </c>
      <c r="L1466" s="52" t="s">
        <v>167</v>
      </c>
      <c r="M1466" s="896" t="s">
        <v>165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52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50"/>
    </row>
    <row r="1467" spans="1:27" s="808" customFormat="1" ht="15.75" customHeight="1">
      <c r="A1467" s="893" t="str">
        <f>IF(B1467&lt;&gt;"",IF(AND(B1467&gt;=_TM1,B1467&lt;=_TM2,OR(TH!L1467="1111",TH!M1467="1111")),TH!D1467,""),"")</f>
        <v/>
      </c>
      <c r="B1467" s="700">
        <f t="shared" si="451"/>
        <v>3</v>
      </c>
      <c r="C1467" s="833">
        <f t="shared" si="449"/>
        <v>41337</v>
      </c>
      <c r="D1467" s="833" t="s">
        <v>1293</v>
      </c>
      <c r="E1467" s="851">
        <v>41337</v>
      </c>
      <c r="F1467" s="918" t="s">
        <v>723</v>
      </c>
      <c r="G1467" s="49" t="s">
        <v>768</v>
      </c>
      <c r="H1467" s="837" t="s">
        <v>1289</v>
      </c>
      <c r="I1467" s="254">
        <v>559</v>
      </c>
      <c r="J1467" s="254">
        <v>4627.0723297216655</v>
      </c>
      <c r="K1467" s="701">
        <f t="shared" si="450"/>
        <v>2586533</v>
      </c>
      <c r="L1467" s="52" t="s">
        <v>167</v>
      </c>
      <c r="M1467" s="896" t="s">
        <v>165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52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50"/>
    </row>
    <row r="1468" spans="1:27" s="808" customFormat="1" ht="15.75" customHeight="1">
      <c r="A1468" s="893" t="str">
        <f>IF(B1468&lt;&gt;"",IF(AND(B1468&gt;=_TM1,B1468&lt;=_TM2,OR(TH!L1468="1111",TH!M1468="1111")),TH!D1468,""),"")</f>
        <v/>
      </c>
      <c r="B1468" s="700">
        <f t="shared" si="451"/>
        <v>3</v>
      </c>
      <c r="C1468" s="833">
        <f t="shared" si="449"/>
        <v>41337</v>
      </c>
      <c r="D1468" s="833" t="s">
        <v>1293</v>
      </c>
      <c r="E1468" s="851">
        <v>41337</v>
      </c>
      <c r="F1468" s="918" t="s">
        <v>769</v>
      </c>
      <c r="G1468" s="49" t="s">
        <v>768</v>
      </c>
      <c r="H1468" s="837" t="s">
        <v>1289</v>
      </c>
      <c r="I1468" s="254">
        <v>617</v>
      </c>
      <c r="J1468" s="254">
        <v>9742.3677606109304</v>
      </c>
      <c r="K1468" s="701">
        <f t="shared" si="450"/>
        <v>6011041</v>
      </c>
      <c r="L1468" s="52" t="s">
        <v>167</v>
      </c>
      <c r="M1468" s="896" t="s">
        <v>165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52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50"/>
    </row>
    <row r="1469" spans="1:27" s="808" customFormat="1" ht="15.75" customHeight="1">
      <c r="A1469" s="893" t="str">
        <f>IF(B1469&lt;&gt;"",IF(AND(B1469&gt;=_TM1,B1469&lt;=_TM2,OR(TH!L1469="1111",TH!M1469="1111")),TH!D1469,""),"")</f>
        <v/>
      </c>
      <c r="B1469" s="700">
        <f t="shared" si="451"/>
        <v>3</v>
      </c>
      <c r="C1469" s="833">
        <f t="shared" si="449"/>
        <v>41345</v>
      </c>
      <c r="D1469" s="833" t="s">
        <v>1293</v>
      </c>
      <c r="E1469" s="851">
        <v>41345</v>
      </c>
      <c r="F1469" s="918" t="s">
        <v>1125</v>
      </c>
      <c r="G1469" s="49" t="s">
        <v>770</v>
      </c>
      <c r="H1469" s="837" t="s">
        <v>1289</v>
      </c>
      <c r="I1469" s="254">
        <v>310</v>
      </c>
      <c r="J1469" s="254">
        <v>11868.20453585012</v>
      </c>
      <c r="K1469" s="701">
        <f t="shared" si="450"/>
        <v>3679143</v>
      </c>
      <c r="L1469" s="52" t="s">
        <v>167</v>
      </c>
      <c r="M1469" s="896" t="s">
        <v>165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52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50"/>
    </row>
    <row r="1470" spans="1:27" s="808" customFormat="1" ht="15.75" customHeight="1">
      <c r="A1470" s="893" t="str">
        <f>IF(B1470&lt;&gt;"",IF(AND(B1470&gt;=_TM1,B1470&lt;=_TM2,OR(TH!L1470="1111",TH!M1470="1111")),TH!D1470,""),"")</f>
        <v/>
      </c>
      <c r="B1470" s="700">
        <f t="shared" si="451"/>
        <v>3</v>
      </c>
      <c r="C1470" s="833">
        <f t="shared" si="449"/>
        <v>41345</v>
      </c>
      <c r="D1470" s="833" t="s">
        <v>1293</v>
      </c>
      <c r="E1470" s="851">
        <v>41345</v>
      </c>
      <c r="F1470" s="918" t="s">
        <v>739</v>
      </c>
      <c r="G1470" s="49" t="s">
        <v>772</v>
      </c>
      <c r="H1470" s="837" t="s">
        <v>1289</v>
      </c>
      <c r="I1470" s="921">
        <v>500</v>
      </c>
      <c r="J1470" s="254">
        <v>7418.3013100436683</v>
      </c>
      <c r="K1470" s="701">
        <f t="shared" si="450"/>
        <v>3709151</v>
      </c>
      <c r="L1470" s="52" t="s">
        <v>167</v>
      </c>
      <c r="M1470" s="896" t="s">
        <v>165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52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50"/>
    </row>
    <row r="1471" spans="1:27" s="808" customFormat="1" ht="15.75" customHeight="1">
      <c r="A1471" s="893" t="str">
        <f>IF(B1471&lt;&gt;"",IF(AND(B1471&gt;=_TM1,B1471&lt;=_TM2,OR(TH!L1471="1111",TH!M1471="1111")),TH!D1471,""),"")</f>
        <v/>
      </c>
      <c r="B1471" s="700">
        <f t="shared" si="451"/>
        <v>3</v>
      </c>
      <c r="C1471" s="833">
        <f t="shared" si="449"/>
        <v>41345</v>
      </c>
      <c r="D1471" s="833" t="s">
        <v>1293</v>
      </c>
      <c r="E1471" s="833">
        <v>41345</v>
      </c>
      <c r="F1471" s="895" t="s">
        <v>758</v>
      </c>
      <c r="G1471" s="834" t="s">
        <v>772</v>
      </c>
      <c r="H1471" s="837" t="s">
        <v>1289</v>
      </c>
      <c r="I1471" s="254">
        <v>300</v>
      </c>
      <c r="J1471" s="254">
        <v>9375.3013100436692</v>
      </c>
      <c r="K1471" s="701">
        <f t="shared" si="450"/>
        <v>2812590</v>
      </c>
      <c r="L1471" s="52" t="s">
        <v>167</v>
      </c>
      <c r="M1471" s="896" t="s">
        <v>165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52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50"/>
    </row>
    <row r="1472" spans="1:27" s="808" customFormat="1" ht="15.75" customHeight="1">
      <c r="A1472" s="893" t="str">
        <f>IF(B1472&lt;&gt;"",IF(AND(B1472&gt;=_TM1,B1472&lt;=_TM2,OR(TH!L1472="1111",TH!M1472="1111")),TH!D1472,""),"")</f>
        <v/>
      </c>
      <c r="B1472" s="700">
        <f t="shared" si="451"/>
        <v>3</v>
      </c>
      <c r="C1472" s="833">
        <f t="shared" si="449"/>
        <v>41346</v>
      </c>
      <c r="D1472" s="833" t="s">
        <v>1293</v>
      </c>
      <c r="E1472" s="833">
        <v>41346</v>
      </c>
      <c r="F1472" s="895" t="s">
        <v>773</v>
      </c>
      <c r="G1472" s="834" t="s">
        <v>494</v>
      </c>
      <c r="H1472" s="837" t="s">
        <v>1289</v>
      </c>
      <c r="I1472" s="254">
        <v>512</v>
      </c>
      <c r="J1472" s="254">
        <v>21992.438028793666</v>
      </c>
      <c r="K1472" s="701">
        <f t="shared" si="450"/>
        <v>11260128</v>
      </c>
      <c r="L1472" s="52" t="s">
        <v>167</v>
      </c>
      <c r="M1472" s="896" t="s">
        <v>165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52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50"/>
    </row>
    <row r="1473" spans="1:27" s="808" customFormat="1" ht="15.75" customHeight="1">
      <c r="A1473" s="893" t="str">
        <f>IF(B1473&lt;&gt;"",IF(AND(B1473&gt;=_TM1,B1473&lt;=_TM2,OR(TH!L1473="1111",TH!M1473="1111")),TH!D1473,""),"")</f>
        <v/>
      </c>
      <c r="B1473" s="700">
        <f t="shared" si="451"/>
        <v>3</v>
      </c>
      <c r="C1473" s="833">
        <f t="shared" si="449"/>
        <v>41346</v>
      </c>
      <c r="D1473" s="833" t="s">
        <v>1293</v>
      </c>
      <c r="E1473" s="833">
        <v>41346</v>
      </c>
      <c r="F1473" s="895" t="s">
        <v>1126</v>
      </c>
      <c r="G1473" s="834" t="s">
        <v>774</v>
      </c>
      <c r="H1473" s="837" t="s">
        <v>1289</v>
      </c>
      <c r="I1473" s="254">
        <v>500</v>
      </c>
      <c r="J1473" s="254">
        <v>11770.331310043668</v>
      </c>
      <c r="K1473" s="701">
        <f t="shared" si="450"/>
        <v>5885166</v>
      </c>
      <c r="L1473" s="52" t="s">
        <v>167</v>
      </c>
      <c r="M1473" s="896" t="s">
        <v>165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52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50"/>
    </row>
    <row r="1474" spans="1:27" s="808" customFormat="1" ht="15.75" customHeight="1">
      <c r="A1474" s="893" t="str">
        <f>IF(B1474&lt;&gt;"",IF(AND(B1474&gt;=_TM1,B1474&lt;=_TM2,OR(TH!L1474="1111",TH!M1474="1111")),TH!D1474,""),"")</f>
        <v/>
      </c>
      <c r="B1474" s="700">
        <f t="shared" si="451"/>
        <v>3</v>
      </c>
      <c r="C1474" s="833">
        <f t="shared" si="449"/>
        <v>41351</v>
      </c>
      <c r="D1474" s="833" t="s">
        <v>1293</v>
      </c>
      <c r="E1474" s="48">
        <v>41351</v>
      </c>
      <c r="F1474" s="49" t="s">
        <v>776</v>
      </c>
      <c r="G1474" s="49" t="s">
        <v>777</v>
      </c>
      <c r="H1474" s="837" t="s">
        <v>1289</v>
      </c>
      <c r="I1474" s="254">
        <v>105</v>
      </c>
      <c r="J1474" s="254">
        <v>24843.301310043666</v>
      </c>
      <c r="K1474" s="701">
        <f t="shared" si="450"/>
        <v>2608547</v>
      </c>
      <c r="L1474" s="52" t="s">
        <v>167</v>
      </c>
      <c r="M1474" s="896" t="s">
        <v>165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52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50"/>
    </row>
    <row r="1475" spans="1:27" s="808" customFormat="1" ht="15.75" customHeight="1">
      <c r="A1475" s="893" t="str">
        <f>IF(B1475&lt;&gt;"",IF(AND(B1475&gt;=_TM1,B1475&lt;=_TM2,OR(TH!L1475="1111",TH!M1475="1111")),TH!D1475,""),"")</f>
        <v/>
      </c>
      <c r="B1475" s="700">
        <f t="shared" si="451"/>
        <v>3</v>
      </c>
      <c r="C1475" s="833">
        <f t="shared" si="449"/>
        <v>41359</v>
      </c>
      <c r="D1475" s="833" t="s">
        <v>1293</v>
      </c>
      <c r="E1475" s="48">
        <v>41359</v>
      </c>
      <c r="F1475" s="49" t="s">
        <v>778</v>
      </c>
      <c r="G1475" s="49" t="s">
        <v>779</v>
      </c>
      <c r="H1475" s="837" t="s">
        <v>1289</v>
      </c>
      <c r="I1475" s="254">
        <v>513</v>
      </c>
      <c r="J1475" s="254">
        <v>16736.353941622612</v>
      </c>
      <c r="K1475" s="701">
        <f t="shared" si="450"/>
        <v>8585750</v>
      </c>
      <c r="L1475" s="52" t="s">
        <v>167</v>
      </c>
      <c r="M1475" s="896" t="s">
        <v>165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52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50"/>
    </row>
    <row r="1476" spans="1:27" s="808" customFormat="1" ht="15.75" customHeight="1">
      <c r="A1476" s="893" t="str">
        <f>IF(B1476&lt;&gt;"",IF(AND(B1476&gt;=_TM1,B1476&lt;=_TM2,OR(TH!L1476="1111",TH!M1476="1111")),TH!D1476,""),"")</f>
        <v/>
      </c>
      <c r="B1476" s="700">
        <f t="shared" si="451"/>
        <v>3</v>
      </c>
      <c r="C1476" s="833">
        <f t="shared" si="449"/>
        <v>41359</v>
      </c>
      <c r="D1476" s="833" t="s">
        <v>1293</v>
      </c>
      <c r="E1476" s="894">
        <v>41359</v>
      </c>
      <c r="F1476" s="918" t="s">
        <v>817</v>
      </c>
      <c r="G1476" s="919" t="s">
        <v>779</v>
      </c>
      <c r="H1476" s="837" t="s">
        <v>1289</v>
      </c>
      <c r="I1476" s="254">
        <v>1100</v>
      </c>
      <c r="J1476" s="254">
        <v>1917.3649464073044</v>
      </c>
      <c r="K1476" s="701">
        <f t="shared" si="450"/>
        <v>2109101</v>
      </c>
      <c r="L1476" s="52" t="s">
        <v>167</v>
      </c>
      <c r="M1476" s="896" t="s">
        <v>165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52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50"/>
    </row>
    <row r="1477" spans="1:27" s="808" customFormat="1" ht="15.75" customHeight="1">
      <c r="A1477" s="893" t="str">
        <f>IF(B1477&lt;&gt;"",IF(AND(B1477&gt;=_TM1,B1477&lt;=_TM2,OR(TH!L1477="1111",TH!M1477="1111")),TH!D1477,""),"")</f>
        <v/>
      </c>
      <c r="B1477" s="700">
        <f t="shared" si="451"/>
        <v>3</v>
      </c>
      <c r="C1477" s="833">
        <f t="shared" si="449"/>
        <v>41361</v>
      </c>
      <c r="D1477" s="833" t="s">
        <v>1293</v>
      </c>
      <c r="E1477" s="894">
        <v>41361</v>
      </c>
      <c r="F1477" s="918" t="s">
        <v>776</v>
      </c>
      <c r="G1477" s="919" t="s">
        <v>780</v>
      </c>
      <c r="H1477" s="837" t="s">
        <v>1289</v>
      </c>
      <c r="I1477" s="254">
        <v>60</v>
      </c>
      <c r="J1477" s="254">
        <v>24843.301310043666</v>
      </c>
      <c r="K1477" s="701">
        <f t="shared" si="450"/>
        <v>1490598</v>
      </c>
      <c r="L1477" s="52" t="s">
        <v>167</v>
      </c>
      <c r="M1477" s="896" t="s">
        <v>165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52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50"/>
    </row>
    <row r="1478" spans="1:27" s="808" customFormat="1" ht="15.75" customHeight="1">
      <c r="A1478" s="893" t="str">
        <f>IF(B1478&lt;&gt;"",IF(AND(B1478&gt;=_TM1,B1478&lt;=_TM2,OR(TH!L1478="1111",TH!M1478="1111")),TH!D1478,""),"")</f>
        <v/>
      </c>
      <c r="B1478" s="700">
        <f t="shared" si="451"/>
        <v>3</v>
      </c>
      <c r="C1478" s="833">
        <f t="shared" si="449"/>
        <v>41361</v>
      </c>
      <c r="D1478" s="833" t="s">
        <v>1293</v>
      </c>
      <c r="E1478" s="894">
        <v>41361</v>
      </c>
      <c r="F1478" s="918" t="s">
        <v>754</v>
      </c>
      <c r="G1478" s="919" t="s">
        <v>781</v>
      </c>
      <c r="H1478" s="837" t="s">
        <v>1289</v>
      </c>
      <c r="I1478" s="254">
        <v>505</v>
      </c>
      <c r="J1478" s="254">
        <v>11790.043884301096</v>
      </c>
      <c r="K1478" s="701">
        <f t="shared" si="450"/>
        <v>5953972</v>
      </c>
      <c r="L1478" s="52" t="s">
        <v>167</v>
      </c>
      <c r="M1478" s="896" t="s">
        <v>165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52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50"/>
    </row>
    <row r="1479" spans="1:27" s="808" customFormat="1" ht="15.75" customHeight="1">
      <c r="A1479" s="893" t="str">
        <f>IF(B1479&lt;&gt;"",IF(AND(B1479&gt;=_TM1,B1479&lt;=_TM2,OR(TH!L1479="1111",TH!M1479="1111")),TH!D1479,""),"")</f>
        <v/>
      </c>
      <c r="B1479" s="700">
        <f t="shared" si="451"/>
        <v>3</v>
      </c>
      <c r="C1479" s="833">
        <f t="shared" si="449"/>
        <v>41361</v>
      </c>
      <c r="D1479" s="833" t="s">
        <v>1293</v>
      </c>
      <c r="E1479" s="894">
        <v>41361</v>
      </c>
      <c r="F1479" s="918" t="s">
        <v>782</v>
      </c>
      <c r="G1479" s="919" t="s">
        <v>781</v>
      </c>
      <c r="H1479" s="837" t="s">
        <v>1289</v>
      </c>
      <c r="I1479" s="254">
        <v>1990</v>
      </c>
      <c r="J1479" s="254">
        <v>7202.8013100436674</v>
      </c>
      <c r="K1479" s="701">
        <f t="shared" si="450"/>
        <v>14333575</v>
      </c>
      <c r="L1479" s="52" t="s">
        <v>167</v>
      </c>
      <c r="M1479" s="896" t="s">
        <v>165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52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50"/>
    </row>
    <row r="1480" spans="1:27" s="808" customFormat="1" ht="15.75" customHeight="1">
      <c r="A1480" s="893" t="str">
        <f>IF(B1480&lt;&gt;"",IF(AND(B1480&gt;=_TM1,B1480&lt;=_TM2,OR(TH!L1480="1111",TH!M1480="1111")),TH!D1480,""),"")</f>
        <v/>
      </c>
      <c r="B1480" s="700">
        <f t="shared" si="451"/>
        <v>3</v>
      </c>
      <c r="C1480" s="833">
        <f t="shared" si="449"/>
        <v>41361</v>
      </c>
      <c r="D1480" s="833" t="s">
        <v>1293</v>
      </c>
      <c r="E1480" s="894">
        <v>41361</v>
      </c>
      <c r="F1480" s="918" t="s">
        <v>783</v>
      </c>
      <c r="G1480" s="919" t="s">
        <v>781</v>
      </c>
      <c r="H1480" s="837" t="s">
        <v>1289</v>
      </c>
      <c r="I1480" s="254">
        <v>310</v>
      </c>
      <c r="J1480" s="254">
        <v>5599.172277785603</v>
      </c>
      <c r="K1480" s="701">
        <f t="shared" si="450"/>
        <v>1735743</v>
      </c>
      <c r="L1480" s="52" t="s">
        <v>167</v>
      </c>
      <c r="M1480" s="896" t="s">
        <v>165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52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50"/>
    </row>
    <row r="1481" spans="1:27" s="808" customFormat="1" ht="15.75" customHeight="1">
      <c r="A1481" s="893" t="str">
        <f>IF(B1481&lt;&gt;"",IF(AND(B1481&gt;=_TM1,B1481&lt;=_TM2,OR(TH!L1481="1111",TH!M1481="1111")),TH!D1481,""),"")</f>
        <v/>
      </c>
      <c r="B1481" s="700">
        <f t="shared" si="451"/>
        <v>3</v>
      </c>
      <c r="C1481" s="833">
        <f t="shared" si="449"/>
        <v>41361</v>
      </c>
      <c r="D1481" s="833" t="s">
        <v>1293</v>
      </c>
      <c r="E1481" s="851">
        <v>41361</v>
      </c>
      <c r="F1481" s="918" t="s">
        <v>784</v>
      </c>
      <c r="G1481" s="49" t="s">
        <v>781</v>
      </c>
      <c r="H1481" s="837" t="s">
        <v>1289</v>
      </c>
      <c r="I1481" s="254">
        <v>305</v>
      </c>
      <c r="J1481" s="254">
        <v>3917.9242608633404</v>
      </c>
      <c r="K1481" s="701">
        <f t="shared" si="450"/>
        <v>1194967</v>
      </c>
      <c r="L1481" s="52" t="s">
        <v>167</v>
      </c>
      <c r="M1481" s="896" t="s">
        <v>165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52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50"/>
    </row>
    <row r="1482" spans="1:27" s="808" customFormat="1" ht="15.75" customHeight="1">
      <c r="A1482" s="893" t="str">
        <f>IF(B1482&lt;&gt;"",IF(AND(B1482&gt;=_TM1,B1482&lt;=_TM2,OR(TH!L1482="1111",TH!M1482="1111")),TH!D1482,""),"")</f>
        <v/>
      </c>
      <c r="B1482" s="700">
        <f t="shared" si="451"/>
        <v>3</v>
      </c>
      <c r="C1482" s="833">
        <f t="shared" si="449"/>
        <v>41361</v>
      </c>
      <c r="D1482" s="833" t="s">
        <v>1293</v>
      </c>
      <c r="E1482" s="851">
        <v>41361</v>
      </c>
      <c r="F1482" s="918" t="s">
        <v>752</v>
      </c>
      <c r="G1482" s="49" t="s">
        <v>781</v>
      </c>
      <c r="H1482" s="837" t="s">
        <v>1289</v>
      </c>
      <c r="I1482" s="254">
        <v>500</v>
      </c>
      <c r="J1482" s="254">
        <v>11192.301310043669</v>
      </c>
      <c r="K1482" s="701">
        <f t="shared" si="450"/>
        <v>5596151</v>
      </c>
      <c r="L1482" s="52" t="s">
        <v>167</v>
      </c>
      <c r="M1482" s="896" t="s">
        <v>165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52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50"/>
    </row>
    <row r="1483" spans="1:27" s="808" customFormat="1" ht="15.75" customHeight="1">
      <c r="A1483" s="893" t="str">
        <f>IF(B1483&lt;&gt;"",IF(AND(B1483&gt;=_TM1,B1483&lt;=_TM2,OR(TH!L1483="1111",TH!M1483="1111")),TH!D1483,""),"")</f>
        <v/>
      </c>
      <c r="B1483" s="700">
        <f t="shared" si="451"/>
        <v>3</v>
      </c>
      <c r="C1483" s="833">
        <f t="shared" si="449"/>
        <v>41363</v>
      </c>
      <c r="D1483" s="833" t="s">
        <v>1293</v>
      </c>
      <c r="E1483" s="851">
        <v>41363</v>
      </c>
      <c r="F1483" s="918" t="s">
        <v>721</v>
      </c>
      <c r="G1483" s="49" t="s">
        <v>785</v>
      </c>
      <c r="H1483" s="837" t="s">
        <v>1289</v>
      </c>
      <c r="I1483" s="254">
        <v>1280</v>
      </c>
      <c r="J1483" s="254">
        <v>5614.1450600436674</v>
      </c>
      <c r="K1483" s="701">
        <f t="shared" si="450"/>
        <v>7186106</v>
      </c>
      <c r="L1483" s="52" t="s">
        <v>167</v>
      </c>
      <c r="M1483" s="896" t="s">
        <v>165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52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50"/>
    </row>
    <row r="1484" spans="1:27" s="808" customFormat="1" ht="15.75" customHeight="1">
      <c r="A1484" s="893" t="str">
        <f>IF(B1484&lt;&gt;"",IF(AND(B1484&gt;=_TM1,B1484&lt;=_TM2,OR(TH!L1484="1111",TH!M1484="1111")),TH!D1484,""),"")</f>
        <v/>
      </c>
      <c r="B1484" s="700">
        <f t="shared" si="451"/>
        <v>3</v>
      </c>
      <c r="C1484" s="833">
        <f t="shared" si="449"/>
        <v>41363</v>
      </c>
      <c r="D1484" s="833" t="s">
        <v>1293</v>
      </c>
      <c r="E1484" s="851">
        <v>41363</v>
      </c>
      <c r="F1484" s="918" t="s">
        <v>1135</v>
      </c>
      <c r="G1484" s="49" t="s">
        <v>786</v>
      </c>
      <c r="H1484" s="837" t="s">
        <v>1289</v>
      </c>
      <c r="I1484" s="921">
        <v>1200</v>
      </c>
      <c r="J1484" s="254">
        <v>6364.3013100436674</v>
      </c>
      <c r="K1484" s="701">
        <f t="shared" si="450"/>
        <v>7637162</v>
      </c>
      <c r="L1484" s="52" t="s">
        <v>167</v>
      </c>
      <c r="M1484" s="896" t="s">
        <v>165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52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50"/>
    </row>
    <row r="1485" spans="1:27" s="840" customFormat="1" ht="15.75" customHeight="1">
      <c r="A1485" s="902" t="str">
        <f>IF(B1485&lt;&gt;"",IF(AND(B1485&gt;=_TM1,B1485&lt;=_TM2,OR(TH!L1485="1111",TH!M1485="1111")),TH!D1485,""),"")</f>
        <v/>
      </c>
      <c r="B1485" s="838">
        <f t="shared" si="451"/>
        <v>4</v>
      </c>
      <c r="C1485" s="903">
        <f t="shared" si="449"/>
        <v>41367</v>
      </c>
      <c r="D1485" s="833" t="s">
        <v>1293</v>
      </c>
      <c r="E1485" s="923">
        <v>41367</v>
      </c>
      <c r="F1485" s="915" t="s">
        <v>1127</v>
      </c>
      <c r="G1485" s="905" t="s">
        <v>787</v>
      </c>
      <c r="H1485" s="906" t="s">
        <v>1289</v>
      </c>
      <c r="I1485" s="924">
        <v>515</v>
      </c>
      <c r="J1485" s="914">
        <v>15890.23495145631</v>
      </c>
      <c r="K1485" s="835">
        <f t="shared" si="450"/>
        <v>8183471</v>
      </c>
      <c r="L1485" s="828" t="s">
        <v>167</v>
      </c>
      <c r="M1485" s="909" t="s">
        <v>165</v>
      </c>
      <c r="N1485" s="828" t="str">
        <f>IF(AND('331-CT'!$E$7=TH!H1485,OR(L1485="331",M1485="331")),"331",IF(AND(OR(L1485="131",M1485="131"),H1485='131-CT'!$E$7),"131",""))</f>
        <v/>
      </c>
      <c r="O1485" s="828" t="str">
        <f>IF(AND($B1485&gt;='111'!$N$11,$B1485&lt;='111'!$O$11,OR($L1485=$O$7,$M1485=$O$7)),"x","")</f>
        <v/>
      </c>
      <c r="P1485" s="828" t="str">
        <f>IF(AND($L1485=$O$7,$B1485&lt;'111'!$N$11),"x","")</f>
        <v/>
      </c>
      <c r="Q1485" s="828" t="str">
        <f>IF(AND($M1485=$O$7,$B1485&lt;'111'!$N$11),"x","")</f>
        <v/>
      </c>
      <c r="R1485" s="828" t="str">
        <f>IF(ISERROR(FIND('112'!$M$9,G1485,1)),"",IF((AND(FIND('112'!$M$9,G1485,1)&gt;=1,$B1485&gt;='112'!$N$8,$B1485&lt;='112'!$O$8,OR($L1485='112'!$I$6,$M1485='112'!$I$6))),"x",""))</f>
        <v/>
      </c>
      <c r="S1485" s="828" t="str">
        <f>IF(ISERROR(FIND('112'!$M$9,G1485,1)),"",IF((AND(LEFT(G1485,2)=LEFT('112'!$M$9,2),B1485&lt;'112'!$N$8,$L1485='112'!$I$6)),"x",""))</f>
        <v/>
      </c>
      <c r="T1485" s="828" t="str">
        <f>IF(ISERROR(FIND('112'!$M$9,G1485,1)),"",IF((AND(RIGHT(G1485,2)=RIGHT('112'!$M$9,2),B1485&lt;'112'!$N$8,$M1485='112'!$I$6)),"x",""))</f>
        <v/>
      </c>
      <c r="U1485" s="828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828" t="str">
        <f>IF(OR(TH!L1485=TH!$V$7,M1485=TH!$V$7),"x","")</f>
        <v/>
      </c>
      <c r="W1485" s="828" t="str">
        <f>IF(AND(B1485&gt;='IN-NX'!$P$3,B1485&lt;='IN-NX'!$Q$3,'IN-NX'!$D$7=D1485,OR(LEFT(L1485,2)="15",AND(LEFT(M1485,2)&lt;&gt;"15",LEFT(M1485,2)&lt;&gt;"33"))),"x","")</f>
        <v/>
      </c>
      <c r="X1485" s="828" t="str">
        <f>IF(AND(OR(LEFT(TH!L1485,2)="15",LEFT(TH!M1485,2)="15"),'152-CT'!$J$8=TH!F1485),"x","")</f>
        <v/>
      </c>
      <c r="Y1485" s="828" t="str">
        <f>IF(AND(OR(LEFT(TH!L1485,2)="15",LEFT(TH!M1485,2)="15"),TK!$E$7=TH!F1485),"x","")</f>
        <v/>
      </c>
      <c r="Z1485" s="828" t="str">
        <f>IF(AND(B1485&lt;=NKC!$N$8,B1485&gt;=NKC!$M$8),"x","")</f>
        <v/>
      </c>
      <c r="AA1485" s="910"/>
    </row>
    <row r="1486" spans="1:27" s="808" customFormat="1" ht="15.75" customHeight="1">
      <c r="A1486" s="893" t="str">
        <f>IF(B1486&lt;&gt;"",IF(AND(B1486&gt;=_TM1,B1486&lt;=_TM2,OR(TH!L1486="1111",TH!M1486="1111")),TH!D1486,""),"")</f>
        <v/>
      </c>
      <c r="B1486" s="700">
        <f t="shared" si="451"/>
        <v>4</v>
      </c>
      <c r="C1486" s="833">
        <f t="shared" ref="C1486:C1549" si="452">E1486</f>
        <v>41368</v>
      </c>
      <c r="D1486" s="833" t="s">
        <v>1293</v>
      </c>
      <c r="E1486" s="851">
        <v>41368</v>
      </c>
      <c r="F1486" s="918" t="s">
        <v>739</v>
      </c>
      <c r="G1486" s="49" t="s">
        <v>789</v>
      </c>
      <c r="H1486" s="837" t="s">
        <v>1289</v>
      </c>
      <c r="I1486" s="254">
        <v>500</v>
      </c>
      <c r="J1486" s="254">
        <v>7889.7359999999999</v>
      </c>
      <c r="K1486" s="701">
        <f t="shared" ref="K1486:K1549" si="453">ROUND(I1486*J1486,0)</f>
        <v>3944868</v>
      </c>
      <c r="L1486" s="52" t="s">
        <v>167</v>
      </c>
      <c r="M1486" s="896" t="s">
        <v>165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52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50"/>
    </row>
    <row r="1487" spans="1:27" s="808" customFormat="1" ht="15.75" customHeight="1">
      <c r="A1487" s="893" t="str">
        <f>IF(B1487&lt;&gt;"",IF(AND(B1487&gt;=_TM1,B1487&lt;=_TM2,OR(TH!L1487="1111",TH!M1487="1111")),TH!D1487,""),"")</f>
        <v/>
      </c>
      <c r="B1487" s="700">
        <f t="shared" si="451"/>
        <v>4</v>
      </c>
      <c r="C1487" s="833">
        <f t="shared" si="452"/>
        <v>41368</v>
      </c>
      <c r="D1487" s="833" t="s">
        <v>1293</v>
      </c>
      <c r="E1487" s="851">
        <v>41368</v>
      </c>
      <c r="F1487" s="918" t="s">
        <v>481</v>
      </c>
      <c r="G1487" s="49" t="s">
        <v>790</v>
      </c>
      <c r="H1487" s="837" t="s">
        <v>1289</v>
      </c>
      <c r="I1487" s="254">
        <v>400</v>
      </c>
      <c r="J1487" s="254">
        <v>11491.195</v>
      </c>
      <c r="K1487" s="701">
        <f t="shared" si="453"/>
        <v>4596478</v>
      </c>
      <c r="L1487" s="52" t="s">
        <v>167</v>
      </c>
      <c r="M1487" s="896" t="s">
        <v>165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52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50"/>
    </row>
    <row r="1488" spans="1:27" s="808" customFormat="1" ht="15.75" customHeight="1">
      <c r="A1488" s="893" t="str">
        <f>IF(B1488&lt;&gt;"",IF(AND(B1488&gt;=_TM1,B1488&lt;=_TM2,OR(TH!L1488="1111",TH!M1488="1111")),TH!D1488,""),"")</f>
        <v/>
      </c>
      <c r="B1488" s="700">
        <f t="shared" si="451"/>
        <v>4</v>
      </c>
      <c r="C1488" s="833">
        <f t="shared" si="452"/>
        <v>41369</v>
      </c>
      <c r="D1488" s="833" t="s">
        <v>1293</v>
      </c>
      <c r="E1488" s="851">
        <v>41369</v>
      </c>
      <c r="F1488" s="836" t="s">
        <v>481</v>
      </c>
      <c r="G1488" s="49" t="s">
        <v>577</v>
      </c>
      <c r="H1488" s="837" t="s">
        <v>1289</v>
      </c>
      <c r="I1488" s="254">
        <v>500</v>
      </c>
      <c r="J1488" s="254">
        <v>11401.736000000001</v>
      </c>
      <c r="K1488" s="701">
        <f t="shared" si="453"/>
        <v>5700868</v>
      </c>
      <c r="L1488" s="52" t="s">
        <v>167</v>
      </c>
      <c r="M1488" s="896" t="s">
        <v>165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52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50"/>
    </row>
    <row r="1489" spans="1:27" s="808" customFormat="1" ht="15.75" customHeight="1">
      <c r="A1489" s="893" t="str">
        <f>IF(B1489&lt;&gt;"",IF(AND(B1489&gt;=_TM1,B1489&lt;=_TM2,OR(TH!L1489="1111",TH!M1489="1111")),TH!D1489,""),"")</f>
        <v/>
      </c>
      <c r="B1489" s="700">
        <f t="shared" si="451"/>
        <v>4</v>
      </c>
      <c r="C1489" s="833">
        <f t="shared" si="452"/>
        <v>41369</v>
      </c>
      <c r="D1489" s="833" t="s">
        <v>1293</v>
      </c>
      <c r="E1489" s="851">
        <v>41369</v>
      </c>
      <c r="F1489" s="49" t="s">
        <v>793</v>
      </c>
      <c r="G1489" s="49" t="s">
        <v>794</v>
      </c>
      <c r="H1489" s="837" t="s">
        <v>1289</v>
      </c>
      <c r="I1489" s="254">
        <v>1000</v>
      </c>
      <c r="J1489" s="254">
        <v>12403.04</v>
      </c>
      <c r="K1489" s="701">
        <f t="shared" si="453"/>
        <v>12403040</v>
      </c>
      <c r="L1489" s="52" t="s">
        <v>167</v>
      </c>
      <c r="M1489" s="896" t="s">
        <v>165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52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50"/>
    </row>
    <row r="1490" spans="1:27" s="808" customFormat="1" ht="15.75" customHeight="1">
      <c r="A1490" s="893" t="str">
        <f>IF(B1490&lt;&gt;"",IF(AND(B1490&gt;=_TM1,B1490&lt;=_TM2,OR(TH!L1490="1111",TH!M1490="1111")),TH!D1490,""),"")</f>
        <v/>
      </c>
      <c r="B1490" s="700">
        <f t="shared" si="451"/>
        <v>4</v>
      </c>
      <c r="C1490" s="833">
        <f t="shared" si="452"/>
        <v>41370</v>
      </c>
      <c r="D1490" s="833" t="s">
        <v>1293</v>
      </c>
      <c r="E1490" s="851">
        <v>41370</v>
      </c>
      <c r="F1490" s="918" t="s">
        <v>795</v>
      </c>
      <c r="G1490" s="49" t="s">
        <v>796</v>
      </c>
      <c r="H1490" s="837" t="s">
        <v>1289</v>
      </c>
      <c r="I1490" s="254">
        <v>500</v>
      </c>
      <c r="J1490" s="254">
        <v>12221.736000000001</v>
      </c>
      <c r="K1490" s="701">
        <f t="shared" si="453"/>
        <v>6110868</v>
      </c>
      <c r="L1490" s="52" t="s">
        <v>167</v>
      </c>
      <c r="M1490" s="896" t="s">
        <v>165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52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50"/>
    </row>
    <row r="1491" spans="1:27" s="808" customFormat="1" ht="15.75" customHeight="1">
      <c r="A1491" s="893" t="str">
        <f>IF(B1491&lt;&gt;"",IF(AND(B1491&gt;=_TM1,B1491&lt;=_TM2,OR(TH!L1491="1111",TH!M1491="1111")),TH!D1491,""),"")</f>
        <v/>
      </c>
      <c r="B1491" s="700">
        <f t="shared" si="451"/>
        <v>4</v>
      </c>
      <c r="C1491" s="833">
        <f t="shared" si="452"/>
        <v>41370</v>
      </c>
      <c r="D1491" s="833" t="s">
        <v>1293</v>
      </c>
      <c r="E1491" s="851">
        <v>41370</v>
      </c>
      <c r="F1491" s="918" t="s">
        <v>795</v>
      </c>
      <c r="G1491" s="49" t="s">
        <v>796</v>
      </c>
      <c r="H1491" s="837" t="s">
        <v>1289</v>
      </c>
      <c r="I1491" s="254">
        <v>100</v>
      </c>
      <c r="J1491" s="254">
        <v>12221.74</v>
      </c>
      <c r="K1491" s="701">
        <f t="shared" si="453"/>
        <v>1222174</v>
      </c>
      <c r="L1491" s="52" t="s">
        <v>167</v>
      </c>
      <c r="M1491" s="896" t="s">
        <v>165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52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50"/>
    </row>
    <row r="1492" spans="1:27" s="808" customFormat="1" ht="15.75" customHeight="1">
      <c r="A1492" s="893" t="str">
        <f>IF(B1492&lt;&gt;"",IF(AND(B1492&gt;=_TM1,B1492&lt;=_TM2,OR(TH!L1492="1111",TH!M1492="1111")),TH!D1492,""),"")</f>
        <v/>
      </c>
      <c r="B1492" s="700">
        <f t="shared" si="451"/>
        <v>4</v>
      </c>
      <c r="C1492" s="833">
        <f t="shared" si="452"/>
        <v>41375</v>
      </c>
      <c r="D1492" s="833" t="s">
        <v>1293</v>
      </c>
      <c r="E1492" s="851">
        <v>41375</v>
      </c>
      <c r="F1492" s="918" t="s">
        <v>1161</v>
      </c>
      <c r="G1492" s="49" t="s">
        <v>797</v>
      </c>
      <c r="H1492" s="837" t="s">
        <v>1289</v>
      </c>
      <c r="I1492" s="254">
        <v>3990</v>
      </c>
      <c r="J1492" s="254">
        <v>5307.5290726817038</v>
      </c>
      <c r="K1492" s="701">
        <f t="shared" si="453"/>
        <v>21177041</v>
      </c>
      <c r="L1492" s="52" t="s">
        <v>167</v>
      </c>
      <c r="M1492" s="896" t="s">
        <v>165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52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50"/>
    </row>
    <row r="1493" spans="1:27" s="808" customFormat="1" ht="15.75" customHeight="1">
      <c r="A1493" s="893" t="str">
        <f>IF(B1493&lt;&gt;"",IF(AND(B1493&gt;=_TM1,B1493&lt;=_TM2,OR(TH!L1493="1111",TH!M1493="1111")),TH!D1493,""),"")</f>
        <v/>
      </c>
      <c r="B1493" s="700">
        <f t="shared" si="451"/>
        <v>4</v>
      </c>
      <c r="C1493" s="833">
        <f t="shared" si="452"/>
        <v>41375</v>
      </c>
      <c r="D1493" s="833" t="s">
        <v>1293</v>
      </c>
      <c r="E1493" s="851">
        <v>41375</v>
      </c>
      <c r="F1493" s="918" t="s">
        <v>1135</v>
      </c>
      <c r="G1493" s="49" t="s">
        <v>797</v>
      </c>
      <c r="H1493" s="837" t="s">
        <v>1289</v>
      </c>
      <c r="I1493" s="254">
        <v>2763</v>
      </c>
      <c r="J1493" s="254">
        <v>5869.5522982265657</v>
      </c>
      <c r="K1493" s="701">
        <f t="shared" si="453"/>
        <v>16217573</v>
      </c>
      <c r="L1493" s="52" t="s">
        <v>167</v>
      </c>
      <c r="M1493" s="896" t="s">
        <v>165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52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50"/>
    </row>
    <row r="1494" spans="1:27" s="808" customFormat="1" ht="15.75" customHeight="1">
      <c r="A1494" s="893" t="str">
        <f>IF(B1494&lt;&gt;"",IF(AND(B1494&gt;=_TM1,B1494&lt;=_TM2,OR(TH!L1494="1111",TH!M1494="1111")),TH!D1494,""),"")</f>
        <v/>
      </c>
      <c r="B1494" s="700">
        <f t="shared" si="451"/>
        <v>4</v>
      </c>
      <c r="C1494" s="833">
        <f t="shared" si="452"/>
        <v>41375</v>
      </c>
      <c r="D1494" s="833" t="s">
        <v>1293</v>
      </c>
      <c r="E1494" s="851">
        <v>41375</v>
      </c>
      <c r="F1494" s="49" t="s">
        <v>1142</v>
      </c>
      <c r="G1494" s="49" t="s">
        <v>798</v>
      </c>
      <c r="H1494" s="837" t="s">
        <v>1289</v>
      </c>
      <c r="I1494" s="254">
        <v>103</v>
      </c>
      <c r="J1494" s="254">
        <v>17168.233009708736</v>
      </c>
      <c r="K1494" s="701">
        <f t="shared" si="453"/>
        <v>1768328</v>
      </c>
      <c r="L1494" s="52" t="s">
        <v>167</v>
      </c>
      <c r="M1494" s="896" t="s">
        <v>165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52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50"/>
    </row>
    <row r="1495" spans="1:27" s="808" customFormat="1" ht="15.75" customHeight="1">
      <c r="A1495" s="893" t="str">
        <f>IF(B1495&lt;&gt;"",IF(AND(B1495&gt;=_TM1,B1495&lt;=_TM2,OR(TH!L1495="1111",TH!M1495="1111")),TH!D1495,""),"")</f>
        <v/>
      </c>
      <c r="B1495" s="700">
        <f t="shared" si="451"/>
        <v>4</v>
      </c>
      <c r="C1495" s="833">
        <f t="shared" si="452"/>
        <v>41375</v>
      </c>
      <c r="D1495" s="833" t="s">
        <v>1293</v>
      </c>
      <c r="E1495" s="851">
        <v>41375</v>
      </c>
      <c r="F1495" s="49" t="s">
        <v>799</v>
      </c>
      <c r="G1495" s="49" t="s">
        <v>798</v>
      </c>
      <c r="H1495" s="837" t="s">
        <v>1289</v>
      </c>
      <c r="I1495" s="254">
        <v>200</v>
      </c>
      <c r="J1495" s="254">
        <v>1356.4349999999999</v>
      </c>
      <c r="K1495" s="701">
        <f t="shared" si="453"/>
        <v>271287</v>
      </c>
      <c r="L1495" s="52" t="s">
        <v>167</v>
      </c>
      <c r="M1495" s="896" t="s">
        <v>165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52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50"/>
    </row>
    <row r="1496" spans="1:27" s="808" customFormat="1" ht="15.75" customHeight="1">
      <c r="A1496" s="893" t="str">
        <f>IF(B1496&lt;&gt;"",IF(AND(B1496&gt;=_TM1,B1496&lt;=_TM2,OR(TH!L1496="1111",TH!M1496="1111")),TH!D1496,""),"")</f>
        <v/>
      </c>
      <c r="B1496" s="700">
        <f t="shared" si="451"/>
        <v>4</v>
      </c>
      <c r="C1496" s="833">
        <f t="shared" si="452"/>
        <v>41375</v>
      </c>
      <c r="D1496" s="833" t="s">
        <v>1293</v>
      </c>
      <c r="E1496" s="851">
        <v>41375</v>
      </c>
      <c r="F1496" s="918" t="s">
        <v>1140</v>
      </c>
      <c r="G1496" s="49" t="s">
        <v>798</v>
      </c>
      <c r="H1496" s="837" t="s">
        <v>1289</v>
      </c>
      <c r="I1496" s="254">
        <v>990</v>
      </c>
      <c r="J1496" s="254">
        <v>5263.3616161616164</v>
      </c>
      <c r="K1496" s="701">
        <f t="shared" si="453"/>
        <v>5210728</v>
      </c>
      <c r="L1496" s="52" t="s">
        <v>167</v>
      </c>
      <c r="M1496" s="896" t="s">
        <v>165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52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50"/>
    </row>
    <row r="1497" spans="1:27" s="808" customFormat="1" ht="15.75" customHeight="1">
      <c r="A1497" s="893" t="str">
        <f>IF(B1497&lt;&gt;"",IF(AND(B1497&gt;=_TM1,B1497&lt;=_TM2,OR(TH!L1497="1111",TH!M1497="1111")),TH!D1497,""),"")</f>
        <v/>
      </c>
      <c r="B1497" s="700">
        <f t="shared" si="451"/>
        <v>4</v>
      </c>
      <c r="C1497" s="833">
        <f t="shared" si="452"/>
        <v>41376</v>
      </c>
      <c r="D1497" s="833" t="s">
        <v>1293</v>
      </c>
      <c r="E1497" s="833">
        <v>41376</v>
      </c>
      <c r="F1497" s="895" t="s">
        <v>753</v>
      </c>
      <c r="G1497" s="834" t="s">
        <v>800</v>
      </c>
      <c r="H1497" s="837" t="s">
        <v>1289</v>
      </c>
      <c r="I1497" s="254">
        <v>1095</v>
      </c>
      <c r="J1497" s="254">
        <v>13151.806392694063</v>
      </c>
      <c r="K1497" s="701">
        <f t="shared" si="453"/>
        <v>14401228</v>
      </c>
      <c r="L1497" s="52" t="s">
        <v>167</v>
      </c>
      <c r="M1497" s="896" t="s">
        <v>165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52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50"/>
    </row>
    <row r="1498" spans="1:27" s="808" customFormat="1" ht="15.75" customHeight="1">
      <c r="A1498" s="893" t="str">
        <f>IF(B1498&lt;&gt;"",IF(AND(B1498&gt;=_TM1,B1498&lt;=_TM2,OR(TH!L1498="1111",TH!M1498="1111")),TH!D1498,""),"")</f>
        <v/>
      </c>
      <c r="B1498" s="700">
        <f t="shared" si="451"/>
        <v>4</v>
      </c>
      <c r="C1498" s="833">
        <f t="shared" si="452"/>
        <v>41376</v>
      </c>
      <c r="D1498" s="833" t="s">
        <v>1293</v>
      </c>
      <c r="E1498" s="833">
        <v>41376</v>
      </c>
      <c r="F1498" s="895" t="s">
        <v>750</v>
      </c>
      <c r="G1498" s="834" t="s">
        <v>800</v>
      </c>
      <c r="H1498" s="837" t="s">
        <v>1289</v>
      </c>
      <c r="I1498" s="254">
        <v>360</v>
      </c>
      <c r="J1498" s="254">
        <v>12221.736111111111</v>
      </c>
      <c r="K1498" s="701">
        <f t="shared" si="453"/>
        <v>4399825</v>
      </c>
      <c r="L1498" s="52" t="s">
        <v>167</v>
      </c>
      <c r="M1498" s="896" t="s">
        <v>165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52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50"/>
    </row>
    <row r="1499" spans="1:27" s="808" customFormat="1" ht="15.75" customHeight="1">
      <c r="A1499" s="893" t="str">
        <f>IF(B1499&lt;&gt;"",IF(AND(B1499&gt;=_TM1,B1499&lt;=_TM2,OR(TH!L1499="1111",TH!M1499="1111")),TH!D1499,""),"")</f>
        <v/>
      </c>
      <c r="B1499" s="700">
        <f t="shared" si="451"/>
        <v>4</v>
      </c>
      <c r="C1499" s="833">
        <f t="shared" si="452"/>
        <v>41380</v>
      </c>
      <c r="D1499" s="833" t="s">
        <v>1293</v>
      </c>
      <c r="E1499" s="894">
        <v>41380</v>
      </c>
      <c r="F1499" s="918" t="s">
        <v>1135</v>
      </c>
      <c r="G1499" s="919" t="s">
        <v>801</v>
      </c>
      <c r="H1499" s="837" t="s">
        <v>1289</v>
      </c>
      <c r="I1499" s="254">
        <v>3930</v>
      </c>
      <c r="J1499" s="254">
        <v>5870.2837150127225</v>
      </c>
      <c r="K1499" s="701">
        <f t="shared" si="453"/>
        <v>23070215</v>
      </c>
      <c r="L1499" s="52" t="s">
        <v>167</v>
      </c>
      <c r="M1499" s="896" t="s">
        <v>165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52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50"/>
    </row>
    <row r="1500" spans="1:27" s="808" customFormat="1" ht="15.75" customHeight="1">
      <c r="A1500" s="893" t="str">
        <f>IF(B1500&lt;&gt;"",IF(AND(B1500&gt;=_TM1,B1500&lt;=_TM2,OR(TH!L1500="1111",TH!M1500="1111")),TH!D1500,""),"")</f>
        <v/>
      </c>
      <c r="B1500" s="700">
        <f t="shared" si="451"/>
        <v>4</v>
      </c>
      <c r="C1500" s="833">
        <f t="shared" si="452"/>
        <v>41380</v>
      </c>
      <c r="D1500" s="833" t="s">
        <v>1293</v>
      </c>
      <c r="E1500" s="833">
        <v>41380</v>
      </c>
      <c r="F1500" s="895" t="s">
        <v>838</v>
      </c>
      <c r="G1500" s="834" t="s">
        <v>802</v>
      </c>
      <c r="H1500" s="837" t="s">
        <v>1289</v>
      </c>
      <c r="I1500" s="254">
        <v>1040</v>
      </c>
      <c r="J1500" s="254">
        <v>6391.9182692307695</v>
      </c>
      <c r="K1500" s="701">
        <f t="shared" si="453"/>
        <v>6647595</v>
      </c>
      <c r="L1500" s="52" t="s">
        <v>167</v>
      </c>
      <c r="M1500" s="896" t="s">
        <v>165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52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50"/>
    </row>
    <row r="1501" spans="1:27" s="808" customFormat="1" ht="15.75" customHeight="1">
      <c r="A1501" s="893" t="str">
        <f>IF(B1501&lt;&gt;"",IF(AND(B1501&gt;=_TM1,B1501&lt;=_TM2,OR(TH!L1501="1111",TH!M1501="1111")),TH!D1501,""),"")</f>
        <v/>
      </c>
      <c r="B1501" s="700">
        <f t="shared" si="451"/>
        <v>4</v>
      </c>
      <c r="C1501" s="833">
        <f t="shared" si="452"/>
        <v>41381</v>
      </c>
      <c r="D1501" s="833" t="s">
        <v>1293</v>
      </c>
      <c r="E1501" s="833">
        <v>41381</v>
      </c>
      <c r="F1501" s="895" t="s">
        <v>739</v>
      </c>
      <c r="G1501" s="834" t="s">
        <v>482</v>
      </c>
      <c r="H1501" s="837" t="s">
        <v>1289</v>
      </c>
      <c r="I1501" s="254">
        <v>670</v>
      </c>
      <c r="J1501" s="254">
        <v>7767.429850746269</v>
      </c>
      <c r="K1501" s="701">
        <f t="shared" si="453"/>
        <v>5204178</v>
      </c>
      <c r="L1501" s="52" t="s">
        <v>167</v>
      </c>
      <c r="M1501" s="896" t="s">
        <v>165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52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50"/>
    </row>
    <row r="1502" spans="1:27" s="808" customFormat="1" ht="15.75" customHeight="1">
      <c r="A1502" s="893" t="str">
        <f>IF(B1502&lt;&gt;"",IF(AND(B1502&gt;=_TM1,B1502&lt;=_TM2,OR(TH!L1502="1111",TH!M1502="1111")),TH!D1502,""),"")</f>
        <v/>
      </c>
      <c r="B1502" s="700">
        <f t="shared" si="451"/>
        <v>4</v>
      </c>
      <c r="C1502" s="833">
        <f t="shared" si="452"/>
        <v>41387</v>
      </c>
      <c r="D1502" s="833" t="s">
        <v>1293</v>
      </c>
      <c r="E1502" s="833">
        <v>41387</v>
      </c>
      <c r="F1502" s="895" t="s">
        <v>803</v>
      </c>
      <c r="G1502" s="834" t="s">
        <v>804</v>
      </c>
      <c r="H1502" s="837" t="s">
        <v>1289</v>
      </c>
      <c r="I1502" s="254">
        <v>514</v>
      </c>
      <c r="J1502" s="254">
        <v>7971.4416342412451</v>
      </c>
      <c r="K1502" s="701">
        <f t="shared" si="453"/>
        <v>4097321</v>
      </c>
      <c r="L1502" s="52" t="s">
        <v>167</v>
      </c>
      <c r="M1502" s="896" t="s">
        <v>165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52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50"/>
    </row>
    <row r="1503" spans="1:27" s="808" customFormat="1" ht="15.75" customHeight="1">
      <c r="A1503" s="893" t="str">
        <f>IF(B1503&lt;&gt;"",IF(AND(B1503&gt;=_TM1,B1503&lt;=_TM2,OR(TH!L1503="1111",TH!M1503="1111")),TH!D1503,""),"")</f>
        <v/>
      </c>
      <c r="B1503" s="700">
        <f t="shared" si="451"/>
        <v>4</v>
      </c>
      <c r="C1503" s="833">
        <f t="shared" si="452"/>
        <v>41387</v>
      </c>
      <c r="D1503" s="833" t="s">
        <v>1293</v>
      </c>
      <c r="E1503" s="833">
        <v>41387</v>
      </c>
      <c r="F1503" s="895" t="s">
        <v>806</v>
      </c>
      <c r="G1503" s="834" t="s">
        <v>804</v>
      </c>
      <c r="H1503" s="837" t="s">
        <v>1289</v>
      </c>
      <c r="I1503" s="254">
        <v>520</v>
      </c>
      <c r="J1503" s="254">
        <v>8935.3250000000007</v>
      </c>
      <c r="K1503" s="701">
        <f t="shared" si="453"/>
        <v>4646369</v>
      </c>
      <c r="L1503" s="52" t="s">
        <v>167</v>
      </c>
      <c r="M1503" s="896" t="s">
        <v>165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52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50"/>
    </row>
    <row r="1504" spans="1:27" s="808" customFormat="1" ht="15.75" customHeight="1">
      <c r="A1504" s="893" t="str">
        <f>IF(B1504&lt;&gt;"",IF(AND(B1504&gt;=_TM1,B1504&lt;=_TM2,OR(TH!L1504="1111",TH!M1504="1111")),TH!D1504,""),"")</f>
        <v/>
      </c>
      <c r="B1504" s="700">
        <f t="shared" si="451"/>
        <v>4</v>
      </c>
      <c r="C1504" s="833">
        <f t="shared" si="452"/>
        <v>41388</v>
      </c>
      <c r="D1504" s="833" t="s">
        <v>1293</v>
      </c>
      <c r="E1504" s="833">
        <v>41388</v>
      </c>
      <c r="F1504" s="895" t="s">
        <v>1139</v>
      </c>
      <c r="G1504" s="834" t="s">
        <v>807</v>
      </c>
      <c r="H1504" s="837" t="s">
        <v>1289</v>
      </c>
      <c r="I1504" s="254">
        <v>100</v>
      </c>
      <c r="J1504" s="254">
        <v>16434.240000000002</v>
      </c>
      <c r="K1504" s="701">
        <f t="shared" si="453"/>
        <v>1643424</v>
      </c>
      <c r="L1504" s="52" t="s">
        <v>167</v>
      </c>
      <c r="M1504" s="896" t="s">
        <v>165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52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50"/>
    </row>
    <row r="1505" spans="1:27" s="808" customFormat="1" ht="15.75" customHeight="1">
      <c r="A1505" s="893" t="str">
        <f>IF(B1505&lt;&gt;"",IF(AND(B1505&gt;=_TM1,B1505&lt;=_TM2,OR(TH!L1505="1111",TH!M1505="1111")),TH!D1505,""),"")</f>
        <v/>
      </c>
      <c r="B1505" s="700">
        <f t="shared" si="451"/>
        <v>4</v>
      </c>
      <c r="C1505" s="833">
        <f t="shared" si="452"/>
        <v>41388</v>
      </c>
      <c r="D1505" s="833" t="s">
        <v>1293</v>
      </c>
      <c r="E1505" s="833">
        <v>41388</v>
      </c>
      <c r="F1505" s="895" t="s">
        <v>1145</v>
      </c>
      <c r="G1505" s="834" t="s">
        <v>807</v>
      </c>
      <c r="H1505" s="837" t="s">
        <v>1289</v>
      </c>
      <c r="I1505" s="254">
        <v>99</v>
      </c>
      <c r="J1505" s="254">
        <v>14861.232323232323</v>
      </c>
      <c r="K1505" s="701">
        <f t="shared" si="453"/>
        <v>1471262</v>
      </c>
      <c r="L1505" s="52" t="s">
        <v>167</v>
      </c>
      <c r="M1505" s="896" t="s">
        <v>165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52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50"/>
    </row>
    <row r="1506" spans="1:27" s="808" customFormat="1" ht="15.75" customHeight="1">
      <c r="A1506" s="893" t="str">
        <f>IF(B1506&lt;&gt;"",IF(AND(B1506&gt;=_TM1,B1506&lt;=_TM2,OR(TH!L1506="1111",TH!M1506="1111")),TH!D1506,""),"")</f>
        <v/>
      </c>
      <c r="B1506" s="700">
        <f t="shared" si="451"/>
        <v>4</v>
      </c>
      <c r="C1506" s="833">
        <f t="shared" si="452"/>
        <v>41388</v>
      </c>
      <c r="D1506" s="833" t="s">
        <v>1293</v>
      </c>
      <c r="E1506" s="833">
        <v>41388</v>
      </c>
      <c r="F1506" s="895" t="s">
        <v>808</v>
      </c>
      <c r="G1506" s="834" t="s">
        <v>809</v>
      </c>
      <c r="H1506" s="837" t="s">
        <v>1289</v>
      </c>
      <c r="I1506" s="254">
        <v>200</v>
      </c>
      <c r="J1506" s="254">
        <v>5954.2349999999997</v>
      </c>
      <c r="K1506" s="701">
        <f t="shared" si="453"/>
        <v>1190847</v>
      </c>
      <c r="L1506" s="52" t="s">
        <v>167</v>
      </c>
      <c r="M1506" s="896" t="s">
        <v>165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52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50"/>
    </row>
    <row r="1507" spans="1:27" s="808" customFormat="1" ht="15.75" customHeight="1">
      <c r="A1507" s="893" t="str">
        <f>IF(B1507&lt;&gt;"",IF(AND(B1507&gt;=_TM1,B1507&lt;=_TM2,OR(TH!L1507="1111",TH!M1507="1111")),TH!D1507,""),"")</f>
        <v/>
      </c>
      <c r="B1507" s="700">
        <f t="shared" si="451"/>
        <v>4</v>
      </c>
      <c r="C1507" s="833">
        <f t="shared" si="452"/>
        <v>41388</v>
      </c>
      <c r="D1507" s="833" t="s">
        <v>1293</v>
      </c>
      <c r="E1507" s="833">
        <v>41388</v>
      </c>
      <c r="F1507" s="895" t="s">
        <v>810</v>
      </c>
      <c r="G1507" s="834" t="s">
        <v>809</v>
      </c>
      <c r="H1507" s="837" t="s">
        <v>1289</v>
      </c>
      <c r="I1507" s="917">
        <v>204</v>
      </c>
      <c r="J1507" s="917">
        <v>5033.1960784313724</v>
      </c>
      <c r="K1507" s="701">
        <f t="shared" si="453"/>
        <v>1026772</v>
      </c>
      <c r="L1507" s="52" t="s">
        <v>167</v>
      </c>
      <c r="M1507" s="896" t="s">
        <v>165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52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50"/>
    </row>
    <row r="1508" spans="1:27" s="808" customFormat="1" ht="15.75" customHeight="1">
      <c r="A1508" s="893" t="str">
        <f>IF(B1508&lt;&gt;"",IF(AND(B1508&gt;=_TM1,B1508&lt;=_TM2,OR(TH!L1508="1111",TH!M1508="1111")),TH!D1508,""),"")</f>
        <v/>
      </c>
      <c r="B1508" s="700">
        <f t="shared" si="451"/>
        <v>4</v>
      </c>
      <c r="C1508" s="833">
        <f t="shared" si="452"/>
        <v>41389</v>
      </c>
      <c r="D1508" s="833" t="s">
        <v>1293</v>
      </c>
      <c r="E1508" s="833">
        <v>41389</v>
      </c>
      <c r="F1508" s="895" t="s">
        <v>1135</v>
      </c>
      <c r="G1508" s="834" t="s">
        <v>811</v>
      </c>
      <c r="H1508" s="837" t="s">
        <v>1289</v>
      </c>
      <c r="I1508" s="254">
        <v>4080</v>
      </c>
      <c r="J1508" s="254">
        <v>5867.7507352941175</v>
      </c>
      <c r="K1508" s="701">
        <f t="shared" si="453"/>
        <v>23940423</v>
      </c>
      <c r="L1508" s="52" t="s">
        <v>167</v>
      </c>
      <c r="M1508" s="896" t="s">
        <v>165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52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50"/>
    </row>
    <row r="1509" spans="1:27" s="808" customFormat="1" ht="15.75" customHeight="1">
      <c r="A1509" s="893" t="str">
        <f>IF(B1509&lt;&gt;"",IF(AND(B1509&gt;=_TM1,B1509&lt;=_TM2,OR(TH!L1509="1111",TH!M1509="1111")),TH!D1509,""),"")</f>
        <v/>
      </c>
      <c r="B1509" s="700">
        <f t="shared" si="451"/>
        <v>4</v>
      </c>
      <c r="C1509" s="833">
        <f t="shared" si="452"/>
        <v>41391</v>
      </c>
      <c r="D1509" s="833" t="s">
        <v>1293</v>
      </c>
      <c r="E1509" s="833">
        <v>41391</v>
      </c>
      <c r="F1509" s="895" t="s">
        <v>812</v>
      </c>
      <c r="G1509" s="834" t="s">
        <v>813</v>
      </c>
      <c r="H1509" s="837" t="s">
        <v>1289</v>
      </c>
      <c r="I1509" s="254">
        <v>310</v>
      </c>
      <c r="J1509" s="254">
        <v>10033.977419354838</v>
      </c>
      <c r="K1509" s="701">
        <f t="shared" si="453"/>
        <v>3110533</v>
      </c>
      <c r="L1509" s="52" t="s">
        <v>167</v>
      </c>
      <c r="M1509" s="896" t="s">
        <v>165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52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50"/>
    </row>
    <row r="1510" spans="1:27" s="808" customFormat="1" ht="15.75" customHeight="1">
      <c r="A1510" s="893" t="str">
        <f>IF(B1510&lt;&gt;"",IF(AND(B1510&gt;=_TM1,B1510&lt;=_TM2,OR(TH!L1510="1111",TH!M1510="1111")),TH!D1510,""),"")</f>
        <v/>
      </c>
      <c r="B1510" s="700">
        <f t="shared" si="451"/>
        <v>4</v>
      </c>
      <c r="C1510" s="833">
        <f t="shared" si="452"/>
        <v>41391</v>
      </c>
      <c r="D1510" s="833" t="s">
        <v>1293</v>
      </c>
      <c r="E1510" s="833">
        <v>41391</v>
      </c>
      <c r="F1510" s="895" t="s">
        <v>814</v>
      </c>
      <c r="G1510" s="834" t="s">
        <v>813</v>
      </c>
      <c r="H1510" s="837" t="s">
        <v>1289</v>
      </c>
      <c r="I1510" s="254">
        <v>225</v>
      </c>
      <c r="J1510" s="254">
        <v>7983.0622222222219</v>
      </c>
      <c r="K1510" s="701">
        <f t="shared" si="453"/>
        <v>1796189</v>
      </c>
      <c r="L1510" s="52" t="s">
        <v>167</v>
      </c>
      <c r="M1510" s="896" t="s">
        <v>165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52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50"/>
    </row>
    <row r="1511" spans="1:27" s="808" customFormat="1" ht="15.75" customHeight="1">
      <c r="A1511" s="893" t="str">
        <f>IF(B1511&lt;&gt;"",IF(AND(B1511&gt;=_TM1,B1511&lt;=_TM2,OR(TH!L1511="1111",TH!M1511="1111")),TH!D1511,""),"")</f>
        <v/>
      </c>
      <c r="B1511" s="700">
        <f t="shared" si="451"/>
        <v>5</v>
      </c>
      <c r="C1511" s="833">
        <f t="shared" si="452"/>
        <v>41400</v>
      </c>
      <c r="D1511" s="833" t="s">
        <v>1293</v>
      </c>
      <c r="E1511" s="833">
        <v>41400</v>
      </c>
      <c r="F1511" s="895" t="s">
        <v>815</v>
      </c>
      <c r="G1511" s="834" t="s">
        <v>816</v>
      </c>
      <c r="H1511" s="837" t="s">
        <v>1289</v>
      </c>
      <c r="I1511" s="254">
        <v>514</v>
      </c>
      <c r="J1511" s="254">
        <v>17050.9766536965</v>
      </c>
      <c r="K1511" s="701">
        <f t="shared" si="453"/>
        <v>8764202</v>
      </c>
      <c r="L1511" s="52" t="s">
        <v>167</v>
      </c>
      <c r="M1511" s="896" t="s">
        <v>165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52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50"/>
    </row>
    <row r="1512" spans="1:27" s="808" customFormat="1" ht="15.75" customHeight="1">
      <c r="A1512" s="893" t="str">
        <f>IF(B1512&lt;&gt;"",IF(AND(B1512&gt;=_TM1,B1512&lt;=_TM2,OR(TH!L1512="1111",TH!M1512="1111")),TH!D1512,""),"")</f>
        <v/>
      </c>
      <c r="B1512" s="700">
        <f t="shared" ref="B1512:B1575" si="454">IF(C1512&lt;&gt;"",MONTH(C1512),"")</f>
        <v>5</v>
      </c>
      <c r="C1512" s="833">
        <f t="shared" si="452"/>
        <v>41400</v>
      </c>
      <c r="D1512" s="833" t="s">
        <v>1293</v>
      </c>
      <c r="E1512" s="48">
        <v>41400</v>
      </c>
      <c r="F1512" s="49" t="s">
        <v>817</v>
      </c>
      <c r="G1512" s="49" t="s">
        <v>816</v>
      </c>
      <c r="H1512" s="837" t="s">
        <v>1289</v>
      </c>
      <c r="I1512" s="254">
        <v>1000</v>
      </c>
      <c r="J1512" s="254">
        <v>1049.252</v>
      </c>
      <c r="K1512" s="701">
        <f t="shared" si="453"/>
        <v>1049252</v>
      </c>
      <c r="L1512" s="52" t="s">
        <v>167</v>
      </c>
      <c r="M1512" s="896" t="s">
        <v>165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52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50"/>
    </row>
    <row r="1513" spans="1:27" s="808" customFormat="1" ht="15.75" customHeight="1">
      <c r="A1513" s="893" t="str">
        <f>IF(B1513&lt;&gt;"",IF(AND(B1513&gt;=_TM1,B1513&lt;=_TM2,OR(TH!L1513="1111",TH!M1513="1111")),TH!D1513,""),"")</f>
        <v/>
      </c>
      <c r="B1513" s="700">
        <f t="shared" si="454"/>
        <v>5</v>
      </c>
      <c r="C1513" s="833">
        <f t="shared" si="452"/>
        <v>41401</v>
      </c>
      <c r="D1513" s="833" t="s">
        <v>1293</v>
      </c>
      <c r="E1513" s="48">
        <v>41401</v>
      </c>
      <c r="F1513" s="49" t="s">
        <v>818</v>
      </c>
      <c r="G1513" s="49" t="s">
        <v>819</v>
      </c>
      <c r="H1513" s="837" t="s">
        <v>1289</v>
      </c>
      <c r="I1513" s="254">
        <v>500</v>
      </c>
      <c r="J1513" s="254">
        <v>8253.2360000000008</v>
      </c>
      <c r="K1513" s="701">
        <f t="shared" si="453"/>
        <v>4126618</v>
      </c>
      <c r="L1513" s="52" t="s">
        <v>167</v>
      </c>
      <c r="M1513" s="896" t="s">
        <v>165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52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50"/>
    </row>
    <row r="1514" spans="1:27" s="808" customFormat="1" ht="15.75" customHeight="1">
      <c r="A1514" s="893" t="str">
        <f>IF(B1514&lt;&gt;"",IF(AND(B1514&gt;=_TM1,B1514&lt;=_TM2,OR(TH!L1514="1111",TH!M1514="1111")),TH!D1514,""),"")</f>
        <v/>
      </c>
      <c r="B1514" s="700">
        <f t="shared" si="454"/>
        <v>5</v>
      </c>
      <c r="C1514" s="833">
        <f t="shared" si="452"/>
        <v>41409</v>
      </c>
      <c r="D1514" s="833" t="s">
        <v>1293</v>
      </c>
      <c r="E1514" s="48">
        <v>41409</v>
      </c>
      <c r="F1514" s="49" t="s">
        <v>812</v>
      </c>
      <c r="G1514" s="49" t="s">
        <v>820</v>
      </c>
      <c r="H1514" s="837" t="s">
        <v>1289</v>
      </c>
      <c r="I1514" s="254">
        <v>113</v>
      </c>
      <c r="J1514" s="254">
        <v>10296.964601769912</v>
      </c>
      <c r="K1514" s="701">
        <f t="shared" si="453"/>
        <v>1163557</v>
      </c>
      <c r="L1514" s="52" t="s">
        <v>167</v>
      </c>
      <c r="M1514" s="896" t="s">
        <v>165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52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50"/>
    </row>
    <row r="1515" spans="1:27" s="808" customFormat="1" ht="15.75" customHeight="1">
      <c r="A1515" s="893" t="str">
        <f>IF(B1515&lt;&gt;"",IF(AND(B1515&gt;=_TM1,B1515&lt;=_TM2,OR(TH!L1515="1111",TH!M1515="1111")),TH!D1515,""),"")</f>
        <v/>
      </c>
      <c r="B1515" s="700">
        <f t="shared" si="454"/>
        <v>5</v>
      </c>
      <c r="C1515" s="833">
        <f t="shared" si="452"/>
        <v>41409</v>
      </c>
      <c r="D1515" s="833" t="s">
        <v>1293</v>
      </c>
      <c r="E1515" s="48">
        <v>41409</v>
      </c>
      <c r="F1515" s="49" t="s">
        <v>1129</v>
      </c>
      <c r="G1515" s="49" t="s">
        <v>820</v>
      </c>
      <c r="H1515" s="837" t="s">
        <v>1289</v>
      </c>
      <c r="I1515" s="254">
        <v>198</v>
      </c>
      <c r="J1515" s="254">
        <v>6385.6919191919196</v>
      </c>
      <c r="K1515" s="701">
        <f t="shared" si="453"/>
        <v>1264367</v>
      </c>
      <c r="L1515" s="52" t="s">
        <v>167</v>
      </c>
      <c r="M1515" s="896" t="s">
        <v>165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52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50"/>
    </row>
    <row r="1516" spans="1:27" s="808" customFormat="1" ht="15.75" customHeight="1">
      <c r="A1516" s="893" t="str">
        <f>IF(B1516&lt;&gt;"",IF(AND(B1516&gt;=_TM1,B1516&lt;=_TM2,OR(TH!L1516="1111",TH!M1516="1111")),TH!D1516,""),"")</f>
        <v/>
      </c>
      <c r="B1516" s="700">
        <f t="shared" si="454"/>
        <v>5</v>
      </c>
      <c r="C1516" s="833">
        <f t="shared" si="452"/>
        <v>41409</v>
      </c>
      <c r="D1516" s="833" t="s">
        <v>1293</v>
      </c>
      <c r="E1516" s="48">
        <v>41409</v>
      </c>
      <c r="F1516" s="49" t="s">
        <v>1128</v>
      </c>
      <c r="G1516" s="49" t="s">
        <v>820</v>
      </c>
      <c r="H1516" s="837" t="s">
        <v>1289</v>
      </c>
      <c r="I1516" s="254">
        <v>104</v>
      </c>
      <c r="J1516" s="254">
        <v>13660.567307692309</v>
      </c>
      <c r="K1516" s="701">
        <f t="shared" si="453"/>
        <v>1420699</v>
      </c>
      <c r="L1516" s="52" t="s">
        <v>167</v>
      </c>
      <c r="M1516" s="896" t="s">
        <v>165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52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50"/>
    </row>
    <row r="1517" spans="1:27" s="808" customFormat="1" ht="15.75" customHeight="1">
      <c r="A1517" s="893" t="str">
        <f>IF(B1517&lt;&gt;"",IF(AND(B1517&gt;=_TM1,B1517&lt;=_TM2,OR(TH!L1517="1111",TH!M1517="1111")),TH!D1517,""),"")</f>
        <v/>
      </c>
      <c r="B1517" s="700">
        <f t="shared" si="454"/>
        <v>5</v>
      </c>
      <c r="C1517" s="833">
        <f t="shared" si="452"/>
        <v>41409</v>
      </c>
      <c r="D1517" s="833" t="s">
        <v>1293</v>
      </c>
      <c r="E1517" s="48">
        <v>41409</v>
      </c>
      <c r="F1517" s="49" t="s">
        <v>814</v>
      </c>
      <c r="G1517" s="49" t="s">
        <v>820</v>
      </c>
      <c r="H1517" s="837" t="s">
        <v>1289</v>
      </c>
      <c r="I1517" s="254">
        <v>211</v>
      </c>
      <c r="J1517" s="254">
        <v>7922.9099526066348</v>
      </c>
      <c r="K1517" s="701">
        <f t="shared" si="453"/>
        <v>1671734</v>
      </c>
      <c r="L1517" s="52" t="s">
        <v>167</v>
      </c>
      <c r="M1517" s="896" t="s">
        <v>165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52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50"/>
    </row>
    <row r="1518" spans="1:27" s="808" customFormat="1" ht="15.75" customHeight="1">
      <c r="A1518" s="893" t="str">
        <f>IF(B1518&lt;&gt;"",IF(AND(B1518&gt;=_TM1,B1518&lt;=_TM2,OR(TH!L1518="1111",TH!M1518="1111")),TH!D1518,""),"")</f>
        <v/>
      </c>
      <c r="B1518" s="700">
        <f t="shared" si="454"/>
        <v>5</v>
      </c>
      <c r="C1518" s="833">
        <f t="shared" si="452"/>
        <v>41409</v>
      </c>
      <c r="D1518" s="833" t="s">
        <v>1293</v>
      </c>
      <c r="E1518" s="48">
        <v>41409</v>
      </c>
      <c r="F1518" s="49" t="s">
        <v>481</v>
      </c>
      <c r="G1518" s="49" t="s">
        <v>821</v>
      </c>
      <c r="H1518" s="837" t="s">
        <v>1289</v>
      </c>
      <c r="I1518" s="254">
        <v>2000</v>
      </c>
      <c r="J1518" s="254">
        <v>8799.9359999999997</v>
      </c>
      <c r="K1518" s="701">
        <f t="shared" si="453"/>
        <v>17599872</v>
      </c>
      <c r="L1518" s="52" t="s">
        <v>167</v>
      </c>
      <c r="M1518" s="896" t="s">
        <v>165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52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50"/>
    </row>
    <row r="1519" spans="1:27" s="808" customFormat="1" ht="15.75" customHeight="1">
      <c r="A1519" s="893" t="str">
        <f>IF(B1519&lt;&gt;"",IF(AND(B1519&gt;=_TM1,B1519&lt;=_TM2,OR(TH!L1519="1111",TH!M1519="1111")),TH!D1519,""),"")</f>
        <v/>
      </c>
      <c r="B1519" s="700">
        <f t="shared" si="454"/>
        <v>5</v>
      </c>
      <c r="C1519" s="833">
        <f t="shared" si="452"/>
        <v>41410</v>
      </c>
      <c r="D1519" s="833" t="s">
        <v>1293</v>
      </c>
      <c r="E1519" s="48">
        <v>41410</v>
      </c>
      <c r="F1519" s="49" t="s">
        <v>481</v>
      </c>
      <c r="G1519" s="49" t="s">
        <v>823</v>
      </c>
      <c r="H1519" s="837" t="s">
        <v>1289</v>
      </c>
      <c r="I1519" s="254">
        <v>2500</v>
      </c>
      <c r="J1519" s="254">
        <v>6677.4856</v>
      </c>
      <c r="K1519" s="701">
        <f t="shared" si="453"/>
        <v>16693714</v>
      </c>
      <c r="L1519" s="52" t="s">
        <v>167</v>
      </c>
      <c r="M1519" s="896" t="s">
        <v>165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52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50"/>
    </row>
    <row r="1520" spans="1:27" s="808" customFormat="1" ht="15.75" customHeight="1">
      <c r="A1520" s="893" t="str">
        <f>IF(B1520&lt;&gt;"",IF(AND(B1520&gt;=_TM1,B1520&lt;=_TM2,OR(TH!L1520="1111",TH!M1520="1111")),TH!D1520,""),"")</f>
        <v/>
      </c>
      <c r="B1520" s="700">
        <f t="shared" si="454"/>
        <v>5</v>
      </c>
      <c r="C1520" s="833">
        <f t="shared" si="452"/>
        <v>41410</v>
      </c>
      <c r="D1520" s="833" t="s">
        <v>1293</v>
      </c>
      <c r="E1520" s="48">
        <v>41410</v>
      </c>
      <c r="F1520" s="49" t="s">
        <v>729</v>
      </c>
      <c r="G1520" s="49" t="s">
        <v>824</v>
      </c>
      <c r="H1520" s="837" t="s">
        <v>1289</v>
      </c>
      <c r="I1520" s="254">
        <v>1035</v>
      </c>
      <c r="J1520" s="254">
        <v>7923.5497584541063</v>
      </c>
      <c r="K1520" s="701">
        <f t="shared" si="453"/>
        <v>8200874</v>
      </c>
      <c r="L1520" s="52" t="s">
        <v>167</v>
      </c>
      <c r="M1520" s="896" t="s">
        <v>165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52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50"/>
    </row>
    <row r="1521" spans="1:27" s="808" customFormat="1" ht="15.75" customHeight="1">
      <c r="A1521" s="893" t="str">
        <f>IF(B1521&lt;&gt;"",IF(AND(B1521&gt;=_TM1,B1521&lt;=_TM2,OR(TH!L1521="1111",TH!M1521="1111")),TH!D1521,""),"")</f>
        <v/>
      </c>
      <c r="B1521" s="700">
        <f t="shared" si="454"/>
        <v>5</v>
      </c>
      <c r="C1521" s="833">
        <f t="shared" si="452"/>
        <v>41410</v>
      </c>
      <c r="D1521" s="833" t="s">
        <v>1293</v>
      </c>
      <c r="E1521" s="48">
        <v>41410</v>
      </c>
      <c r="F1521" s="49" t="s">
        <v>825</v>
      </c>
      <c r="G1521" s="49" t="s">
        <v>826</v>
      </c>
      <c r="H1521" s="837" t="s">
        <v>1289</v>
      </c>
      <c r="I1521" s="254">
        <v>553</v>
      </c>
      <c r="J1521" s="254">
        <v>8817.0433996383363</v>
      </c>
      <c r="K1521" s="701">
        <f t="shared" si="453"/>
        <v>4875825</v>
      </c>
      <c r="L1521" s="52" t="s">
        <v>167</v>
      </c>
      <c r="M1521" s="896" t="s">
        <v>165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52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50"/>
    </row>
    <row r="1522" spans="1:27" s="808" customFormat="1" ht="15.75" customHeight="1">
      <c r="A1522" s="893" t="str">
        <f>IF(B1522&lt;&gt;"",IF(AND(B1522&gt;=_TM1,B1522&lt;=_TM2,OR(TH!L1522="1111",TH!M1522="1111")),TH!D1522,""),"")</f>
        <v/>
      </c>
      <c r="B1522" s="700">
        <f t="shared" si="454"/>
        <v>5</v>
      </c>
      <c r="C1522" s="833">
        <f t="shared" si="452"/>
        <v>41411</v>
      </c>
      <c r="D1522" s="833" t="s">
        <v>1293</v>
      </c>
      <c r="E1522" s="48">
        <v>41411</v>
      </c>
      <c r="F1522" s="49" t="s">
        <v>812</v>
      </c>
      <c r="G1522" s="49" t="s">
        <v>828</v>
      </c>
      <c r="H1522" s="837" t="s">
        <v>1289</v>
      </c>
      <c r="I1522" s="254">
        <v>297</v>
      </c>
      <c r="J1522" s="254">
        <v>8829.3771043771048</v>
      </c>
      <c r="K1522" s="701">
        <f t="shared" si="453"/>
        <v>2622325</v>
      </c>
      <c r="L1522" s="52" t="s">
        <v>167</v>
      </c>
      <c r="M1522" s="896" t="s">
        <v>165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52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50"/>
    </row>
    <row r="1523" spans="1:27" s="808" customFormat="1" ht="15.75" customHeight="1">
      <c r="A1523" s="893" t="str">
        <f>IF(B1523&lt;&gt;"",IF(AND(B1523&gt;=_TM1,B1523&lt;=_TM2,OR(TH!L1523="1111",TH!M1523="1111")),TH!D1523,""),"")</f>
        <v/>
      </c>
      <c r="B1523" s="700">
        <f t="shared" si="454"/>
        <v>5</v>
      </c>
      <c r="C1523" s="833">
        <f t="shared" si="452"/>
        <v>41415</v>
      </c>
      <c r="D1523" s="833" t="s">
        <v>1293</v>
      </c>
      <c r="E1523" s="48">
        <v>41415</v>
      </c>
      <c r="F1523" s="49" t="s">
        <v>829</v>
      </c>
      <c r="G1523" s="49" t="s">
        <v>830</v>
      </c>
      <c r="H1523" s="837" t="s">
        <v>1289</v>
      </c>
      <c r="I1523" s="254">
        <v>303</v>
      </c>
      <c r="J1523" s="254">
        <v>4812.2013201320133</v>
      </c>
      <c r="K1523" s="701">
        <f t="shared" si="453"/>
        <v>1458097</v>
      </c>
      <c r="L1523" s="52" t="s">
        <v>167</v>
      </c>
      <c r="M1523" s="896" t="s">
        <v>165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52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50"/>
    </row>
    <row r="1524" spans="1:27" s="808" customFormat="1" ht="15.75" customHeight="1">
      <c r="A1524" s="893" t="str">
        <f>IF(B1524&lt;&gt;"",IF(AND(B1524&gt;=_TM1,B1524&lt;=_TM2,OR(TH!L1524="1111",TH!M1524="1111")),TH!D1524,""),"")</f>
        <v/>
      </c>
      <c r="B1524" s="700">
        <f t="shared" si="454"/>
        <v>5</v>
      </c>
      <c r="C1524" s="833">
        <f t="shared" si="452"/>
        <v>41415</v>
      </c>
      <c r="D1524" s="833" t="s">
        <v>1293</v>
      </c>
      <c r="E1524" s="48">
        <v>41415</v>
      </c>
      <c r="F1524" s="49" t="s">
        <v>831</v>
      </c>
      <c r="G1524" s="49" t="s">
        <v>830</v>
      </c>
      <c r="H1524" s="837" t="s">
        <v>1289</v>
      </c>
      <c r="I1524" s="254">
        <v>209</v>
      </c>
      <c r="J1524" s="254">
        <v>1625.5502392344497</v>
      </c>
      <c r="K1524" s="701">
        <f t="shared" si="453"/>
        <v>339740</v>
      </c>
      <c r="L1524" s="52" t="s">
        <v>167</v>
      </c>
      <c r="M1524" s="896" t="s">
        <v>165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52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50"/>
    </row>
    <row r="1525" spans="1:27" s="808" customFormat="1" ht="15.75" customHeight="1">
      <c r="A1525" s="893" t="str">
        <f>IF(B1525&lt;&gt;"",IF(AND(B1525&gt;=_TM1,B1525&lt;=_TM2,OR(TH!L1525="1111",TH!M1525="1111")),TH!D1525,""),"")</f>
        <v/>
      </c>
      <c r="B1525" s="700">
        <f t="shared" si="454"/>
        <v>5</v>
      </c>
      <c r="C1525" s="833">
        <f t="shared" si="452"/>
        <v>41415</v>
      </c>
      <c r="D1525" s="833" t="s">
        <v>1293</v>
      </c>
      <c r="E1525" s="48">
        <v>41415</v>
      </c>
      <c r="F1525" s="49" t="s">
        <v>832</v>
      </c>
      <c r="G1525" s="49" t="s">
        <v>830</v>
      </c>
      <c r="H1525" s="837" t="s">
        <v>1289</v>
      </c>
      <c r="I1525" s="254">
        <v>305</v>
      </c>
      <c r="J1525" s="254">
        <v>2140.5049180327869</v>
      </c>
      <c r="K1525" s="701">
        <f t="shared" si="453"/>
        <v>652854</v>
      </c>
      <c r="L1525" s="52" t="s">
        <v>167</v>
      </c>
      <c r="M1525" s="896" t="s">
        <v>165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52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50"/>
    </row>
    <row r="1526" spans="1:27" s="808" customFormat="1" ht="15.75" customHeight="1">
      <c r="A1526" s="893" t="str">
        <f>IF(B1526&lt;&gt;"",IF(AND(B1526&gt;=_TM1,B1526&lt;=_TM2,OR(TH!L1526="1111",TH!M1526="1111")),TH!D1526,""),"")</f>
        <v/>
      </c>
      <c r="B1526" s="700">
        <f t="shared" si="454"/>
        <v>5</v>
      </c>
      <c r="C1526" s="833">
        <f t="shared" si="452"/>
        <v>41415</v>
      </c>
      <c r="D1526" s="833" t="s">
        <v>1293</v>
      </c>
      <c r="E1526" s="48">
        <v>41415</v>
      </c>
      <c r="F1526" s="49" t="s">
        <v>833</v>
      </c>
      <c r="G1526" s="49" t="s">
        <v>830</v>
      </c>
      <c r="H1526" s="837" t="s">
        <v>1289</v>
      </c>
      <c r="I1526" s="254">
        <v>303</v>
      </c>
      <c r="J1526" s="254">
        <v>4202.1155115511547</v>
      </c>
      <c r="K1526" s="701">
        <f t="shared" si="453"/>
        <v>1273241</v>
      </c>
      <c r="L1526" s="52" t="s">
        <v>167</v>
      </c>
      <c r="M1526" s="896" t="s">
        <v>165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52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50"/>
    </row>
    <row r="1527" spans="1:27" s="808" customFormat="1" ht="15.75" customHeight="1">
      <c r="A1527" s="893" t="str">
        <f>IF(B1527&lt;&gt;"",IF(AND(B1527&gt;=_TM1,B1527&lt;=_TM2,OR(TH!L1527="1111",TH!M1527="1111")),TH!D1527,""),"")</f>
        <v/>
      </c>
      <c r="B1527" s="700">
        <f t="shared" si="454"/>
        <v>5</v>
      </c>
      <c r="C1527" s="833">
        <f t="shared" si="452"/>
        <v>41415</v>
      </c>
      <c r="D1527" s="833" t="s">
        <v>1293</v>
      </c>
      <c r="E1527" s="48">
        <v>41415</v>
      </c>
      <c r="F1527" s="49" t="s">
        <v>1155</v>
      </c>
      <c r="G1527" s="49" t="s">
        <v>830</v>
      </c>
      <c r="H1527" s="837" t="s">
        <v>1289</v>
      </c>
      <c r="I1527" s="254">
        <v>270</v>
      </c>
      <c r="J1527" s="254">
        <v>6807.2740740740737</v>
      </c>
      <c r="K1527" s="701">
        <f t="shared" si="453"/>
        <v>1837964</v>
      </c>
      <c r="L1527" s="52" t="s">
        <v>167</v>
      </c>
      <c r="M1527" s="896" t="s">
        <v>165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52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50"/>
    </row>
    <row r="1528" spans="1:27" s="808" customFormat="1" ht="15.75" customHeight="1">
      <c r="A1528" s="893" t="str">
        <f>IF(B1528&lt;&gt;"",IF(AND(B1528&gt;=_TM1,B1528&lt;=_TM2,OR(TH!L1528="1111",TH!M1528="1111")),TH!D1528,""),"")</f>
        <v/>
      </c>
      <c r="B1528" s="700">
        <f t="shared" si="454"/>
        <v>5</v>
      </c>
      <c r="C1528" s="833">
        <f t="shared" si="452"/>
        <v>41418</v>
      </c>
      <c r="D1528" s="833" t="s">
        <v>1293</v>
      </c>
      <c r="E1528" s="48">
        <v>41418</v>
      </c>
      <c r="F1528" s="49" t="s">
        <v>1141</v>
      </c>
      <c r="G1528" s="49" t="s">
        <v>834</v>
      </c>
      <c r="H1528" s="837" t="s">
        <v>1289</v>
      </c>
      <c r="I1528" s="254">
        <v>1034</v>
      </c>
      <c r="J1528" s="254">
        <v>5941.5996131528045</v>
      </c>
      <c r="K1528" s="701">
        <f t="shared" si="453"/>
        <v>6143614</v>
      </c>
      <c r="L1528" s="52" t="s">
        <v>167</v>
      </c>
      <c r="M1528" s="896" t="s">
        <v>165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52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50"/>
    </row>
    <row r="1529" spans="1:27" s="808" customFormat="1" ht="15.75" customHeight="1">
      <c r="A1529" s="893" t="str">
        <f>IF(B1529&lt;&gt;"",IF(AND(B1529&gt;=_TM1,B1529&lt;=_TM2,OR(TH!L1529="1111",TH!M1529="1111")),TH!D1529,""),"")</f>
        <v/>
      </c>
      <c r="B1529" s="700">
        <f t="shared" si="454"/>
        <v>6</v>
      </c>
      <c r="C1529" s="833">
        <f t="shared" si="452"/>
        <v>41429</v>
      </c>
      <c r="D1529" s="833" t="s">
        <v>1293</v>
      </c>
      <c r="E1529" s="48">
        <v>41429</v>
      </c>
      <c r="F1529" s="49" t="s">
        <v>1139</v>
      </c>
      <c r="G1529" s="49" t="s">
        <v>835</v>
      </c>
      <c r="H1529" s="837" t="s">
        <v>1289</v>
      </c>
      <c r="I1529" s="254">
        <v>296</v>
      </c>
      <c r="J1529" s="254">
        <v>14861.236486486487</v>
      </c>
      <c r="K1529" s="701">
        <f t="shared" si="453"/>
        <v>4398926</v>
      </c>
      <c r="L1529" s="52" t="s">
        <v>167</v>
      </c>
      <c r="M1529" s="896" t="s">
        <v>165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52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50"/>
    </row>
    <row r="1530" spans="1:27" s="808" customFormat="1" ht="15.75" customHeight="1">
      <c r="A1530" s="893" t="str">
        <f>IF(B1530&lt;&gt;"",IF(AND(B1530&gt;=_TM1,B1530&lt;=_TM2,OR(TH!L1530="1111",TH!M1530="1111")),TH!D1530,""),"")</f>
        <v/>
      </c>
      <c r="B1530" s="700">
        <f t="shared" si="454"/>
        <v>6</v>
      </c>
      <c r="C1530" s="833">
        <f t="shared" si="452"/>
        <v>41429</v>
      </c>
      <c r="D1530" s="833" t="s">
        <v>1293</v>
      </c>
      <c r="E1530" s="833">
        <v>41429</v>
      </c>
      <c r="F1530" s="895" t="s">
        <v>836</v>
      </c>
      <c r="G1530" s="834" t="s">
        <v>837</v>
      </c>
      <c r="H1530" s="837" t="s">
        <v>1289</v>
      </c>
      <c r="I1530" s="254">
        <v>847</v>
      </c>
      <c r="J1530" s="254">
        <v>10880.525383707201</v>
      </c>
      <c r="K1530" s="701">
        <f t="shared" si="453"/>
        <v>9215805</v>
      </c>
      <c r="L1530" s="52" t="s">
        <v>167</v>
      </c>
      <c r="M1530" s="896" t="s">
        <v>165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52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50"/>
    </row>
    <row r="1531" spans="1:27" s="808" customFormat="1" ht="15.75" customHeight="1">
      <c r="A1531" s="893" t="str">
        <f>IF(B1531&lt;&gt;"",IF(AND(B1531&gt;=_TM1,B1531&lt;=_TM2,OR(TH!L1531="1111",TH!M1531="1111")),TH!D1531,""),"")</f>
        <v/>
      </c>
      <c r="B1531" s="700">
        <f t="shared" si="454"/>
        <v>6</v>
      </c>
      <c r="C1531" s="833">
        <f t="shared" si="452"/>
        <v>41430</v>
      </c>
      <c r="D1531" s="833" t="s">
        <v>1293</v>
      </c>
      <c r="E1531" s="833">
        <v>41430</v>
      </c>
      <c r="F1531" s="895" t="s">
        <v>838</v>
      </c>
      <c r="G1531" s="834" t="s">
        <v>839</v>
      </c>
      <c r="H1531" s="837" t="s">
        <v>1289</v>
      </c>
      <c r="I1531" s="254">
        <v>2399</v>
      </c>
      <c r="J1531" s="254">
        <v>5869.8253438932888</v>
      </c>
      <c r="K1531" s="701">
        <f t="shared" si="453"/>
        <v>14081711</v>
      </c>
      <c r="L1531" s="52" t="s">
        <v>167</v>
      </c>
      <c r="M1531" s="896" t="s">
        <v>165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52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50"/>
    </row>
    <row r="1532" spans="1:27" s="808" customFormat="1" ht="15.75" customHeight="1">
      <c r="A1532" s="893" t="str">
        <f>IF(B1532&lt;&gt;"",IF(AND(B1532&gt;=_TM1,B1532&lt;=_TM2,OR(TH!L1532="1111",TH!M1532="1111")),TH!D1532,""),"")</f>
        <v/>
      </c>
      <c r="B1532" s="700">
        <f t="shared" si="454"/>
        <v>6</v>
      </c>
      <c r="C1532" s="833">
        <f t="shared" si="452"/>
        <v>41430</v>
      </c>
      <c r="D1532" s="833" t="s">
        <v>1293</v>
      </c>
      <c r="E1532" s="833">
        <v>41430</v>
      </c>
      <c r="F1532" s="895" t="s">
        <v>838</v>
      </c>
      <c r="G1532" s="834" t="s">
        <v>839</v>
      </c>
      <c r="H1532" s="837" t="s">
        <v>1289</v>
      </c>
      <c r="I1532" s="254">
        <v>2542</v>
      </c>
      <c r="J1532" s="254">
        <v>6662.8768686073954</v>
      </c>
      <c r="K1532" s="701">
        <f t="shared" si="453"/>
        <v>16937033</v>
      </c>
      <c r="L1532" s="52" t="s">
        <v>167</v>
      </c>
      <c r="M1532" s="896" t="s">
        <v>165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52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50"/>
    </row>
    <row r="1533" spans="1:27" s="808" customFormat="1" ht="15.75" customHeight="1">
      <c r="A1533" s="893" t="str">
        <f>IF(B1533&lt;&gt;"",IF(AND(B1533&gt;=_TM1,B1533&lt;=_TM2,OR(TH!L1533="1111",TH!M1533="1111")),TH!D1533,""),"")</f>
        <v/>
      </c>
      <c r="B1533" s="700">
        <f t="shared" si="454"/>
        <v>6</v>
      </c>
      <c r="C1533" s="833">
        <f t="shared" si="452"/>
        <v>41432</v>
      </c>
      <c r="D1533" s="833" t="s">
        <v>1293</v>
      </c>
      <c r="E1533" s="833">
        <v>41432</v>
      </c>
      <c r="F1533" s="895" t="s">
        <v>1128</v>
      </c>
      <c r="G1533" s="834" t="s">
        <v>840</v>
      </c>
      <c r="H1533" s="837" t="s">
        <v>1289</v>
      </c>
      <c r="I1533" s="254">
        <v>106</v>
      </c>
      <c r="J1533" s="254">
        <v>13419.613207547171</v>
      </c>
      <c r="K1533" s="701">
        <f t="shared" si="453"/>
        <v>1422479</v>
      </c>
      <c r="L1533" s="52" t="s">
        <v>167</v>
      </c>
      <c r="M1533" s="896" t="s">
        <v>165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52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50"/>
    </row>
    <row r="1534" spans="1:27" s="808" customFormat="1" ht="15.75" customHeight="1">
      <c r="A1534" s="893" t="str">
        <f>IF(B1534&lt;&gt;"",IF(AND(B1534&gt;=_TM1,B1534&lt;=_TM2,OR(TH!L1534="1111",TH!M1534="1111")),TH!D1534,""),"")</f>
        <v/>
      </c>
      <c r="B1534" s="700">
        <f t="shared" si="454"/>
        <v>6</v>
      </c>
      <c r="C1534" s="833">
        <f t="shared" si="452"/>
        <v>41432</v>
      </c>
      <c r="D1534" s="833" t="s">
        <v>1293</v>
      </c>
      <c r="E1534" s="833">
        <v>41432</v>
      </c>
      <c r="F1534" s="895" t="s">
        <v>1131</v>
      </c>
      <c r="G1534" s="834" t="s">
        <v>840</v>
      </c>
      <c r="H1534" s="837" t="s">
        <v>1289</v>
      </c>
      <c r="I1534" s="254">
        <v>197</v>
      </c>
      <c r="J1534" s="254">
        <v>9349.6243654822338</v>
      </c>
      <c r="K1534" s="701">
        <f t="shared" si="453"/>
        <v>1841876</v>
      </c>
      <c r="L1534" s="52" t="s">
        <v>167</v>
      </c>
      <c r="M1534" s="896" t="s">
        <v>165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52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50"/>
    </row>
    <row r="1535" spans="1:27" s="808" customFormat="1" ht="15.75" customHeight="1">
      <c r="A1535" s="893" t="str">
        <f>IF(B1535&lt;&gt;"",IF(AND(B1535&gt;=_TM1,B1535&lt;=_TM2,OR(TH!L1535="1111",TH!M1535="1111")),TH!D1535,""),"")</f>
        <v/>
      </c>
      <c r="B1535" s="700">
        <f t="shared" si="454"/>
        <v>6</v>
      </c>
      <c r="C1535" s="833">
        <f t="shared" si="452"/>
        <v>41432</v>
      </c>
      <c r="D1535" s="833" t="s">
        <v>1293</v>
      </c>
      <c r="E1535" s="833">
        <v>41432</v>
      </c>
      <c r="F1535" s="895" t="s">
        <v>841</v>
      </c>
      <c r="G1535" s="834" t="s">
        <v>840</v>
      </c>
      <c r="H1535" s="837" t="s">
        <v>1289</v>
      </c>
      <c r="I1535" s="254">
        <v>104</v>
      </c>
      <c r="J1535" s="254">
        <v>11401.740384615385</v>
      </c>
      <c r="K1535" s="701">
        <f t="shared" si="453"/>
        <v>1185781</v>
      </c>
      <c r="L1535" s="52" t="s">
        <v>167</v>
      </c>
      <c r="M1535" s="896" t="s">
        <v>165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52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50"/>
    </row>
    <row r="1536" spans="1:27" s="808" customFormat="1" ht="15.75" customHeight="1">
      <c r="A1536" s="893" t="str">
        <f>IF(B1536&lt;&gt;"",IF(AND(B1536&gt;=_TM1,B1536&lt;=_TM2,OR(TH!L1536="1111",TH!M1536="1111")),TH!D1536,""),"")</f>
        <v/>
      </c>
      <c r="B1536" s="700">
        <f t="shared" si="454"/>
        <v>6</v>
      </c>
      <c r="C1536" s="833">
        <f t="shared" si="452"/>
        <v>41432</v>
      </c>
      <c r="D1536" s="833" t="s">
        <v>1293</v>
      </c>
      <c r="E1536" s="833">
        <v>41432</v>
      </c>
      <c r="F1536" s="895" t="s">
        <v>842</v>
      </c>
      <c r="G1536" s="834" t="s">
        <v>840</v>
      </c>
      <c r="H1536" s="837" t="s">
        <v>1289</v>
      </c>
      <c r="I1536" s="254">
        <v>141</v>
      </c>
      <c r="J1536" s="254">
        <v>10915.86524822695</v>
      </c>
      <c r="K1536" s="701">
        <f t="shared" si="453"/>
        <v>1539137</v>
      </c>
      <c r="L1536" s="52" t="s">
        <v>167</v>
      </c>
      <c r="M1536" s="896" t="s">
        <v>165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52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50"/>
    </row>
    <row r="1537" spans="1:27" s="808" customFormat="1" ht="15.75" customHeight="1">
      <c r="A1537" s="893" t="str">
        <f>IF(B1537&lt;&gt;"",IF(AND(B1537&gt;=_TM1,B1537&lt;=_TM2,OR(TH!L1537="1111",TH!M1537="1111")),TH!D1537,""),"")</f>
        <v/>
      </c>
      <c r="B1537" s="700">
        <f t="shared" si="454"/>
        <v>6</v>
      </c>
      <c r="C1537" s="833">
        <f t="shared" si="452"/>
        <v>41432</v>
      </c>
      <c r="D1537" s="833" t="s">
        <v>1293</v>
      </c>
      <c r="E1537" s="833">
        <v>41432</v>
      </c>
      <c r="F1537" s="918" t="s">
        <v>1146</v>
      </c>
      <c r="G1537" s="834" t="s">
        <v>843</v>
      </c>
      <c r="H1537" s="837" t="s">
        <v>1289</v>
      </c>
      <c r="I1537" s="254">
        <v>305</v>
      </c>
      <c r="J1537" s="254">
        <v>5072.8590163934423</v>
      </c>
      <c r="K1537" s="701">
        <f t="shared" si="453"/>
        <v>1547222</v>
      </c>
      <c r="L1537" s="52" t="s">
        <v>167</v>
      </c>
      <c r="M1537" s="896" t="s">
        <v>165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52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50"/>
    </row>
    <row r="1538" spans="1:27" s="808" customFormat="1" ht="15.75" customHeight="1">
      <c r="A1538" s="893" t="str">
        <f>IF(B1538&lt;&gt;"",IF(AND(B1538&gt;=_TM1,B1538&lt;=_TM2,OR(TH!L1538="1111",TH!M1538="1111")),TH!D1538,""),"")</f>
        <v/>
      </c>
      <c r="B1538" s="700">
        <f t="shared" si="454"/>
        <v>6</v>
      </c>
      <c r="C1538" s="833">
        <f t="shared" si="452"/>
        <v>41432</v>
      </c>
      <c r="D1538" s="833" t="s">
        <v>1293</v>
      </c>
      <c r="E1538" s="833">
        <v>41432</v>
      </c>
      <c r="F1538" s="895" t="s">
        <v>808</v>
      </c>
      <c r="G1538" s="834" t="s">
        <v>843</v>
      </c>
      <c r="H1538" s="837" t="s">
        <v>1289</v>
      </c>
      <c r="I1538" s="254">
        <v>318</v>
      </c>
      <c r="J1538" s="254">
        <v>6196.2735849056608</v>
      </c>
      <c r="K1538" s="701">
        <f t="shared" si="453"/>
        <v>1970415</v>
      </c>
      <c r="L1538" s="52" t="s">
        <v>167</v>
      </c>
      <c r="M1538" s="896" t="s">
        <v>165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52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50"/>
    </row>
    <row r="1539" spans="1:27" s="808" customFormat="1" ht="15.75" customHeight="1">
      <c r="A1539" s="893" t="str">
        <f>IF(B1539&lt;&gt;"",IF(AND(B1539&gt;=_TM1,B1539&lt;=_TM2,OR(TH!L1539="1111",TH!M1539="1111")),TH!D1539,""),"")</f>
        <v/>
      </c>
      <c r="B1539" s="700">
        <f t="shared" si="454"/>
        <v>6</v>
      </c>
      <c r="C1539" s="833">
        <f t="shared" si="452"/>
        <v>41432</v>
      </c>
      <c r="D1539" s="833" t="s">
        <v>1293</v>
      </c>
      <c r="E1539" s="48">
        <v>41432</v>
      </c>
      <c r="F1539" s="49" t="s">
        <v>844</v>
      </c>
      <c r="G1539" s="49" t="s">
        <v>843</v>
      </c>
      <c r="H1539" s="837" t="s">
        <v>1289</v>
      </c>
      <c r="I1539" s="254">
        <v>296</v>
      </c>
      <c r="J1539" s="254">
        <v>4382.9864864864867</v>
      </c>
      <c r="K1539" s="701">
        <f t="shared" si="453"/>
        <v>1297364</v>
      </c>
      <c r="L1539" s="52" t="s">
        <v>167</v>
      </c>
      <c r="M1539" s="896" t="s">
        <v>165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52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50"/>
    </row>
    <row r="1540" spans="1:27" s="808" customFormat="1" ht="15.75" customHeight="1">
      <c r="A1540" s="893" t="str">
        <f>IF(B1540&lt;&gt;"",IF(AND(B1540&gt;=_TM1,B1540&lt;=_TM2,OR(TH!L1540="1111",TH!M1540="1111")),TH!D1540,""),"")</f>
        <v/>
      </c>
      <c r="B1540" s="700">
        <f t="shared" si="454"/>
        <v>6</v>
      </c>
      <c r="C1540" s="833">
        <f t="shared" si="452"/>
        <v>41432</v>
      </c>
      <c r="D1540" s="833" t="s">
        <v>1293</v>
      </c>
      <c r="E1540" s="48">
        <v>41432</v>
      </c>
      <c r="F1540" s="49" t="s">
        <v>1137</v>
      </c>
      <c r="G1540" s="49" t="s">
        <v>843</v>
      </c>
      <c r="H1540" s="837" t="s">
        <v>1289</v>
      </c>
      <c r="I1540" s="254">
        <v>510</v>
      </c>
      <c r="J1540" s="254">
        <v>4919.5215686274514</v>
      </c>
      <c r="K1540" s="701">
        <f t="shared" si="453"/>
        <v>2508956</v>
      </c>
      <c r="L1540" s="52" t="s">
        <v>167</v>
      </c>
      <c r="M1540" s="896" t="s">
        <v>165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52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50"/>
    </row>
    <row r="1541" spans="1:27" s="808" customFormat="1" ht="15.75" customHeight="1">
      <c r="A1541" s="893" t="str">
        <f>IF(B1541&lt;&gt;"",IF(AND(B1541&gt;=_TM1,B1541&lt;=_TM2,OR(TH!L1541="1111",TH!M1541="1111")),TH!D1541,""),"")</f>
        <v/>
      </c>
      <c r="B1541" s="700">
        <f t="shared" si="454"/>
        <v>6</v>
      </c>
      <c r="C1541" s="833">
        <f t="shared" si="452"/>
        <v>41435</v>
      </c>
      <c r="D1541" s="833" t="s">
        <v>1293</v>
      </c>
      <c r="E1541" s="48">
        <v>41435</v>
      </c>
      <c r="F1541" s="49" t="s">
        <v>845</v>
      </c>
      <c r="G1541" s="49" t="s">
        <v>846</v>
      </c>
      <c r="H1541" s="837" t="s">
        <v>1289</v>
      </c>
      <c r="I1541" s="254">
        <v>204</v>
      </c>
      <c r="J1541" s="254">
        <v>18464.235294117647</v>
      </c>
      <c r="K1541" s="701">
        <f t="shared" si="453"/>
        <v>3766704</v>
      </c>
      <c r="L1541" s="52" t="s">
        <v>167</v>
      </c>
      <c r="M1541" s="896" t="s">
        <v>165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52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50"/>
    </row>
    <row r="1542" spans="1:27" s="808" customFormat="1" ht="15.75" customHeight="1">
      <c r="A1542" s="893" t="str">
        <f>IF(B1542&lt;&gt;"",IF(AND(B1542&gt;=_TM1,B1542&lt;=_TM2,OR(TH!L1542="1111",TH!M1542="1111")),TH!D1542,""),"")</f>
        <v/>
      </c>
      <c r="B1542" s="700">
        <f t="shared" si="454"/>
        <v>6</v>
      </c>
      <c r="C1542" s="833">
        <f t="shared" si="452"/>
        <v>41436</v>
      </c>
      <c r="D1542" s="833" t="s">
        <v>1293</v>
      </c>
      <c r="E1542" s="48">
        <v>41436</v>
      </c>
      <c r="F1542" s="49" t="s">
        <v>1137</v>
      </c>
      <c r="G1542" s="49" t="s">
        <v>848</v>
      </c>
      <c r="H1542" s="837" t="s">
        <v>1289</v>
      </c>
      <c r="I1542" s="254">
        <v>157</v>
      </c>
      <c r="J1542" s="254">
        <v>4573.6751592356686</v>
      </c>
      <c r="K1542" s="701">
        <f t="shared" si="453"/>
        <v>718067</v>
      </c>
      <c r="L1542" s="52" t="s">
        <v>167</v>
      </c>
      <c r="M1542" s="896" t="s">
        <v>165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52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50"/>
    </row>
    <row r="1543" spans="1:27" s="808" customFormat="1" ht="15.75" customHeight="1">
      <c r="A1543" s="893" t="str">
        <f>IF(B1543&lt;&gt;"",IF(AND(B1543&gt;=_TM1,B1543&lt;=_TM2,OR(TH!L1543="1111",TH!M1543="1111")),TH!D1543,""),"")</f>
        <v/>
      </c>
      <c r="B1543" s="700">
        <f t="shared" si="454"/>
        <v>6</v>
      </c>
      <c r="C1543" s="833">
        <f t="shared" si="452"/>
        <v>41436</v>
      </c>
      <c r="D1543" s="833" t="s">
        <v>1293</v>
      </c>
      <c r="E1543" s="48">
        <v>41436</v>
      </c>
      <c r="F1543" s="49" t="s">
        <v>849</v>
      </c>
      <c r="G1543" s="49" t="s">
        <v>850</v>
      </c>
      <c r="H1543" s="837" t="s">
        <v>1289</v>
      </c>
      <c r="I1543" s="254">
        <v>222</v>
      </c>
      <c r="J1543" s="254">
        <v>14509.234234234234</v>
      </c>
      <c r="K1543" s="701">
        <f t="shared" si="453"/>
        <v>3221050</v>
      </c>
      <c r="L1543" s="52" t="s">
        <v>167</v>
      </c>
      <c r="M1543" s="896" t="s">
        <v>165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52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50"/>
    </row>
    <row r="1544" spans="1:27" s="808" customFormat="1" ht="15.75" customHeight="1">
      <c r="A1544" s="893" t="str">
        <f>IF(B1544&lt;&gt;"",IF(AND(B1544&gt;=_TM1,B1544&lt;=_TM2,OR(TH!L1544="1111",TH!M1544="1111")),TH!D1544,""),"")</f>
        <v/>
      </c>
      <c r="B1544" s="700">
        <f t="shared" si="454"/>
        <v>6</v>
      </c>
      <c r="C1544" s="833">
        <f t="shared" si="452"/>
        <v>41443</v>
      </c>
      <c r="D1544" s="833" t="s">
        <v>1293</v>
      </c>
      <c r="E1544" s="48">
        <v>41443</v>
      </c>
      <c r="F1544" s="49" t="s">
        <v>851</v>
      </c>
      <c r="G1544" s="49" t="s">
        <v>852</v>
      </c>
      <c r="H1544" s="837" t="s">
        <v>1289</v>
      </c>
      <c r="I1544" s="254">
        <v>494</v>
      </c>
      <c r="J1544" s="254">
        <v>17050.975708502025</v>
      </c>
      <c r="K1544" s="701">
        <f t="shared" si="453"/>
        <v>8423182</v>
      </c>
      <c r="L1544" s="52" t="s">
        <v>167</v>
      </c>
      <c r="M1544" s="896" t="s">
        <v>165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52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50"/>
    </row>
    <row r="1545" spans="1:27" s="808" customFormat="1" ht="15.75" customHeight="1">
      <c r="A1545" s="893" t="str">
        <f>IF(B1545&lt;&gt;"",IF(AND(B1545&gt;=_TM1,B1545&lt;=_TM2,OR(TH!L1545="1111",TH!M1545="1111")),TH!D1545,""),"")</f>
        <v/>
      </c>
      <c r="B1545" s="700">
        <f t="shared" si="454"/>
        <v>6</v>
      </c>
      <c r="C1545" s="833">
        <f t="shared" si="452"/>
        <v>41444</v>
      </c>
      <c r="D1545" s="833" t="s">
        <v>1293</v>
      </c>
      <c r="E1545" s="48">
        <v>41444</v>
      </c>
      <c r="F1545" s="49" t="s">
        <v>742</v>
      </c>
      <c r="G1545" s="49" t="s">
        <v>853</v>
      </c>
      <c r="H1545" s="837" t="s">
        <v>1289</v>
      </c>
      <c r="I1545" s="254">
        <v>402</v>
      </c>
      <c r="J1545" s="254">
        <v>24039.236318407959</v>
      </c>
      <c r="K1545" s="701">
        <f t="shared" si="453"/>
        <v>9663773</v>
      </c>
      <c r="L1545" s="52" t="s">
        <v>167</v>
      </c>
      <c r="M1545" s="896" t="s">
        <v>165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52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50"/>
    </row>
    <row r="1546" spans="1:27" s="808" customFormat="1" ht="15.75" customHeight="1">
      <c r="A1546" s="893" t="str">
        <f>IF(B1546&lt;&gt;"",IF(AND(B1546&gt;=_TM1,B1546&lt;=_TM2,OR(TH!L1546="1111",TH!M1546="1111")),TH!D1546,""),"")</f>
        <v/>
      </c>
      <c r="B1546" s="700">
        <f t="shared" si="454"/>
        <v>6</v>
      </c>
      <c r="C1546" s="833">
        <f t="shared" si="452"/>
        <v>41445</v>
      </c>
      <c r="D1546" s="833" t="s">
        <v>1293</v>
      </c>
      <c r="E1546" s="48">
        <v>41445</v>
      </c>
      <c r="F1546" s="895" t="s">
        <v>815</v>
      </c>
      <c r="G1546" s="49" t="s">
        <v>854</v>
      </c>
      <c r="H1546" s="837" t="s">
        <v>1289</v>
      </c>
      <c r="I1546" s="254">
        <v>495</v>
      </c>
      <c r="J1546" s="254">
        <v>17083.624242424241</v>
      </c>
      <c r="K1546" s="701">
        <f t="shared" si="453"/>
        <v>8456394</v>
      </c>
      <c r="L1546" s="52" t="s">
        <v>167</v>
      </c>
      <c r="M1546" s="896" t="s">
        <v>165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52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50"/>
    </row>
    <row r="1547" spans="1:27" s="808" customFormat="1" ht="15.75" customHeight="1">
      <c r="A1547" s="893" t="str">
        <f>IF(B1547&lt;&gt;"",IF(AND(B1547&gt;=_TM1,B1547&lt;=_TM2,OR(TH!L1547="1111",TH!M1547="1111")),TH!D1547,""),"")</f>
        <v/>
      </c>
      <c r="B1547" s="700">
        <f t="shared" si="454"/>
        <v>6</v>
      </c>
      <c r="C1547" s="833">
        <f t="shared" si="452"/>
        <v>41445</v>
      </c>
      <c r="D1547" s="833" t="s">
        <v>1293</v>
      </c>
      <c r="E1547" s="48">
        <v>41445</v>
      </c>
      <c r="F1547" s="49" t="s">
        <v>817</v>
      </c>
      <c r="G1547" s="49" t="s">
        <v>854</v>
      </c>
      <c r="H1547" s="837" t="s">
        <v>1289</v>
      </c>
      <c r="I1547" s="254">
        <v>1500</v>
      </c>
      <c r="J1547" s="254">
        <v>1429.172</v>
      </c>
      <c r="K1547" s="701">
        <f t="shared" si="453"/>
        <v>2143758</v>
      </c>
      <c r="L1547" s="52" t="s">
        <v>167</v>
      </c>
      <c r="M1547" s="896" t="s">
        <v>165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52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50"/>
    </row>
    <row r="1548" spans="1:27" s="808" customFormat="1" ht="15.75" customHeight="1">
      <c r="A1548" s="893" t="str">
        <f>IF(B1548&lt;&gt;"",IF(AND(B1548&gt;=_TM1,B1548&lt;=_TM2,OR(TH!L1548="1111",TH!M1548="1111")),TH!D1548,""),"")</f>
        <v/>
      </c>
      <c r="B1548" s="700">
        <f t="shared" si="454"/>
        <v>6</v>
      </c>
      <c r="C1548" s="833">
        <f t="shared" si="452"/>
        <v>41445</v>
      </c>
      <c r="D1548" s="833" t="s">
        <v>1293</v>
      </c>
      <c r="E1548" s="48">
        <v>41445</v>
      </c>
      <c r="F1548" s="49" t="s">
        <v>1129</v>
      </c>
      <c r="G1548" s="49" t="s">
        <v>855</v>
      </c>
      <c r="H1548" s="837" t="s">
        <v>1289</v>
      </c>
      <c r="I1548" s="254">
        <v>212</v>
      </c>
      <c r="J1548" s="254">
        <v>6713.066037735849</v>
      </c>
      <c r="K1548" s="701">
        <f t="shared" si="453"/>
        <v>1423170</v>
      </c>
      <c r="L1548" s="52" t="s">
        <v>167</v>
      </c>
      <c r="M1548" s="896" t="s">
        <v>165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52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50"/>
    </row>
    <row r="1549" spans="1:27" s="808" customFormat="1" ht="15.75" customHeight="1">
      <c r="A1549" s="893" t="str">
        <f>IF(B1549&lt;&gt;"",IF(AND(B1549&gt;=_TM1,B1549&lt;=_TM2,OR(TH!L1549="1111",TH!M1549="1111")),TH!D1549,""),"")</f>
        <v/>
      </c>
      <c r="B1549" s="700">
        <f t="shared" si="454"/>
        <v>6</v>
      </c>
      <c r="C1549" s="833">
        <f t="shared" si="452"/>
        <v>41445</v>
      </c>
      <c r="D1549" s="833" t="s">
        <v>1293</v>
      </c>
      <c r="E1549" s="48">
        <v>41445</v>
      </c>
      <c r="F1549" s="49" t="s">
        <v>1128</v>
      </c>
      <c r="G1549" s="49" t="s">
        <v>855</v>
      </c>
      <c r="H1549" s="837" t="s">
        <v>1289</v>
      </c>
      <c r="I1549" s="254">
        <v>195</v>
      </c>
      <c r="J1549" s="254">
        <v>13775.364102564103</v>
      </c>
      <c r="K1549" s="701">
        <f t="shared" si="453"/>
        <v>2686196</v>
      </c>
      <c r="L1549" s="52" t="s">
        <v>167</v>
      </c>
      <c r="M1549" s="896" t="s">
        <v>165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52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50"/>
    </row>
    <row r="1550" spans="1:27" s="808" customFormat="1" ht="15.75" customHeight="1">
      <c r="A1550" s="893" t="str">
        <f>IF(B1550&lt;&gt;"",IF(AND(B1550&gt;=_TM1,B1550&lt;=_TM2,OR(TH!L1550="1111",TH!M1550="1111")),TH!D1550,""),"")</f>
        <v/>
      </c>
      <c r="B1550" s="700">
        <f t="shared" si="454"/>
        <v>6</v>
      </c>
      <c r="C1550" s="833">
        <f t="shared" ref="C1550:C1613" si="455">E1550</f>
        <v>41445</v>
      </c>
      <c r="D1550" s="833" t="s">
        <v>1293</v>
      </c>
      <c r="E1550" s="48">
        <v>41445</v>
      </c>
      <c r="F1550" s="49" t="s">
        <v>829</v>
      </c>
      <c r="G1550" s="49" t="s">
        <v>856</v>
      </c>
      <c r="H1550" s="837" t="s">
        <v>1289</v>
      </c>
      <c r="I1550" s="254">
        <v>508</v>
      </c>
      <c r="J1550" s="254">
        <v>5039.0866141732286</v>
      </c>
      <c r="K1550" s="701">
        <f t="shared" ref="K1550:K1613" si="456">ROUND(I1550*J1550,0)</f>
        <v>2559856</v>
      </c>
      <c r="L1550" s="52" t="s">
        <v>167</v>
      </c>
      <c r="M1550" s="896" t="s">
        <v>165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52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50"/>
    </row>
    <row r="1551" spans="1:27" s="808" customFormat="1" ht="15.75" customHeight="1">
      <c r="A1551" s="893" t="str">
        <f>IF(B1551&lt;&gt;"",IF(AND(B1551&gt;=_TM1,B1551&lt;=_TM2,OR(TH!L1551="1111",TH!M1551="1111")),TH!D1551,""),"")</f>
        <v/>
      </c>
      <c r="B1551" s="700">
        <f t="shared" si="454"/>
        <v>6</v>
      </c>
      <c r="C1551" s="833">
        <f t="shared" si="455"/>
        <v>41445</v>
      </c>
      <c r="D1551" s="833" t="s">
        <v>1293</v>
      </c>
      <c r="E1551" s="48">
        <v>41445</v>
      </c>
      <c r="F1551" s="49" t="s">
        <v>831</v>
      </c>
      <c r="G1551" s="49" t="s">
        <v>856</v>
      </c>
      <c r="H1551" s="837" t="s">
        <v>1289</v>
      </c>
      <c r="I1551" s="254">
        <v>305</v>
      </c>
      <c r="J1551" s="254">
        <v>4786.4852459016392</v>
      </c>
      <c r="K1551" s="701">
        <f t="shared" si="456"/>
        <v>1459878</v>
      </c>
      <c r="L1551" s="52" t="s">
        <v>167</v>
      </c>
      <c r="M1551" s="896" t="s">
        <v>165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52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50"/>
    </row>
    <row r="1552" spans="1:27" s="808" customFormat="1" ht="15.75" customHeight="1">
      <c r="A1552" s="893" t="str">
        <f>IF(B1552&lt;&gt;"",IF(AND(B1552&gt;=_TM1,B1552&lt;=_TM2,OR(TH!L1552="1111",TH!M1552="1111")),TH!D1552,""),"")</f>
        <v/>
      </c>
      <c r="B1552" s="700">
        <f t="shared" si="454"/>
        <v>6</v>
      </c>
      <c r="C1552" s="833">
        <f t="shared" si="455"/>
        <v>41445</v>
      </c>
      <c r="D1552" s="833" t="s">
        <v>1293</v>
      </c>
      <c r="E1552" s="48">
        <v>41445</v>
      </c>
      <c r="F1552" s="49" t="s">
        <v>1138</v>
      </c>
      <c r="G1552" s="49" t="s">
        <v>856</v>
      </c>
      <c r="H1552" s="837" t="s">
        <v>1289</v>
      </c>
      <c r="I1552" s="254">
        <v>484</v>
      </c>
      <c r="J1552" s="254">
        <v>5258.2107438016528</v>
      </c>
      <c r="K1552" s="701">
        <f t="shared" si="456"/>
        <v>2544974</v>
      </c>
      <c r="L1552" s="52" t="s">
        <v>167</v>
      </c>
      <c r="M1552" s="896" t="s">
        <v>165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52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50"/>
    </row>
    <row r="1553" spans="1:27" s="808" customFormat="1" ht="15.75" customHeight="1">
      <c r="A1553" s="893" t="str">
        <f>IF(B1553&lt;&gt;"",IF(AND(B1553&gt;=_TM1,B1553&lt;=_TM2,OR(TH!L1553="1111",TH!M1553="1111")),TH!D1553,""),"")</f>
        <v/>
      </c>
      <c r="B1553" s="700">
        <f t="shared" si="454"/>
        <v>6</v>
      </c>
      <c r="C1553" s="833">
        <f t="shared" si="455"/>
        <v>41446</v>
      </c>
      <c r="D1553" s="833" t="s">
        <v>1293</v>
      </c>
      <c r="E1553" s="48">
        <v>41446</v>
      </c>
      <c r="F1553" s="49" t="s">
        <v>1140</v>
      </c>
      <c r="G1553" s="49" t="s">
        <v>857</v>
      </c>
      <c r="H1553" s="837" t="s">
        <v>1289</v>
      </c>
      <c r="I1553" s="254">
        <v>1030</v>
      </c>
      <c r="J1553" s="254">
        <v>4606.3776699029122</v>
      </c>
      <c r="K1553" s="701">
        <f t="shared" si="456"/>
        <v>4744569</v>
      </c>
      <c r="L1553" s="52" t="s">
        <v>167</v>
      </c>
      <c r="M1553" s="896" t="s">
        <v>165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52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50"/>
    </row>
    <row r="1554" spans="1:27" s="808" customFormat="1" ht="15.75" customHeight="1">
      <c r="A1554" s="893" t="str">
        <f>IF(B1554&lt;&gt;"",IF(AND(B1554&gt;=_TM1,B1554&lt;=_TM2,OR(TH!L1554="1111",TH!M1554="1111")),TH!D1554,""),"")</f>
        <v/>
      </c>
      <c r="B1554" s="700">
        <f t="shared" si="454"/>
        <v>6</v>
      </c>
      <c r="C1554" s="833">
        <f t="shared" si="455"/>
        <v>41451</v>
      </c>
      <c r="D1554" s="833" t="s">
        <v>1293</v>
      </c>
      <c r="E1554" s="48">
        <v>41451</v>
      </c>
      <c r="F1554" s="895" t="s">
        <v>836</v>
      </c>
      <c r="G1554" s="49" t="s">
        <v>858</v>
      </c>
      <c r="H1554" s="837" t="s">
        <v>1289</v>
      </c>
      <c r="I1554" s="254">
        <v>500</v>
      </c>
      <c r="J1554" s="254">
        <v>10718.236000000001</v>
      </c>
      <c r="K1554" s="701">
        <f t="shared" si="456"/>
        <v>5359118</v>
      </c>
      <c r="L1554" s="52" t="s">
        <v>167</v>
      </c>
      <c r="M1554" s="896" t="s">
        <v>165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52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50"/>
    </row>
    <row r="1555" spans="1:27" s="808" customFormat="1" ht="15.75" customHeight="1">
      <c r="A1555" s="893" t="str">
        <f>IF(B1555&lt;&gt;"",IF(AND(B1555&gt;=_TM1,B1555&lt;=_TM2,OR(TH!L1555="1111",TH!M1555="1111")),TH!D1555,""),"")</f>
        <v/>
      </c>
      <c r="B1555" s="700">
        <f t="shared" si="454"/>
        <v>6</v>
      </c>
      <c r="C1555" s="833">
        <f t="shared" si="455"/>
        <v>41451</v>
      </c>
      <c r="D1555" s="833" t="s">
        <v>1293</v>
      </c>
      <c r="E1555" s="833">
        <v>41451</v>
      </c>
      <c r="F1555" s="895" t="s">
        <v>859</v>
      </c>
      <c r="G1555" s="834" t="s">
        <v>860</v>
      </c>
      <c r="H1555" s="837" t="s">
        <v>1289</v>
      </c>
      <c r="I1555" s="254">
        <v>1480</v>
      </c>
      <c r="J1555" s="254">
        <v>19196.235810810809</v>
      </c>
      <c r="K1555" s="701">
        <f t="shared" si="456"/>
        <v>28410429</v>
      </c>
      <c r="L1555" s="52" t="s">
        <v>167</v>
      </c>
      <c r="M1555" s="896" t="s">
        <v>165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52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50"/>
    </row>
    <row r="1556" spans="1:27" s="808" customFormat="1" ht="15.75" customHeight="1">
      <c r="A1556" s="893" t="str">
        <f>IF(B1556&lt;&gt;"",IF(AND(B1556&gt;=_TM1,B1556&lt;=_TM2,OR(TH!L1556="1111",TH!M1556="1111")),TH!D1556,""),"")</f>
        <v/>
      </c>
      <c r="B1556" s="700">
        <f t="shared" si="454"/>
        <v>6</v>
      </c>
      <c r="C1556" s="833">
        <f t="shared" si="455"/>
        <v>41452</v>
      </c>
      <c r="D1556" s="833" t="s">
        <v>1293</v>
      </c>
      <c r="E1556" s="833">
        <v>41452</v>
      </c>
      <c r="F1556" s="895" t="s">
        <v>1135</v>
      </c>
      <c r="G1556" s="834" t="s">
        <v>861</v>
      </c>
      <c r="H1556" s="837" t="s">
        <v>1289</v>
      </c>
      <c r="I1556" s="254">
        <v>3077</v>
      </c>
      <c r="J1556" s="254">
        <v>5872.6035099122519</v>
      </c>
      <c r="K1556" s="701">
        <f t="shared" si="456"/>
        <v>18070001</v>
      </c>
      <c r="L1556" s="52" t="s">
        <v>167</v>
      </c>
      <c r="M1556" s="896" t="s">
        <v>165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52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50"/>
    </row>
    <row r="1557" spans="1:27" s="840" customFormat="1" ht="15.75" customHeight="1">
      <c r="A1557" s="902" t="str">
        <f>IF(B1557&lt;&gt;"",IF(AND(B1557&gt;=_TM1,B1557&lt;=_TM2,OR(TH!L1557="1111",TH!M1557="1111")),TH!D1557,""),"")</f>
        <v/>
      </c>
      <c r="B1557" s="838">
        <f t="shared" si="454"/>
        <v>7</v>
      </c>
      <c r="C1557" s="903">
        <f t="shared" si="455"/>
        <v>41460</v>
      </c>
      <c r="D1557" s="833" t="s">
        <v>1293</v>
      </c>
      <c r="E1557" s="903">
        <v>41460</v>
      </c>
      <c r="F1557" s="925" t="s">
        <v>1163</v>
      </c>
      <c r="G1557" s="926" t="s">
        <v>862</v>
      </c>
      <c r="H1557" s="906" t="s">
        <v>1289</v>
      </c>
      <c r="I1557" s="927">
        <v>527</v>
      </c>
      <c r="J1557" s="914">
        <v>6729.5487972496712</v>
      </c>
      <c r="K1557" s="835">
        <f t="shared" si="456"/>
        <v>3546472</v>
      </c>
      <c r="L1557" s="828" t="s">
        <v>167</v>
      </c>
      <c r="M1557" s="909" t="s">
        <v>165</v>
      </c>
      <c r="N1557" s="828" t="str">
        <f>IF(AND('331-CT'!$E$7=TH!H1557,OR(L1557="331",M1557="331")),"331",IF(AND(OR(L1557="131",M1557="131"),H1557='131-CT'!$E$7),"131",""))</f>
        <v/>
      </c>
      <c r="O1557" s="828" t="str">
        <f>IF(AND($B1557&gt;='111'!$N$11,$B1557&lt;='111'!$O$11,OR($L1557=$O$7,$M1557=$O$7)),"x","")</f>
        <v/>
      </c>
      <c r="P1557" s="828" t="str">
        <f>IF(AND($L1557=$O$7,$B1557&lt;'111'!$N$11),"x","")</f>
        <v/>
      </c>
      <c r="Q1557" s="828" t="str">
        <f>IF(AND($M1557=$O$7,$B1557&lt;'111'!$N$11),"x","")</f>
        <v/>
      </c>
      <c r="R1557" s="828" t="str">
        <f>IF(ISERROR(FIND('112'!$M$9,G1557,1)),"",IF((AND(FIND('112'!$M$9,G1557,1)&gt;=1,$B1557&gt;='112'!$N$8,$B1557&lt;='112'!$O$8,OR($L1557='112'!$I$6,$M1557='112'!$I$6))),"x",""))</f>
        <v/>
      </c>
      <c r="S1557" s="828" t="str">
        <f>IF(ISERROR(FIND('112'!$M$9,G1557,1)),"",IF((AND(LEFT(G1557,2)=LEFT('112'!$M$9,2),B1557&lt;'112'!$N$8,$L1557='112'!$I$6)),"x",""))</f>
        <v/>
      </c>
      <c r="T1557" s="828" t="str">
        <f>IF(ISERROR(FIND('112'!$M$9,G1557,1)),"",IF((AND(RIGHT(G1557,2)=RIGHT('112'!$M$9,2),B1557&lt;'112'!$N$8,$M1557='112'!$I$6)),"x",""))</f>
        <v/>
      </c>
      <c r="U1557" s="828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828" t="str">
        <f>IF(OR(TH!L1557=TH!$V$7,M1557=TH!$V$7),"x","")</f>
        <v/>
      </c>
      <c r="W1557" s="828" t="str">
        <f>IF(AND(B1557&gt;='IN-NX'!$P$3,B1557&lt;='IN-NX'!$Q$3,'IN-NX'!$D$7=D1557,OR(LEFT(L1557,2)="15",AND(LEFT(M1557,2)&lt;&gt;"15",LEFT(M1557,2)&lt;&gt;"33"))),"x","")</f>
        <v/>
      </c>
      <c r="X1557" s="828" t="str">
        <f>IF(AND(OR(LEFT(TH!L1557,2)="15",LEFT(TH!M1557,2)="15"),'152-CT'!$J$8=TH!F1557),"x","")</f>
        <v/>
      </c>
      <c r="Y1557" s="828" t="str">
        <f>IF(AND(OR(LEFT(TH!L1557,2)="15",LEFT(TH!M1557,2)="15"),TK!$E$7=TH!F1557),"x","")</f>
        <v/>
      </c>
      <c r="Z1557" s="828" t="str">
        <f>IF(AND(B1557&lt;=NKC!$N$8,B1557&gt;=NKC!$M$8),"x","")</f>
        <v>x</v>
      </c>
      <c r="AA1557" s="910"/>
    </row>
    <row r="1558" spans="1:27" s="808" customFormat="1" ht="15.75" customHeight="1">
      <c r="A1558" s="893" t="str">
        <f>IF(B1558&lt;&gt;"",IF(AND(B1558&gt;=_TM1,B1558&lt;=_TM2,OR(TH!L1558="1111",TH!M1558="1111")),TH!D1558,""),"")</f>
        <v/>
      </c>
      <c r="B1558" s="700">
        <f t="shared" si="454"/>
        <v>7</v>
      </c>
      <c r="C1558" s="833">
        <f t="shared" si="455"/>
        <v>41460</v>
      </c>
      <c r="D1558" s="833" t="s">
        <v>1293</v>
      </c>
      <c r="E1558" s="833">
        <v>41460</v>
      </c>
      <c r="F1558" s="895" t="s">
        <v>864</v>
      </c>
      <c r="G1558" s="922" t="s">
        <v>862</v>
      </c>
      <c r="H1558" s="837" t="s">
        <v>1289</v>
      </c>
      <c r="I1558" s="917">
        <v>506</v>
      </c>
      <c r="J1558" s="254">
        <v>6786.2365517853768</v>
      </c>
      <c r="K1558" s="701">
        <f t="shared" si="456"/>
        <v>3433836</v>
      </c>
      <c r="L1558" s="52" t="s">
        <v>167</v>
      </c>
      <c r="M1558" s="896" t="s">
        <v>165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52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850"/>
    </row>
    <row r="1559" spans="1:27" s="808" customFormat="1" ht="15.75" customHeight="1">
      <c r="A1559" s="893" t="str">
        <f>IF(B1559&lt;&gt;"",IF(AND(B1559&gt;=_TM1,B1559&lt;=_TM2,OR(TH!L1559="1111",TH!M1559="1111")),TH!D1559,""),"")</f>
        <v/>
      </c>
      <c r="B1559" s="700">
        <f t="shared" si="454"/>
        <v>7</v>
      </c>
      <c r="C1559" s="833">
        <f t="shared" si="455"/>
        <v>41463</v>
      </c>
      <c r="D1559" s="833" t="s">
        <v>1293</v>
      </c>
      <c r="E1559" s="851">
        <v>41463</v>
      </c>
      <c r="F1559" s="49" t="s">
        <v>865</v>
      </c>
      <c r="G1559" s="49" t="s">
        <v>866</v>
      </c>
      <c r="H1559" s="837" t="s">
        <v>1289</v>
      </c>
      <c r="I1559" s="254">
        <v>144</v>
      </c>
      <c r="J1559" s="254">
        <v>20664.658735579844</v>
      </c>
      <c r="K1559" s="701">
        <f t="shared" si="456"/>
        <v>2975711</v>
      </c>
      <c r="L1559" s="52" t="s">
        <v>167</v>
      </c>
      <c r="M1559" s="896" t="s">
        <v>165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52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850"/>
    </row>
    <row r="1560" spans="1:27" s="808" customFormat="1" ht="15.75" customHeight="1">
      <c r="A1560" s="893" t="str">
        <f>IF(B1560&lt;&gt;"",IF(AND(B1560&gt;=_TM1,B1560&lt;=_TM2,OR(TH!L1560="1111",TH!M1560="1111")),TH!D1560,""),"")</f>
        <v/>
      </c>
      <c r="B1560" s="700">
        <f t="shared" si="454"/>
        <v>7</v>
      </c>
      <c r="C1560" s="833">
        <f t="shared" si="455"/>
        <v>41463</v>
      </c>
      <c r="D1560" s="833" t="s">
        <v>1293</v>
      </c>
      <c r="E1560" s="851">
        <v>41463</v>
      </c>
      <c r="F1560" s="918" t="s">
        <v>867</v>
      </c>
      <c r="G1560" s="49" t="s">
        <v>866</v>
      </c>
      <c r="H1560" s="837" t="s">
        <v>1289</v>
      </c>
      <c r="I1560" s="254">
        <v>115</v>
      </c>
      <c r="J1560" s="254">
        <v>20664.657105145056</v>
      </c>
      <c r="K1560" s="701">
        <f t="shared" si="456"/>
        <v>2376436</v>
      </c>
      <c r="L1560" s="52" t="s">
        <v>167</v>
      </c>
      <c r="M1560" s="896" t="s">
        <v>165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52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850"/>
    </row>
    <row r="1561" spans="1:27" s="808" customFormat="1" ht="15.75" customHeight="1">
      <c r="A1561" s="893" t="str">
        <f>IF(B1561&lt;&gt;"",IF(AND(B1561&gt;=_TM1,B1561&lt;=_TM2,OR(TH!L1561="1111",TH!M1561="1111")),TH!D1561,""),"")</f>
        <v/>
      </c>
      <c r="B1561" s="700">
        <f t="shared" si="454"/>
        <v>7</v>
      </c>
      <c r="C1561" s="833">
        <f t="shared" si="455"/>
        <v>41463</v>
      </c>
      <c r="D1561" s="833" t="s">
        <v>1293</v>
      </c>
      <c r="E1561" s="851">
        <v>41463</v>
      </c>
      <c r="F1561" s="918" t="s">
        <v>721</v>
      </c>
      <c r="G1561" s="49" t="s">
        <v>868</v>
      </c>
      <c r="H1561" s="837" t="s">
        <v>1289</v>
      </c>
      <c r="I1561" s="254">
        <v>592</v>
      </c>
      <c r="J1561" s="254">
        <v>5530.7786680122754</v>
      </c>
      <c r="K1561" s="701">
        <f t="shared" si="456"/>
        <v>3274221</v>
      </c>
      <c r="L1561" s="52" t="s">
        <v>167</v>
      </c>
      <c r="M1561" s="896" t="s">
        <v>165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52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850"/>
    </row>
    <row r="1562" spans="1:27" s="808" customFormat="1" ht="15.75" customHeight="1">
      <c r="A1562" s="893" t="str">
        <f>IF(B1562&lt;&gt;"",IF(AND(B1562&gt;=_TM1,B1562&lt;=_TM2,OR(TH!L1562="1111",TH!M1562="1111")),TH!D1562,""),"")</f>
        <v/>
      </c>
      <c r="B1562" s="700">
        <f t="shared" si="454"/>
        <v>7</v>
      </c>
      <c r="C1562" s="833">
        <f t="shared" si="455"/>
        <v>41463</v>
      </c>
      <c r="D1562" s="833" t="s">
        <v>1293</v>
      </c>
      <c r="E1562" s="851">
        <v>41463</v>
      </c>
      <c r="F1562" s="918" t="s">
        <v>723</v>
      </c>
      <c r="G1562" s="49" t="s">
        <v>868</v>
      </c>
      <c r="H1562" s="837" t="s">
        <v>1289</v>
      </c>
      <c r="I1562" s="254">
        <v>609</v>
      </c>
      <c r="J1562" s="254">
        <v>4577.8868759739307</v>
      </c>
      <c r="K1562" s="701">
        <f t="shared" si="456"/>
        <v>2787933</v>
      </c>
      <c r="L1562" s="52" t="s">
        <v>167</v>
      </c>
      <c r="M1562" s="896" t="s">
        <v>165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52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850"/>
    </row>
    <row r="1563" spans="1:27" s="808" customFormat="1" ht="15.75" customHeight="1">
      <c r="A1563" s="893" t="str">
        <f>IF(B1563&lt;&gt;"",IF(AND(B1563&gt;=_TM1,B1563&lt;=_TM2,OR(TH!L1563="1111",TH!M1563="1111")),TH!D1563,""),"")</f>
        <v/>
      </c>
      <c r="B1563" s="700">
        <f t="shared" si="454"/>
        <v>7</v>
      </c>
      <c r="C1563" s="833">
        <f t="shared" si="455"/>
        <v>41463</v>
      </c>
      <c r="D1563" s="833" t="s">
        <v>1293</v>
      </c>
      <c r="E1563" s="851">
        <v>41463</v>
      </c>
      <c r="F1563" s="918" t="s">
        <v>869</v>
      </c>
      <c r="G1563" s="49" t="s">
        <v>868</v>
      </c>
      <c r="H1563" s="837" t="s">
        <v>1289</v>
      </c>
      <c r="I1563" s="921">
        <v>813</v>
      </c>
      <c r="J1563" s="254">
        <v>8774.8914385318712</v>
      </c>
      <c r="K1563" s="701">
        <f t="shared" si="456"/>
        <v>7133987</v>
      </c>
      <c r="L1563" s="52" t="s">
        <v>167</v>
      </c>
      <c r="M1563" s="896" t="s">
        <v>165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52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850"/>
    </row>
    <row r="1564" spans="1:27" s="808" customFormat="1" ht="15.75" customHeight="1">
      <c r="A1564" s="893" t="str">
        <f>IF(B1564&lt;&gt;"",IF(AND(B1564&gt;=_TM1,B1564&lt;=_TM2,OR(TH!L1564="1111",TH!M1564="1111")),TH!D1564,""),"")</f>
        <v/>
      </c>
      <c r="B1564" s="700">
        <f t="shared" si="454"/>
        <v>7</v>
      </c>
      <c r="C1564" s="833">
        <f t="shared" si="455"/>
        <v>41463</v>
      </c>
      <c r="D1564" s="833" t="s">
        <v>1293</v>
      </c>
      <c r="E1564" s="851">
        <v>41463</v>
      </c>
      <c r="F1564" s="836" t="s">
        <v>870</v>
      </c>
      <c r="G1564" s="49" t="s">
        <v>868</v>
      </c>
      <c r="H1564" s="837" t="s">
        <v>1289</v>
      </c>
      <c r="I1564" s="254">
        <v>656</v>
      </c>
      <c r="J1564" s="254">
        <v>7703.346235579841</v>
      </c>
      <c r="K1564" s="701">
        <f t="shared" si="456"/>
        <v>5053395</v>
      </c>
      <c r="L1564" s="52" t="s">
        <v>167</v>
      </c>
      <c r="M1564" s="896" t="s">
        <v>165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52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850"/>
    </row>
    <row r="1565" spans="1:27" s="808" customFormat="1" ht="15.75" customHeight="1">
      <c r="A1565" s="893" t="str">
        <f>IF(B1565&lt;&gt;"",IF(AND(B1565&gt;=_TM1,B1565&lt;=_TM2,OR(TH!L1565="1111",TH!M1565="1111")),TH!D1565,""),"")</f>
        <v/>
      </c>
      <c r="B1565" s="700">
        <f t="shared" si="454"/>
        <v>7</v>
      </c>
      <c r="C1565" s="833">
        <f t="shared" si="455"/>
        <v>41475</v>
      </c>
      <c r="D1565" s="833" t="s">
        <v>1293</v>
      </c>
      <c r="E1565" s="851">
        <v>41475</v>
      </c>
      <c r="F1565" s="836" t="s">
        <v>729</v>
      </c>
      <c r="G1565" s="49" t="s">
        <v>871</v>
      </c>
      <c r="H1565" s="837" t="s">
        <v>1289</v>
      </c>
      <c r="I1565" s="254">
        <v>1027</v>
      </c>
      <c r="J1565" s="254">
        <v>8485.9565082185945</v>
      </c>
      <c r="K1565" s="701">
        <f t="shared" si="456"/>
        <v>8715077</v>
      </c>
      <c r="L1565" s="52" t="s">
        <v>167</v>
      </c>
      <c r="M1565" s="896" t="s">
        <v>165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52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850"/>
    </row>
    <row r="1566" spans="1:27" s="808" customFormat="1" ht="15.75" customHeight="1">
      <c r="A1566" s="893" t="str">
        <f>IF(B1566&lt;&gt;"",IF(AND(B1566&gt;=_TM1,B1566&lt;=_TM2,OR(TH!L1566="1111",TH!M1566="1111")),TH!D1566,""),"")</f>
        <v/>
      </c>
      <c r="B1566" s="700">
        <f t="shared" si="454"/>
        <v>7</v>
      </c>
      <c r="C1566" s="833">
        <f t="shared" si="455"/>
        <v>41475</v>
      </c>
      <c r="D1566" s="833" t="s">
        <v>1293</v>
      </c>
      <c r="E1566" s="894">
        <v>41475</v>
      </c>
      <c r="F1566" s="918" t="s">
        <v>836</v>
      </c>
      <c r="G1566" s="919" t="s">
        <v>872</v>
      </c>
      <c r="H1566" s="837" t="s">
        <v>1289</v>
      </c>
      <c r="I1566" s="254">
        <v>749</v>
      </c>
      <c r="J1566" s="254">
        <v>9919.8165293048096</v>
      </c>
      <c r="K1566" s="701">
        <f t="shared" si="456"/>
        <v>7429943</v>
      </c>
      <c r="L1566" s="52" t="s">
        <v>167</v>
      </c>
      <c r="M1566" s="896" t="s">
        <v>165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52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850"/>
    </row>
    <row r="1567" spans="1:27" s="808" customFormat="1" ht="15.75" customHeight="1">
      <c r="A1567" s="893" t="str">
        <f>IF(B1567&lt;&gt;"",IF(AND(B1567&gt;=_TM1,B1567&lt;=_TM2,OR(TH!L1567="1111",TH!M1567="1111")),TH!D1567,""),"")</f>
        <v/>
      </c>
      <c r="B1567" s="700">
        <f t="shared" si="454"/>
        <v>7</v>
      </c>
      <c r="C1567" s="833">
        <f t="shared" si="455"/>
        <v>41477</v>
      </c>
      <c r="D1567" s="833" t="s">
        <v>1293</v>
      </c>
      <c r="E1567" s="833">
        <v>41477</v>
      </c>
      <c r="F1567" s="895" t="s">
        <v>1154</v>
      </c>
      <c r="G1567" s="834" t="s">
        <v>873</v>
      </c>
      <c r="H1567" s="837" t="s">
        <v>1289</v>
      </c>
      <c r="I1567" s="254">
        <v>1527</v>
      </c>
      <c r="J1567" s="254">
        <v>4464.9053383958217</v>
      </c>
      <c r="K1567" s="701">
        <f t="shared" si="456"/>
        <v>6817910</v>
      </c>
      <c r="L1567" s="52" t="s">
        <v>167</v>
      </c>
      <c r="M1567" s="896" t="s">
        <v>165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52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850"/>
    </row>
    <row r="1568" spans="1:27" s="808" customFormat="1" ht="15.75" customHeight="1">
      <c r="A1568" s="893" t="str">
        <f>IF(B1568&lt;&gt;"",IF(AND(B1568&gt;=_TM1,B1568&lt;=_TM2,OR(TH!L1568="1111",TH!M1568="1111")),TH!D1568,""),"")</f>
        <v/>
      </c>
      <c r="B1568" s="700">
        <f t="shared" si="454"/>
        <v>7</v>
      </c>
      <c r="C1568" s="833">
        <f t="shared" si="455"/>
        <v>41477</v>
      </c>
      <c r="D1568" s="833" t="s">
        <v>1293</v>
      </c>
      <c r="E1568" s="833">
        <v>41477</v>
      </c>
      <c r="F1568" s="895" t="s">
        <v>874</v>
      </c>
      <c r="G1568" s="834" t="s">
        <v>873</v>
      </c>
      <c r="H1568" s="837" t="s">
        <v>1289</v>
      </c>
      <c r="I1568" s="254">
        <v>996</v>
      </c>
      <c r="J1568" s="254">
        <v>10749.606275740483</v>
      </c>
      <c r="K1568" s="701">
        <f t="shared" si="456"/>
        <v>10706608</v>
      </c>
      <c r="L1568" s="52" t="s">
        <v>167</v>
      </c>
      <c r="M1568" s="896" t="s">
        <v>165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52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850"/>
    </row>
    <row r="1569" spans="1:27" s="808" customFormat="1" ht="15.75" customHeight="1">
      <c r="A1569" s="893" t="str">
        <f>IF(B1569&lt;&gt;"",IF(AND(B1569&gt;=_TM1,B1569&lt;=_TM2,OR(TH!L1569="1111",TH!M1569="1111")),TH!D1569,""),"")</f>
        <v/>
      </c>
      <c r="B1569" s="700">
        <f t="shared" si="454"/>
        <v>7</v>
      </c>
      <c r="C1569" s="833">
        <f t="shared" si="455"/>
        <v>41477</v>
      </c>
      <c r="D1569" s="833" t="s">
        <v>1293</v>
      </c>
      <c r="E1569" s="833">
        <v>41477</v>
      </c>
      <c r="F1569" s="895" t="s">
        <v>875</v>
      </c>
      <c r="G1569" s="834" t="s">
        <v>876</v>
      </c>
      <c r="H1569" s="837" t="s">
        <v>1289</v>
      </c>
      <c r="I1569" s="917">
        <v>50</v>
      </c>
      <c r="J1569" s="917">
        <v>36988.59623557984</v>
      </c>
      <c r="K1569" s="701">
        <f t="shared" si="456"/>
        <v>1849430</v>
      </c>
      <c r="L1569" s="52" t="s">
        <v>167</v>
      </c>
      <c r="M1569" s="896" t="s">
        <v>165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52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850"/>
    </row>
    <row r="1570" spans="1:27" s="808" customFormat="1" ht="15.75" customHeight="1">
      <c r="A1570" s="893" t="str">
        <f>IF(B1570&lt;&gt;"",IF(AND(B1570&gt;=_TM1,B1570&lt;=_TM2,OR(TH!L1570="1111",TH!M1570="1111")),TH!D1570,""),"")</f>
        <v/>
      </c>
      <c r="B1570" s="700">
        <f t="shared" si="454"/>
        <v>7</v>
      </c>
      <c r="C1570" s="833">
        <f t="shared" si="455"/>
        <v>41477</v>
      </c>
      <c r="D1570" s="833" t="s">
        <v>1293</v>
      </c>
      <c r="E1570" s="48">
        <v>41477</v>
      </c>
      <c r="F1570" s="49" t="s">
        <v>878</v>
      </c>
      <c r="G1570" s="49" t="s">
        <v>876</v>
      </c>
      <c r="H1570" s="837" t="s">
        <v>1289</v>
      </c>
      <c r="I1570" s="254">
        <v>50</v>
      </c>
      <c r="J1570" s="254">
        <v>40749.59623557984</v>
      </c>
      <c r="K1570" s="701">
        <f t="shared" si="456"/>
        <v>2037480</v>
      </c>
      <c r="L1570" s="52" t="s">
        <v>167</v>
      </c>
      <c r="M1570" s="896" t="s">
        <v>165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52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850"/>
    </row>
    <row r="1571" spans="1:27" s="808" customFormat="1" ht="15.75" customHeight="1">
      <c r="A1571" s="893" t="str">
        <f>IF(B1571&lt;&gt;"",IF(AND(B1571&gt;=_TM1,B1571&lt;=_TM2,OR(TH!L1571="1111",TH!M1571="1111")),TH!D1571,""),"")</f>
        <v/>
      </c>
      <c r="B1571" s="700">
        <f t="shared" si="454"/>
        <v>7</v>
      </c>
      <c r="C1571" s="833">
        <f t="shared" si="455"/>
        <v>41477</v>
      </c>
      <c r="D1571" s="833" t="s">
        <v>1293</v>
      </c>
      <c r="E1571" s="48">
        <v>41477</v>
      </c>
      <c r="F1571" s="49" t="s">
        <v>879</v>
      </c>
      <c r="G1571" s="49" t="s">
        <v>876</v>
      </c>
      <c r="H1571" s="837" t="s">
        <v>1289</v>
      </c>
      <c r="I1571" s="254">
        <v>20</v>
      </c>
      <c r="J1571" s="254">
        <v>49462.096235579847</v>
      </c>
      <c r="K1571" s="701">
        <f t="shared" si="456"/>
        <v>989242</v>
      </c>
      <c r="L1571" s="52" t="s">
        <v>167</v>
      </c>
      <c r="M1571" s="896" t="s">
        <v>165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52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850"/>
    </row>
    <row r="1572" spans="1:27" s="808" customFormat="1" ht="15.75" customHeight="1">
      <c r="A1572" s="893" t="str">
        <f>IF(B1572&lt;&gt;"",IF(AND(B1572&gt;=_TM1,B1572&lt;=_TM2,OR(TH!L1572="1111",TH!M1572="1111")),TH!D1572,""),"")</f>
        <v/>
      </c>
      <c r="B1572" s="700">
        <f t="shared" si="454"/>
        <v>7</v>
      </c>
      <c r="C1572" s="833">
        <f t="shared" si="455"/>
        <v>41477</v>
      </c>
      <c r="D1572" s="833" t="s">
        <v>1293</v>
      </c>
      <c r="E1572" s="833">
        <v>41477</v>
      </c>
      <c r="F1572" s="895" t="s">
        <v>880</v>
      </c>
      <c r="G1572" s="834" t="s">
        <v>876</v>
      </c>
      <c r="H1572" s="837" t="s">
        <v>1289</v>
      </c>
      <c r="I1572" s="254">
        <v>20</v>
      </c>
      <c r="J1572" s="254">
        <v>53358.696235579831</v>
      </c>
      <c r="K1572" s="701">
        <f t="shared" si="456"/>
        <v>1067174</v>
      </c>
      <c r="L1572" s="52" t="s">
        <v>167</v>
      </c>
      <c r="M1572" s="896" t="s">
        <v>165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52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850"/>
    </row>
    <row r="1573" spans="1:27" s="808" customFormat="1" ht="15.75" customHeight="1">
      <c r="A1573" s="893" t="str">
        <f>IF(B1573&lt;&gt;"",IF(AND(B1573&gt;=_TM1,B1573&lt;=_TM2,OR(TH!L1573="1111",TH!M1573="1111")),TH!D1573,""),"")</f>
        <v/>
      </c>
      <c r="B1573" s="700">
        <f t="shared" si="454"/>
        <v>7</v>
      </c>
      <c r="C1573" s="833">
        <f t="shared" si="455"/>
        <v>41477</v>
      </c>
      <c r="D1573" s="833" t="s">
        <v>1293</v>
      </c>
      <c r="E1573" s="833">
        <v>41477</v>
      </c>
      <c r="F1573" s="895" t="s">
        <v>881</v>
      </c>
      <c r="G1573" s="834" t="s">
        <v>876</v>
      </c>
      <c r="H1573" s="837" t="s">
        <v>1289</v>
      </c>
      <c r="I1573" s="254">
        <v>20</v>
      </c>
      <c r="J1573" s="254">
        <v>55306.996235579834</v>
      </c>
      <c r="K1573" s="701">
        <f t="shared" si="456"/>
        <v>1106140</v>
      </c>
      <c r="L1573" s="52" t="s">
        <v>167</v>
      </c>
      <c r="M1573" s="896" t="s">
        <v>165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52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850"/>
    </row>
    <row r="1574" spans="1:27" s="808" customFormat="1" ht="15.75" customHeight="1">
      <c r="A1574" s="893" t="str">
        <f>IF(B1574&lt;&gt;"",IF(AND(B1574&gt;=_TM1,B1574&lt;=_TM2,OR(TH!L1574="1111",TH!M1574="1111")),TH!D1574,""),"")</f>
        <v/>
      </c>
      <c r="B1574" s="700">
        <f t="shared" si="454"/>
        <v>7</v>
      </c>
      <c r="C1574" s="833">
        <f t="shared" si="455"/>
        <v>41477</v>
      </c>
      <c r="D1574" s="833" t="s">
        <v>1293</v>
      </c>
      <c r="E1574" s="833">
        <v>41477</v>
      </c>
      <c r="F1574" s="895" t="s">
        <v>882</v>
      </c>
      <c r="G1574" s="834" t="s">
        <v>876</v>
      </c>
      <c r="H1574" s="837" t="s">
        <v>1289</v>
      </c>
      <c r="I1574" s="254">
        <v>20</v>
      </c>
      <c r="J1574" s="254">
        <v>59203.596235579833</v>
      </c>
      <c r="K1574" s="701">
        <f t="shared" si="456"/>
        <v>1184072</v>
      </c>
      <c r="L1574" s="52" t="s">
        <v>167</v>
      </c>
      <c r="M1574" s="896" t="s">
        <v>165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52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850"/>
    </row>
    <row r="1575" spans="1:27" s="808" customFormat="1" ht="15.75" customHeight="1">
      <c r="A1575" s="893" t="str">
        <f>IF(B1575&lt;&gt;"",IF(AND(B1575&gt;=_TM1,B1575&lt;=_TM2,OR(TH!L1575="1111",TH!M1575="1111")),TH!D1575,""),"")</f>
        <v/>
      </c>
      <c r="B1575" s="700">
        <f t="shared" si="454"/>
        <v>7</v>
      </c>
      <c r="C1575" s="833">
        <f t="shared" si="455"/>
        <v>41479</v>
      </c>
      <c r="D1575" s="833" t="s">
        <v>1293</v>
      </c>
      <c r="E1575" s="833">
        <v>41479</v>
      </c>
      <c r="F1575" s="895" t="s">
        <v>883</v>
      </c>
      <c r="G1575" s="834" t="s">
        <v>884</v>
      </c>
      <c r="H1575" s="837" t="s">
        <v>1289</v>
      </c>
      <c r="I1575" s="254">
        <v>259</v>
      </c>
      <c r="J1575" s="254">
        <v>7470.9282819118889</v>
      </c>
      <c r="K1575" s="701">
        <f t="shared" si="456"/>
        <v>1934970</v>
      </c>
      <c r="L1575" s="52" t="s">
        <v>167</v>
      </c>
      <c r="M1575" s="896" t="s">
        <v>165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52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850"/>
    </row>
    <row r="1576" spans="1:27" s="808" customFormat="1" ht="15.75" customHeight="1">
      <c r="A1576" s="893" t="str">
        <f>IF(B1576&lt;&gt;"",IF(AND(B1576&gt;=_TM1,B1576&lt;=_TM2,OR(TH!L1576="1111",TH!M1576="1111")),TH!D1576,""),"")</f>
        <v/>
      </c>
      <c r="B1576" s="700">
        <f t="shared" ref="B1576:B1639" si="457">IF(C1576&lt;&gt;"",MONTH(C1576),"")</f>
        <v>7</v>
      </c>
      <c r="C1576" s="833">
        <f t="shared" si="455"/>
        <v>41479</v>
      </c>
      <c r="D1576" s="833" t="s">
        <v>1293</v>
      </c>
      <c r="E1576" s="833">
        <v>41479</v>
      </c>
      <c r="F1576" s="895" t="s">
        <v>841</v>
      </c>
      <c r="G1576" s="834" t="s">
        <v>884</v>
      </c>
      <c r="H1576" s="837" t="s">
        <v>1289</v>
      </c>
      <c r="I1576" s="254">
        <v>101</v>
      </c>
      <c r="J1576" s="254">
        <v>10078.596235579842</v>
      </c>
      <c r="K1576" s="701">
        <f t="shared" si="456"/>
        <v>1017938</v>
      </c>
      <c r="L1576" s="52" t="s">
        <v>167</v>
      </c>
      <c r="M1576" s="896" t="s">
        <v>165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52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850"/>
    </row>
    <row r="1577" spans="1:27" s="808" customFormat="1" ht="15.75" customHeight="1">
      <c r="A1577" s="893" t="str">
        <f>IF(B1577&lt;&gt;"",IF(AND(B1577&gt;=_TM1,B1577&lt;=_TM2,OR(TH!L1577="1111",TH!M1577="1111")),TH!D1577,""),"")</f>
        <v/>
      </c>
      <c r="B1577" s="700">
        <f t="shared" si="457"/>
        <v>7</v>
      </c>
      <c r="C1577" s="833">
        <f t="shared" si="455"/>
        <v>41479</v>
      </c>
      <c r="D1577" s="833" t="s">
        <v>1293</v>
      </c>
      <c r="E1577" s="833">
        <v>41479</v>
      </c>
      <c r="F1577" s="895" t="s">
        <v>842</v>
      </c>
      <c r="G1577" s="834" t="s">
        <v>884</v>
      </c>
      <c r="H1577" s="837" t="s">
        <v>1289</v>
      </c>
      <c r="I1577" s="254">
        <v>98</v>
      </c>
      <c r="J1577" s="254">
        <v>9907.596235579842</v>
      </c>
      <c r="K1577" s="701">
        <f t="shared" si="456"/>
        <v>970944</v>
      </c>
      <c r="L1577" s="52" t="s">
        <v>167</v>
      </c>
      <c r="M1577" s="896" t="s">
        <v>165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52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850"/>
    </row>
    <row r="1578" spans="1:27" s="808" customFormat="1" ht="15.75" customHeight="1">
      <c r="A1578" s="893" t="str">
        <f>IF(B1578&lt;&gt;"",IF(AND(B1578&gt;=_TM1,B1578&lt;=_TM2,OR(TH!L1578="1111",TH!M1578="1111")),TH!D1578,""),"")</f>
        <v/>
      </c>
      <c r="B1578" s="700">
        <f t="shared" si="457"/>
        <v>7</v>
      </c>
      <c r="C1578" s="833">
        <f t="shared" si="455"/>
        <v>41480</v>
      </c>
      <c r="D1578" s="833" t="s">
        <v>1293</v>
      </c>
      <c r="E1578" s="833">
        <v>41480</v>
      </c>
      <c r="F1578" s="895" t="s">
        <v>885</v>
      </c>
      <c r="G1578" s="834" t="s">
        <v>886</v>
      </c>
      <c r="H1578" s="837" t="s">
        <v>1289</v>
      </c>
      <c r="I1578" s="254">
        <v>200</v>
      </c>
      <c r="J1578" s="254">
        <v>6541.8462355798429</v>
      </c>
      <c r="K1578" s="701">
        <f t="shared" si="456"/>
        <v>1308369</v>
      </c>
      <c r="L1578" s="52" t="s">
        <v>167</v>
      </c>
      <c r="M1578" s="896" t="s">
        <v>165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52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850"/>
    </row>
    <row r="1579" spans="1:27" s="808" customFormat="1" ht="15.75" customHeight="1">
      <c r="A1579" s="893" t="str">
        <f>IF(B1579&lt;&gt;"",IF(AND(B1579&gt;=_TM1,B1579&lt;=_TM2,OR(TH!L1579="1111",TH!M1579="1111")),TH!D1579,""),"")</f>
        <v/>
      </c>
      <c r="B1579" s="700">
        <f t="shared" si="457"/>
        <v>7</v>
      </c>
      <c r="C1579" s="833">
        <f t="shared" si="455"/>
        <v>41480</v>
      </c>
      <c r="D1579" s="833" t="s">
        <v>1293</v>
      </c>
      <c r="E1579" s="833">
        <v>41480</v>
      </c>
      <c r="F1579" s="895" t="s">
        <v>1119</v>
      </c>
      <c r="G1579" s="834" t="s">
        <v>886</v>
      </c>
      <c r="H1579" s="837" t="s">
        <v>1289</v>
      </c>
      <c r="I1579" s="254">
        <v>496</v>
      </c>
      <c r="J1579" s="254">
        <v>7726.3704291282302</v>
      </c>
      <c r="K1579" s="701">
        <f t="shared" si="456"/>
        <v>3832280</v>
      </c>
      <c r="L1579" s="52" t="s">
        <v>167</v>
      </c>
      <c r="M1579" s="896" t="s">
        <v>165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52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850"/>
    </row>
    <row r="1580" spans="1:27" s="808" customFormat="1" ht="15.75" customHeight="1">
      <c r="A1580" s="893" t="str">
        <f>IF(B1580&lt;&gt;"",IF(AND(B1580&gt;=_TM1,B1580&lt;=_TM2,OR(TH!L1580="1111",TH!M1580="1111")),TH!D1580,""),"")</f>
        <v/>
      </c>
      <c r="B1580" s="700">
        <f t="shared" si="457"/>
        <v>7</v>
      </c>
      <c r="C1580" s="833">
        <f t="shared" si="455"/>
        <v>41480</v>
      </c>
      <c r="D1580" s="833" t="s">
        <v>1293</v>
      </c>
      <c r="E1580" s="833">
        <v>41480</v>
      </c>
      <c r="F1580" s="895" t="s">
        <v>1163</v>
      </c>
      <c r="G1580" s="834" t="s">
        <v>886</v>
      </c>
      <c r="H1580" s="837" t="s">
        <v>1289</v>
      </c>
      <c r="I1580" s="254">
        <v>505</v>
      </c>
      <c r="J1580" s="254">
        <v>6989.8437603323173</v>
      </c>
      <c r="K1580" s="701">
        <f t="shared" si="456"/>
        <v>3529871</v>
      </c>
      <c r="L1580" s="52" t="s">
        <v>167</v>
      </c>
      <c r="M1580" s="896" t="s">
        <v>165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52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850"/>
    </row>
    <row r="1581" spans="1:27" s="808" customFormat="1" ht="15.75" customHeight="1">
      <c r="A1581" s="893" t="str">
        <f>IF(B1581&lt;&gt;"",IF(AND(B1581&gt;=_TM1,B1581&lt;=_TM2,OR(TH!L1581="1111",TH!M1581="1111")),TH!D1581,""),"")</f>
        <v/>
      </c>
      <c r="B1581" s="700">
        <f t="shared" si="457"/>
        <v>7</v>
      </c>
      <c r="C1581" s="833">
        <f t="shared" si="455"/>
        <v>41480</v>
      </c>
      <c r="D1581" s="833" t="s">
        <v>1293</v>
      </c>
      <c r="E1581" s="833">
        <v>41480</v>
      </c>
      <c r="F1581" s="895" t="s">
        <v>887</v>
      </c>
      <c r="G1581" s="834" t="s">
        <v>886</v>
      </c>
      <c r="H1581" s="837" t="s">
        <v>1289</v>
      </c>
      <c r="I1581" s="254">
        <v>1000</v>
      </c>
      <c r="J1581" s="254">
        <v>6615.596235579842</v>
      </c>
      <c r="K1581" s="701">
        <f t="shared" si="456"/>
        <v>6615596</v>
      </c>
      <c r="L1581" s="52" t="s">
        <v>167</v>
      </c>
      <c r="M1581" s="896" t="s">
        <v>165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52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850"/>
    </row>
    <row r="1582" spans="1:27" s="808" customFormat="1" ht="15.75" customHeight="1">
      <c r="A1582" s="893" t="str">
        <f>IF(B1582&lt;&gt;"",IF(AND(B1582&gt;=_TM1,B1582&lt;=_TM2,OR(TH!L1582="1111",TH!M1582="1111")),TH!D1582,""),"")</f>
        <v/>
      </c>
      <c r="B1582" s="700">
        <f t="shared" si="457"/>
        <v>7</v>
      </c>
      <c r="C1582" s="833">
        <f t="shared" si="455"/>
        <v>41481</v>
      </c>
      <c r="D1582" s="833" t="s">
        <v>1293</v>
      </c>
      <c r="E1582" s="833">
        <v>41481</v>
      </c>
      <c r="F1582" s="895" t="s">
        <v>1135</v>
      </c>
      <c r="G1582" s="834" t="s">
        <v>888</v>
      </c>
      <c r="H1582" s="837" t="s">
        <v>1289</v>
      </c>
      <c r="I1582" s="917">
        <v>3000</v>
      </c>
      <c r="J1582" s="917">
        <v>6119.7605689131751</v>
      </c>
      <c r="K1582" s="701">
        <f t="shared" si="456"/>
        <v>18359282</v>
      </c>
      <c r="L1582" s="52" t="s">
        <v>167</v>
      </c>
      <c r="M1582" s="896" t="s">
        <v>165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52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850"/>
    </row>
    <row r="1583" spans="1:27" s="808" customFormat="1" ht="15.75" customHeight="1">
      <c r="A1583" s="893" t="str">
        <f>IF(B1583&lt;&gt;"",IF(AND(B1583&gt;=_TM1,B1583&lt;=_TM2,OR(TH!L1583="1111",TH!M1583="1111")),TH!D1583,""),"")</f>
        <v/>
      </c>
      <c r="B1583" s="700">
        <f t="shared" si="457"/>
        <v>7</v>
      </c>
      <c r="C1583" s="833">
        <f t="shared" si="455"/>
        <v>41484</v>
      </c>
      <c r="D1583" s="833" t="s">
        <v>1293</v>
      </c>
      <c r="E1583" s="833">
        <v>41484</v>
      </c>
      <c r="F1583" s="895" t="s">
        <v>836</v>
      </c>
      <c r="G1583" s="834" t="s">
        <v>889</v>
      </c>
      <c r="H1583" s="837" t="s">
        <v>1289</v>
      </c>
      <c r="I1583" s="254">
        <v>500</v>
      </c>
      <c r="J1583" s="254">
        <v>9217.0142355798434</v>
      </c>
      <c r="K1583" s="701">
        <f t="shared" si="456"/>
        <v>4608507</v>
      </c>
      <c r="L1583" s="52" t="s">
        <v>167</v>
      </c>
      <c r="M1583" s="896" t="s">
        <v>165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52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850"/>
    </row>
    <row r="1584" spans="1:27" s="808" customFormat="1" ht="15.75" customHeight="1">
      <c r="A1584" s="893" t="str">
        <f>IF(B1584&lt;&gt;"",IF(AND(B1584&gt;=_TM1,B1584&lt;=_TM2,OR(TH!L1584="1111",TH!M1584="1111")),TH!D1584,""),"")</f>
        <v/>
      </c>
      <c r="B1584" s="700">
        <f t="shared" si="457"/>
        <v>8</v>
      </c>
      <c r="C1584" s="833">
        <f t="shared" si="455"/>
        <v>41487</v>
      </c>
      <c r="D1584" s="833" t="s">
        <v>1293</v>
      </c>
      <c r="E1584" s="833">
        <v>41487</v>
      </c>
      <c r="F1584" s="895" t="s">
        <v>1143</v>
      </c>
      <c r="G1584" s="834" t="s">
        <v>890</v>
      </c>
      <c r="H1584" s="837" t="s">
        <v>1289</v>
      </c>
      <c r="I1584" s="254">
        <v>99</v>
      </c>
      <c r="J1584" s="254">
        <v>12653.586134569741</v>
      </c>
      <c r="K1584" s="701">
        <f t="shared" si="456"/>
        <v>1252705</v>
      </c>
      <c r="L1584" s="52" t="s">
        <v>167</v>
      </c>
      <c r="M1584" s="896" t="s">
        <v>165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52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850"/>
    </row>
    <row r="1585" spans="1:27" s="808" customFormat="1" ht="15.75" customHeight="1">
      <c r="A1585" s="893" t="str">
        <f>IF(B1585&lt;&gt;"",IF(AND(B1585&gt;=_TM1,B1585&lt;=_TM2,OR(TH!L1585="1111",TH!M1585="1111")),TH!D1585,""),"")</f>
        <v/>
      </c>
      <c r="B1585" s="700">
        <f t="shared" si="457"/>
        <v>8</v>
      </c>
      <c r="C1585" s="833">
        <f t="shared" si="455"/>
        <v>41487</v>
      </c>
      <c r="D1585" s="833" t="s">
        <v>1293</v>
      </c>
      <c r="E1585" s="833">
        <v>41487</v>
      </c>
      <c r="F1585" s="895" t="s">
        <v>865</v>
      </c>
      <c r="G1585" s="834" t="s">
        <v>891</v>
      </c>
      <c r="H1585" s="837" t="s">
        <v>1289</v>
      </c>
      <c r="I1585" s="917">
        <v>200</v>
      </c>
      <c r="J1585" s="917">
        <v>20664.656235579845</v>
      </c>
      <c r="K1585" s="701">
        <f t="shared" si="456"/>
        <v>4132931</v>
      </c>
      <c r="L1585" s="52" t="s">
        <v>167</v>
      </c>
      <c r="M1585" s="896" t="s">
        <v>165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52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850"/>
    </row>
    <row r="1586" spans="1:27" s="808" customFormat="1" ht="15.75" customHeight="1">
      <c r="A1586" s="893" t="str">
        <f>IF(B1586&lt;&gt;"",IF(AND(B1586&gt;=_TM1,B1586&lt;=_TM2,OR(TH!L1586="1111",TH!M1586="1111")),TH!D1586,""),"")</f>
        <v/>
      </c>
      <c r="B1586" s="700">
        <f t="shared" si="457"/>
        <v>8</v>
      </c>
      <c r="C1586" s="833">
        <f t="shared" si="455"/>
        <v>41488</v>
      </c>
      <c r="D1586" s="833" t="s">
        <v>1293</v>
      </c>
      <c r="E1586" s="833">
        <v>41488</v>
      </c>
      <c r="F1586" s="895" t="s">
        <v>885</v>
      </c>
      <c r="G1586" s="834" t="s">
        <v>892</v>
      </c>
      <c r="H1586" s="837" t="s">
        <v>1289</v>
      </c>
      <c r="I1586" s="254">
        <v>510</v>
      </c>
      <c r="J1586" s="254">
        <v>7971.0668238151375</v>
      </c>
      <c r="K1586" s="701">
        <f t="shared" si="456"/>
        <v>4065244</v>
      </c>
      <c r="L1586" s="52" t="s">
        <v>167</v>
      </c>
      <c r="M1586" s="896" t="s">
        <v>165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52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850"/>
    </row>
    <row r="1587" spans="1:27" s="808" customFormat="1" ht="15.75" customHeight="1">
      <c r="A1587" s="893" t="str">
        <f>IF(B1587&lt;&gt;"",IF(AND(B1587&gt;=_TM1,B1587&lt;=_TM2,OR(TH!L1587="1111",TH!M1587="1111")),TH!D1587,""),"")</f>
        <v/>
      </c>
      <c r="B1587" s="700">
        <f t="shared" si="457"/>
        <v>8</v>
      </c>
      <c r="C1587" s="833">
        <f t="shared" si="455"/>
        <v>41488</v>
      </c>
      <c r="D1587" s="833" t="s">
        <v>1293</v>
      </c>
      <c r="E1587" s="833">
        <v>41488</v>
      </c>
      <c r="F1587" s="895" t="s">
        <v>1147</v>
      </c>
      <c r="G1587" s="834" t="s">
        <v>893</v>
      </c>
      <c r="H1587" s="837" t="s">
        <v>1289</v>
      </c>
      <c r="I1587" s="254">
        <v>2813</v>
      </c>
      <c r="J1587" s="254">
        <v>4074.1191648368626</v>
      </c>
      <c r="K1587" s="701">
        <f t="shared" si="456"/>
        <v>11460497</v>
      </c>
      <c r="L1587" s="52" t="s">
        <v>167</v>
      </c>
      <c r="M1587" s="896" t="s">
        <v>165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52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850"/>
    </row>
    <row r="1588" spans="1:27" s="808" customFormat="1" ht="15.75" customHeight="1">
      <c r="A1588" s="893" t="str">
        <f>IF(B1588&lt;&gt;"",IF(AND(B1588&gt;=_TM1,B1588&lt;=_TM2,OR(TH!L1588="1111",TH!M1588="1111")),TH!D1588,""),"")</f>
        <v/>
      </c>
      <c r="B1588" s="700">
        <f t="shared" si="457"/>
        <v>8</v>
      </c>
      <c r="C1588" s="833">
        <f t="shared" si="455"/>
        <v>41489</v>
      </c>
      <c r="D1588" s="833" t="s">
        <v>1293</v>
      </c>
      <c r="E1588" s="833">
        <v>41489</v>
      </c>
      <c r="F1588" s="895" t="s">
        <v>1147</v>
      </c>
      <c r="G1588" s="834" t="s">
        <v>895</v>
      </c>
      <c r="H1588" s="837" t="s">
        <v>1289</v>
      </c>
      <c r="I1588" s="254">
        <v>2805</v>
      </c>
      <c r="J1588" s="254">
        <v>4076.488570695707</v>
      </c>
      <c r="K1588" s="701">
        <f t="shared" si="456"/>
        <v>11434550</v>
      </c>
      <c r="L1588" s="52" t="s">
        <v>167</v>
      </c>
      <c r="M1588" s="896" t="s">
        <v>165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52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850"/>
    </row>
    <row r="1589" spans="1:27" s="808" customFormat="1" ht="15.75" customHeight="1">
      <c r="A1589" s="893" t="str">
        <f>IF(B1589&lt;&gt;"",IF(AND(B1589&gt;=_TM1,B1589&lt;=_TM2,OR(TH!L1589="1111",TH!M1589="1111")),TH!D1589,""),"")</f>
        <v/>
      </c>
      <c r="B1589" s="700">
        <f t="shared" si="457"/>
        <v>8</v>
      </c>
      <c r="C1589" s="833">
        <f t="shared" si="455"/>
        <v>41492</v>
      </c>
      <c r="D1589" s="833" t="s">
        <v>1293</v>
      </c>
      <c r="E1589" s="48">
        <v>41492</v>
      </c>
      <c r="F1589" s="49" t="s">
        <v>1147</v>
      </c>
      <c r="G1589" s="49" t="s">
        <v>896</v>
      </c>
      <c r="H1589" s="837" t="s">
        <v>1289</v>
      </c>
      <c r="I1589" s="254">
        <v>2829</v>
      </c>
      <c r="J1589" s="254">
        <v>4076.4583776795243</v>
      </c>
      <c r="K1589" s="701">
        <f t="shared" si="456"/>
        <v>11532301</v>
      </c>
      <c r="L1589" s="52" t="s">
        <v>167</v>
      </c>
      <c r="M1589" s="896" t="s">
        <v>165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52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850"/>
    </row>
    <row r="1590" spans="1:27" s="808" customFormat="1" ht="15.75" customHeight="1">
      <c r="A1590" s="893" t="str">
        <f>IF(B1590&lt;&gt;"",IF(AND(B1590&gt;=_TM1,B1590&lt;=_TM2,OR(TH!L1590="1111",TH!M1590="1111")),TH!D1590,""),"")</f>
        <v/>
      </c>
      <c r="B1590" s="700">
        <f t="shared" si="457"/>
        <v>8</v>
      </c>
      <c r="C1590" s="833">
        <f t="shared" si="455"/>
        <v>41492</v>
      </c>
      <c r="D1590" s="833" t="s">
        <v>1293</v>
      </c>
      <c r="E1590" s="48">
        <v>41492</v>
      </c>
      <c r="F1590" s="49" t="s">
        <v>897</v>
      </c>
      <c r="G1590" s="49" t="s">
        <v>898</v>
      </c>
      <c r="H1590" s="837" t="s">
        <v>1289</v>
      </c>
      <c r="I1590" s="254">
        <v>1010</v>
      </c>
      <c r="J1590" s="254">
        <v>6615.596235579842</v>
      </c>
      <c r="K1590" s="701">
        <f t="shared" si="456"/>
        <v>6681752</v>
      </c>
      <c r="L1590" s="52" t="s">
        <v>167</v>
      </c>
      <c r="M1590" s="896" t="s">
        <v>165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52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850"/>
    </row>
    <row r="1591" spans="1:27" s="808" customFormat="1" ht="15.75" customHeight="1">
      <c r="A1591" s="893" t="str">
        <f>IF(B1591&lt;&gt;"",IF(AND(B1591&gt;=_TM1,B1591&lt;=_TM2,OR(TH!L1591="1111",TH!M1591="1111")),TH!D1591,""),"")</f>
        <v/>
      </c>
      <c r="B1591" s="700">
        <f t="shared" si="457"/>
        <v>8</v>
      </c>
      <c r="C1591" s="833">
        <f t="shared" si="455"/>
        <v>41492</v>
      </c>
      <c r="D1591" s="833" t="s">
        <v>1293</v>
      </c>
      <c r="E1591" s="48">
        <v>41492</v>
      </c>
      <c r="F1591" s="49" t="s">
        <v>1136</v>
      </c>
      <c r="G1591" s="49" t="s">
        <v>898</v>
      </c>
      <c r="H1591" s="837" t="s">
        <v>1289</v>
      </c>
      <c r="I1591" s="254">
        <v>960</v>
      </c>
      <c r="J1591" s="254">
        <v>4008.3462355798424</v>
      </c>
      <c r="K1591" s="701">
        <f t="shared" si="456"/>
        <v>3848012</v>
      </c>
      <c r="L1591" s="52" t="s">
        <v>167</v>
      </c>
      <c r="M1591" s="896" t="s">
        <v>165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52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850"/>
    </row>
    <row r="1592" spans="1:27" s="808" customFormat="1" ht="15.75" customHeight="1">
      <c r="A1592" s="893" t="str">
        <f>IF(B1592&lt;&gt;"",IF(AND(B1592&gt;=_TM1,B1592&lt;=_TM2,OR(TH!L1592="1111",TH!M1592="1111")),TH!D1592,""),"")</f>
        <v/>
      </c>
      <c r="B1592" s="700">
        <f t="shared" si="457"/>
        <v>8</v>
      </c>
      <c r="C1592" s="833">
        <f t="shared" si="455"/>
        <v>41492</v>
      </c>
      <c r="D1592" s="833" t="s">
        <v>1293</v>
      </c>
      <c r="E1592" s="48">
        <v>41492</v>
      </c>
      <c r="F1592" s="49" t="s">
        <v>723</v>
      </c>
      <c r="G1592" s="49" t="s">
        <v>899</v>
      </c>
      <c r="H1592" s="837" t="s">
        <v>1289</v>
      </c>
      <c r="I1592" s="254">
        <v>1307</v>
      </c>
      <c r="J1592" s="254">
        <v>4949.5082478216164</v>
      </c>
      <c r="K1592" s="701">
        <f t="shared" si="456"/>
        <v>6469007</v>
      </c>
      <c r="L1592" s="52" t="s">
        <v>167</v>
      </c>
      <c r="M1592" s="896" t="s">
        <v>165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52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850"/>
    </row>
    <row r="1593" spans="1:27" s="808" customFormat="1" ht="15.75" customHeight="1">
      <c r="A1593" s="893" t="str">
        <f>IF(B1593&lt;&gt;"",IF(AND(B1593&gt;=_TM1,B1593&lt;=_TM2,OR(TH!L1593="1111",TH!M1593="1111")),TH!D1593,""),"")</f>
        <v/>
      </c>
      <c r="B1593" s="700">
        <f t="shared" si="457"/>
        <v>8</v>
      </c>
      <c r="C1593" s="833">
        <f t="shared" si="455"/>
        <v>41492</v>
      </c>
      <c r="D1593" s="833" t="s">
        <v>1293</v>
      </c>
      <c r="E1593" s="48">
        <v>41492</v>
      </c>
      <c r="F1593" s="49" t="s">
        <v>869</v>
      </c>
      <c r="G1593" s="49" t="s">
        <v>899</v>
      </c>
      <c r="H1593" s="837" t="s">
        <v>1289</v>
      </c>
      <c r="I1593" s="254">
        <v>623</v>
      </c>
      <c r="J1593" s="254">
        <v>9425.9606015509489</v>
      </c>
      <c r="K1593" s="701">
        <f t="shared" si="456"/>
        <v>5872373</v>
      </c>
      <c r="L1593" s="52" t="s">
        <v>167</v>
      </c>
      <c r="M1593" s="896" t="s">
        <v>165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52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850"/>
    </row>
    <row r="1594" spans="1:27" s="808" customFormat="1" ht="15.75" customHeight="1">
      <c r="A1594" s="893" t="str">
        <f>IF(B1594&lt;&gt;"",IF(AND(B1594&gt;=_TM1,B1594&lt;=_TM2,OR(TH!L1594="1111",TH!M1594="1111")),TH!D1594,""),"")</f>
        <v/>
      </c>
      <c r="B1594" s="700">
        <f t="shared" si="457"/>
        <v>8</v>
      </c>
      <c r="C1594" s="833">
        <f t="shared" si="455"/>
        <v>41495</v>
      </c>
      <c r="D1594" s="833" t="s">
        <v>1293</v>
      </c>
      <c r="E1594" s="48">
        <v>41495</v>
      </c>
      <c r="F1594" s="49" t="s">
        <v>836</v>
      </c>
      <c r="G1594" s="49" t="s">
        <v>900</v>
      </c>
      <c r="H1594" s="837" t="s">
        <v>1289</v>
      </c>
      <c r="I1594" s="254">
        <v>1000</v>
      </c>
      <c r="J1594" s="254">
        <v>9217.0142355798434</v>
      </c>
      <c r="K1594" s="701">
        <f t="shared" si="456"/>
        <v>9217014</v>
      </c>
      <c r="L1594" s="52" t="s">
        <v>167</v>
      </c>
      <c r="M1594" s="896" t="s">
        <v>165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52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850"/>
    </row>
    <row r="1595" spans="1:27" s="808" customFormat="1" ht="15.75" customHeight="1">
      <c r="A1595" s="893" t="str">
        <f>IF(B1595&lt;&gt;"",IF(AND(B1595&gt;=_TM1,B1595&lt;=_TM2,OR(TH!L1595="1111",TH!M1595="1111")),TH!D1595,""),"")</f>
        <v/>
      </c>
      <c r="B1595" s="700">
        <f t="shared" si="457"/>
        <v>8</v>
      </c>
      <c r="C1595" s="833">
        <f t="shared" si="455"/>
        <v>41495</v>
      </c>
      <c r="D1595" s="833" t="s">
        <v>1293</v>
      </c>
      <c r="E1595" s="48">
        <v>41495</v>
      </c>
      <c r="F1595" s="49" t="s">
        <v>1147</v>
      </c>
      <c r="G1595" s="49" t="s">
        <v>901</v>
      </c>
      <c r="H1595" s="837" t="s">
        <v>1289</v>
      </c>
      <c r="I1595" s="254">
        <v>2730</v>
      </c>
      <c r="J1595" s="254">
        <v>4072.9394590230659</v>
      </c>
      <c r="K1595" s="701">
        <f t="shared" si="456"/>
        <v>11119125</v>
      </c>
      <c r="L1595" s="52" t="s">
        <v>167</v>
      </c>
      <c r="M1595" s="896" t="s">
        <v>165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52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850"/>
    </row>
    <row r="1596" spans="1:27" s="808" customFormat="1" ht="15.75" customHeight="1">
      <c r="A1596" s="893" t="str">
        <f>IF(B1596&lt;&gt;"",IF(AND(B1596&gt;=_TM1,B1596&lt;=_TM2,OR(TH!L1596="1111",TH!M1596="1111")),TH!D1596,""),"")</f>
        <v/>
      </c>
      <c r="B1596" s="700">
        <f t="shared" si="457"/>
        <v>8</v>
      </c>
      <c r="C1596" s="833">
        <f t="shared" si="455"/>
        <v>41496</v>
      </c>
      <c r="D1596" s="833" t="s">
        <v>1293</v>
      </c>
      <c r="E1596" s="48">
        <v>41496</v>
      </c>
      <c r="F1596" s="49" t="s">
        <v>1135</v>
      </c>
      <c r="G1596" s="49" t="s">
        <v>902</v>
      </c>
      <c r="H1596" s="837" t="s">
        <v>1289</v>
      </c>
      <c r="I1596" s="254">
        <v>1990</v>
      </c>
      <c r="J1596" s="254">
        <v>6386.0816627155209</v>
      </c>
      <c r="K1596" s="701">
        <f t="shared" si="456"/>
        <v>12708303</v>
      </c>
      <c r="L1596" s="52" t="s">
        <v>167</v>
      </c>
      <c r="M1596" s="896" t="s">
        <v>165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52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850"/>
    </row>
    <row r="1597" spans="1:27" s="808" customFormat="1" ht="15.75" customHeight="1">
      <c r="A1597" s="893" t="str">
        <f>IF(B1597&lt;&gt;"",IF(AND(B1597&gt;=_TM1,B1597&lt;=_TM2,OR(TH!L1597="1111",TH!M1597="1111")),TH!D1597,""),"")</f>
        <v/>
      </c>
      <c r="B1597" s="700">
        <f t="shared" si="457"/>
        <v>8</v>
      </c>
      <c r="C1597" s="833">
        <f t="shared" si="455"/>
        <v>41496</v>
      </c>
      <c r="D1597" s="833" t="s">
        <v>1293</v>
      </c>
      <c r="E1597" s="48">
        <v>41496</v>
      </c>
      <c r="F1597" s="49" t="s">
        <v>903</v>
      </c>
      <c r="G1597" s="49" t="s">
        <v>904</v>
      </c>
      <c r="H1597" s="837" t="s">
        <v>1289</v>
      </c>
      <c r="I1597" s="254">
        <v>480</v>
      </c>
      <c r="J1597" s="254">
        <v>5794.1795689131768</v>
      </c>
      <c r="K1597" s="701">
        <f t="shared" si="456"/>
        <v>2781206</v>
      </c>
      <c r="L1597" s="52" t="s">
        <v>167</v>
      </c>
      <c r="M1597" s="896" t="s">
        <v>165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52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850"/>
    </row>
    <row r="1598" spans="1:27" s="808" customFormat="1" ht="15.75" customHeight="1">
      <c r="A1598" s="893" t="str">
        <f>IF(B1598&lt;&gt;"",IF(AND(B1598&gt;=_TM1,B1598&lt;=_TM2,OR(TH!L1598="1111",TH!M1598="1111")),TH!D1598,""),"")</f>
        <v/>
      </c>
      <c r="B1598" s="700">
        <f t="shared" si="457"/>
        <v>8</v>
      </c>
      <c r="C1598" s="833">
        <f t="shared" si="455"/>
        <v>41496</v>
      </c>
      <c r="D1598" s="833" t="s">
        <v>1293</v>
      </c>
      <c r="E1598" s="48">
        <v>41496</v>
      </c>
      <c r="F1598" s="49" t="s">
        <v>903</v>
      </c>
      <c r="G1598" s="49" t="s">
        <v>904</v>
      </c>
      <c r="H1598" s="837" t="s">
        <v>1289</v>
      </c>
      <c r="I1598" s="254">
        <v>440</v>
      </c>
      <c r="J1598" s="254">
        <v>6596.721235579842</v>
      </c>
      <c r="K1598" s="701">
        <f t="shared" si="456"/>
        <v>2902557</v>
      </c>
      <c r="L1598" s="52" t="s">
        <v>167</v>
      </c>
      <c r="M1598" s="896" t="s">
        <v>165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52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850"/>
    </row>
    <row r="1599" spans="1:27" s="808" customFormat="1" ht="15.75" customHeight="1">
      <c r="A1599" s="893" t="str">
        <f>IF(B1599&lt;&gt;"",IF(AND(B1599&gt;=_TM1,B1599&lt;=_TM2,OR(TH!L1599="1111",TH!M1599="1111")),TH!D1599,""),"")</f>
        <v/>
      </c>
      <c r="B1599" s="700">
        <f t="shared" si="457"/>
        <v>8</v>
      </c>
      <c r="C1599" s="833">
        <f t="shared" si="455"/>
        <v>41498</v>
      </c>
      <c r="D1599" s="833" t="s">
        <v>1293</v>
      </c>
      <c r="E1599" s="48">
        <v>41498</v>
      </c>
      <c r="F1599" s="49" t="s">
        <v>729</v>
      </c>
      <c r="G1599" s="49" t="s">
        <v>906</v>
      </c>
      <c r="H1599" s="837" t="s">
        <v>1289</v>
      </c>
      <c r="I1599" s="254">
        <v>1000</v>
      </c>
      <c r="J1599" s="254">
        <v>8259.9152355798415</v>
      </c>
      <c r="K1599" s="701">
        <f t="shared" si="456"/>
        <v>8259915</v>
      </c>
      <c r="L1599" s="52" t="s">
        <v>167</v>
      </c>
      <c r="M1599" s="896" t="s">
        <v>165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52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850"/>
    </row>
    <row r="1600" spans="1:27" s="808" customFormat="1" ht="15.75" customHeight="1">
      <c r="A1600" s="893" t="str">
        <f>IF(B1600&lt;&gt;"",IF(AND(B1600&gt;=_TM1,B1600&lt;=_TM2,OR(TH!L1600="1111",TH!M1600="1111")),TH!D1600,""),"")</f>
        <v/>
      </c>
      <c r="B1600" s="700">
        <f t="shared" si="457"/>
        <v>8</v>
      </c>
      <c r="C1600" s="833">
        <f t="shared" si="455"/>
        <v>41499</v>
      </c>
      <c r="D1600" s="833" t="s">
        <v>1293</v>
      </c>
      <c r="E1600" s="48">
        <v>41499</v>
      </c>
      <c r="F1600" s="49" t="s">
        <v>812</v>
      </c>
      <c r="G1600" s="49" t="s">
        <v>907</v>
      </c>
      <c r="H1600" s="837" t="s">
        <v>1289</v>
      </c>
      <c r="I1600" s="254">
        <v>200</v>
      </c>
      <c r="J1600" s="254">
        <v>9247.096235579842</v>
      </c>
      <c r="K1600" s="701">
        <f t="shared" si="456"/>
        <v>1849419</v>
      </c>
      <c r="L1600" s="52" t="s">
        <v>167</v>
      </c>
      <c r="M1600" s="896" t="s">
        <v>165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52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850"/>
    </row>
    <row r="1601" spans="1:27" s="808" customFormat="1" ht="15.75" customHeight="1">
      <c r="A1601" s="893" t="str">
        <f>IF(B1601&lt;&gt;"",IF(AND(B1601&gt;=_TM1,B1601&lt;=_TM2,OR(TH!L1601="1111",TH!M1601="1111")),TH!D1601,""),"")</f>
        <v/>
      </c>
      <c r="B1601" s="700">
        <f t="shared" si="457"/>
        <v>8</v>
      </c>
      <c r="C1601" s="833">
        <f t="shared" si="455"/>
        <v>41499</v>
      </c>
      <c r="D1601" s="833" t="s">
        <v>1293</v>
      </c>
      <c r="E1601" s="48">
        <v>41499</v>
      </c>
      <c r="F1601" s="49" t="s">
        <v>1132</v>
      </c>
      <c r="G1601" s="49" t="s">
        <v>907</v>
      </c>
      <c r="H1601" s="837" t="s">
        <v>1289</v>
      </c>
      <c r="I1601" s="254">
        <v>250</v>
      </c>
      <c r="J1601" s="254">
        <v>12357.876235579843</v>
      </c>
      <c r="K1601" s="701">
        <f t="shared" si="456"/>
        <v>3089469</v>
      </c>
      <c r="L1601" s="52" t="s">
        <v>167</v>
      </c>
      <c r="M1601" s="896" t="s">
        <v>165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52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850"/>
    </row>
    <row r="1602" spans="1:27" s="808" customFormat="1" ht="15.75" customHeight="1">
      <c r="A1602" s="893" t="str">
        <f>IF(B1602&lt;&gt;"",IF(AND(B1602&gt;=_TM1,B1602&lt;=_TM2,OR(TH!L1602="1111",TH!M1602="1111")),TH!D1602,""),"")</f>
        <v/>
      </c>
      <c r="B1602" s="700">
        <f t="shared" si="457"/>
        <v>8</v>
      </c>
      <c r="C1602" s="833">
        <f t="shared" si="455"/>
        <v>41499</v>
      </c>
      <c r="D1602" s="833" t="s">
        <v>1293</v>
      </c>
      <c r="E1602" s="48">
        <v>41499</v>
      </c>
      <c r="F1602" s="49" t="s">
        <v>883</v>
      </c>
      <c r="G1602" s="49" t="s">
        <v>907</v>
      </c>
      <c r="H1602" s="837" t="s">
        <v>1289</v>
      </c>
      <c r="I1602" s="254">
        <v>505</v>
      </c>
      <c r="J1602" s="254">
        <v>7252.0219781541</v>
      </c>
      <c r="K1602" s="701">
        <f t="shared" si="456"/>
        <v>3662271</v>
      </c>
      <c r="L1602" s="52" t="s">
        <v>167</v>
      </c>
      <c r="M1602" s="896" t="s">
        <v>165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52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850"/>
    </row>
    <row r="1603" spans="1:27" s="808" customFormat="1" ht="15.75" customHeight="1">
      <c r="A1603" s="893" t="str">
        <f>IF(B1603&lt;&gt;"",IF(AND(B1603&gt;=_TM1,B1603&lt;=_TM2,OR(TH!L1603="1111",TH!M1603="1111")),TH!D1603,""),"")</f>
        <v/>
      </c>
      <c r="B1603" s="700">
        <f t="shared" si="457"/>
        <v>8</v>
      </c>
      <c r="C1603" s="833">
        <f t="shared" si="455"/>
        <v>41500</v>
      </c>
      <c r="D1603" s="833" t="s">
        <v>1293</v>
      </c>
      <c r="E1603" s="48">
        <v>41500</v>
      </c>
      <c r="F1603" s="49" t="s">
        <v>908</v>
      </c>
      <c r="G1603" s="49" t="s">
        <v>909</v>
      </c>
      <c r="H1603" s="837" t="s">
        <v>1289</v>
      </c>
      <c r="I1603" s="254">
        <v>85</v>
      </c>
      <c r="J1603" s="254">
        <v>9217.0197649916063</v>
      </c>
      <c r="K1603" s="701">
        <f t="shared" si="456"/>
        <v>783447</v>
      </c>
      <c r="L1603" s="52" t="s">
        <v>167</v>
      </c>
      <c r="M1603" s="896" t="s">
        <v>165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52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850"/>
    </row>
    <row r="1604" spans="1:27" s="808" customFormat="1" ht="15.75" customHeight="1">
      <c r="A1604" s="893" t="str">
        <f>IF(B1604&lt;&gt;"",IF(AND(B1604&gt;=_TM1,B1604&lt;=_TM2,OR(TH!L1604="1111",TH!M1604="1111")),TH!D1604,""),"")</f>
        <v/>
      </c>
      <c r="B1604" s="700">
        <f t="shared" si="457"/>
        <v>8</v>
      </c>
      <c r="C1604" s="833">
        <f t="shared" si="455"/>
        <v>41502</v>
      </c>
      <c r="D1604" s="833" t="s">
        <v>1293</v>
      </c>
      <c r="E1604" s="48">
        <v>41502</v>
      </c>
      <c r="F1604" s="49" t="s">
        <v>1131</v>
      </c>
      <c r="G1604" s="49" t="s">
        <v>910</v>
      </c>
      <c r="H1604" s="837" t="s">
        <v>1289</v>
      </c>
      <c r="I1604" s="254">
        <v>303</v>
      </c>
      <c r="J1604" s="254">
        <v>8819.5302289791816</v>
      </c>
      <c r="K1604" s="701">
        <f t="shared" si="456"/>
        <v>2672318</v>
      </c>
      <c r="L1604" s="52" t="s">
        <v>167</v>
      </c>
      <c r="M1604" s="896" t="s">
        <v>165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52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850"/>
    </row>
    <row r="1605" spans="1:27" s="808" customFormat="1" ht="15.75" customHeight="1">
      <c r="A1605" s="893" t="str">
        <f>IF(B1605&lt;&gt;"",IF(AND(B1605&gt;=_TM1,B1605&lt;=_TM2,OR(TH!L1605="1111",TH!M1605="1111")),TH!D1605,""),"")</f>
        <v/>
      </c>
      <c r="B1605" s="700">
        <f t="shared" si="457"/>
        <v>8</v>
      </c>
      <c r="C1605" s="833">
        <f t="shared" si="455"/>
        <v>41502</v>
      </c>
      <c r="D1605" s="833" t="s">
        <v>1293</v>
      </c>
      <c r="E1605" s="48">
        <v>41502</v>
      </c>
      <c r="F1605" s="49" t="s">
        <v>742</v>
      </c>
      <c r="G1605" s="49" t="s">
        <v>911</v>
      </c>
      <c r="H1605" s="837" t="s">
        <v>1289</v>
      </c>
      <c r="I1605" s="254">
        <v>285</v>
      </c>
      <c r="J1605" s="254">
        <v>20664.65588470265</v>
      </c>
      <c r="K1605" s="701">
        <f t="shared" si="456"/>
        <v>5889427</v>
      </c>
      <c r="L1605" s="52" t="s">
        <v>167</v>
      </c>
      <c r="M1605" s="896" t="s">
        <v>165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52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850"/>
    </row>
    <row r="1606" spans="1:27" s="808" customFormat="1" ht="15.75" customHeight="1">
      <c r="A1606" s="893" t="str">
        <f>IF(B1606&lt;&gt;"",IF(AND(B1606&gt;=_TM1,B1606&lt;=_TM2,OR(TH!L1606="1111",TH!M1606="1111")),TH!D1606,""),"")</f>
        <v/>
      </c>
      <c r="B1606" s="700">
        <f t="shared" si="457"/>
        <v>8</v>
      </c>
      <c r="C1606" s="833">
        <f t="shared" si="455"/>
        <v>41505</v>
      </c>
      <c r="D1606" s="833" t="s">
        <v>1293</v>
      </c>
      <c r="E1606" s="48">
        <v>41505</v>
      </c>
      <c r="F1606" s="49" t="s">
        <v>865</v>
      </c>
      <c r="G1606" s="49" t="s">
        <v>912</v>
      </c>
      <c r="H1606" s="837" t="s">
        <v>1289</v>
      </c>
      <c r="I1606" s="254">
        <v>505</v>
      </c>
      <c r="J1606" s="254">
        <v>20664.655641520432</v>
      </c>
      <c r="K1606" s="701">
        <f t="shared" si="456"/>
        <v>10435651</v>
      </c>
      <c r="L1606" s="52" t="s">
        <v>167</v>
      </c>
      <c r="M1606" s="896" t="s">
        <v>165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52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850"/>
    </row>
    <row r="1607" spans="1:27" s="808" customFormat="1" ht="15.75" customHeight="1">
      <c r="A1607" s="893" t="str">
        <f>IF(B1607&lt;&gt;"",IF(AND(B1607&gt;=_TM1,B1607&lt;=_TM2,OR(TH!L1607="1111",TH!M1607="1111")),TH!D1607,""),"")</f>
        <v/>
      </c>
      <c r="B1607" s="700">
        <f t="shared" si="457"/>
        <v>8</v>
      </c>
      <c r="C1607" s="833">
        <f t="shared" si="455"/>
        <v>41506</v>
      </c>
      <c r="D1607" s="833" t="s">
        <v>1293</v>
      </c>
      <c r="E1607" s="48">
        <v>41506</v>
      </c>
      <c r="F1607" s="49" t="s">
        <v>1152</v>
      </c>
      <c r="G1607" s="49" t="s">
        <v>913</v>
      </c>
      <c r="H1607" s="837" t="s">
        <v>1289</v>
      </c>
      <c r="I1607" s="254">
        <v>2573</v>
      </c>
      <c r="J1607" s="254">
        <v>4204.3319526416371</v>
      </c>
      <c r="K1607" s="701">
        <f t="shared" si="456"/>
        <v>10817746</v>
      </c>
      <c r="L1607" s="52" t="s">
        <v>167</v>
      </c>
      <c r="M1607" s="896" t="s">
        <v>165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52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850"/>
    </row>
    <row r="1608" spans="1:27" s="808" customFormat="1" ht="15.75" customHeight="1">
      <c r="A1608" s="893" t="str">
        <f>IF(B1608&lt;&gt;"",IF(AND(B1608&gt;=_TM1,B1608&lt;=_TM2,OR(TH!L1608="1111",TH!M1608="1111")),TH!D1608,""),"")</f>
        <v/>
      </c>
      <c r="B1608" s="700">
        <f t="shared" si="457"/>
        <v>8</v>
      </c>
      <c r="C1608" s="833">
        <f t="shared" si="455"/>
        <v>41506</v>
      </c>
      <c r="D1608" s="833" t="s">
        <v>1293</v>
      </c>
      <c r="E1608" s="48">
        <v>41506</v>
      </c>
      <c r="F1608" s="49" t="s">
        <v>1147</v>
      </c>
      <c r="G1608" s="49" t="s">
        <v>915</v>
      </c>
      <c r="H1608" s="837" t="s">
        <v>1289</v>
      </c>
      <c r="I1608" s="254">
        <v>2500</v>
      </c>
      <c r="J1608" s="254">
        <v>3793.1462355798421</v>
      </c>
      <c r="K1608" s="701">
        <f t="shared" si="456"/>
        <v>9482866</v>
      </c>
      <c r="L1608" s="52" t="s">
        <v>167</v>
      </c>
      <c r="M1608" s="896" t="s">
        <v>165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52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850"/>
    </row>
    <row r="1609" spans="1:27" s="808" customFormat="1" ht="15.75" customHeight="1">
      <c r="A1609" s="893" t="str">
        <f>IF(B1609&lt;&gt;"",IF(AND(B1609&gt;=_TM1,B1609&lt;=_TM2,OR(TH!L1609="1111",TH!M1609="1111")),TH!D1609,""),"")</f>
        <v/>
      </c>
      <c r="B1609" s="700">
        <f t="shared" si="457"/>
        <v>8</v>
      </c>
      <c r="C1609" s="833">
        <f t="shared" si="455"/>
        <v>41506</v>
      </c>
      <c r="D1609" s="833" t="s">
        <v>1293</v>
      </c>
      <c r="E1609" s="48">
        <v>41506</v>
      </c>
      <c r="F1609" s="49" t="s">
        <v>1147</v>
      </c>
      <c r="G1609" s="49" t="s">
        <v>916</v>
      </c>
      <c r="H1609" s="837" t="s">
        <v>1289</v>
      </c>
      <c r="I1609" s="254">
        <v>3200</v>
      </c>
      <c r="J1609" s="254">
        <v>4077.087485579842</v>
      </c>
      <c r="K1609" s="701">
        <f t="shared" si="456"/>
        <v>13046680</v>
      </c>
      <c r="L1609" s="52" t="s">
        <v>167</v>
      </c>
      <c r="M1609" s="896" t="s">
        <v>165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52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850"/>
    </row>
    <row r="1610" spans="1:27" s="808" customFormat="1" ht="15.75" customHeight="1">
      <c r="A1610" s="893" t="str">
        <f>IF(B1610&lt;&gt;"",IF(AND(B1610&gt;=_TM1,B1610&lt;=_TM2,OR(TH!L1610="1111",TH!M1610="1111")),TH!D1610,""),"")</f>
        <v/>
      </c>
      <c r="B1610" s="700">
        <f t="shared" si="457"/>
        <v>8</v>
      </c>
      <c r="C1610" s="833">
        <f t="shared" si="455"/>
        <v>41507</v>
      </c>
      <c r="D1610" s="833" t="s">
        <v>1293</v>
      </c>
      <c r="E1610" s="48">
        <v>41507</v>
      </c>
      <c r="F1610" s="49" t="s">
        <v>758</v>
      </c>
      <c r="G1610" s="49" t="s">
        <v>917</v>
      </c>
      <c r="H1610" s="837" t="s">
        <v>1289</v>
      </c>
      <c r="I1610" s="254">
        <v>296</v>
      </c>
      <c r="J1610" s="254">
        <v>8390.0692085528153</v>
      </c>
      <c r="K1610" s="701">
        <f t="shared" si="456"/>
        <v>2483460</v>
      </c>
      <c r="L1610" s="52" t="s">
        <v>167</v>
      </c>
      <c r="M1610" s="896" t="s">
        <v>165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52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850"/>
    </row>
    <row r="1611" spans="1:27" s="808" customFormat="1" ht="15.75" customHeight="1">
      <c r="A1611" s="893" t="str">
        <f>IF(B1611&lt;&gt;"",IF(AND(B1611&gt;=_TM1,B1611&lt;=_TM2,OR(TH!L1611="1111",TH!M1611="1111")),TH!D1611,""),"")</f>
        <v/>
      </c>
      <c r="B1611" s="700">
        <f t="shared" si="457"/>
        <v>8</v>
      </c>
      <c r="C1611" s="833">
        <f t="shared" si="455"/>
        <v>41511</v>
      </c>
      <c r="D1611" s="833" t="s">
        <v>1293</v>
      </c>
      <c r="E1611" s="48">
        <v>41511</v>
      </c>
      <c r="F1611" s="49" t="s">
        <v>918</v>
      </c>
      <c r="G1611" s="49" t="s">
        <v>919</v>
      </c>
      <c r="H1611" s="837" t="s">
        <v>1289</v>
      </c>
      <c r="I1611" s="254">
        <v>52</v>
      </c>
      <c r="J1611" s="254">
        <v>9217.0193125029182</v>
      </c>
      <c r="K1611" s="701">
        <f t="shared" si="456"/>
        <v>479285</v>
      </c>
      <c r="L1611" s="52" t="s">
        <v>167</v>
      </c>
      <c r="M1611" s="896" t="s">
        <v>165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52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850"/>
    </row>
    <row r="1612" spans="1:27" s="808" customFormat="1" ht="15.75" customHeight="1">
      <c r="A1612" s="893" t="str">
        <f>IF(B1612&lt;&gt;"",IF(AND(B1612&gt;=_TM1,B1612&lt;=_TM2,OR(TH!L1612="1111",TH!M1612="1111")),TH!D1612,""),"")</f>
        <v/>
      </c>
      <c r="B1612" s="700">
        <f t="shared" si="457"/>
        <v>8</v>
      </c>
      <c r="C1612" s="833">
        <f t="shared" si="455"/>
        <v>41511</v>
      </c>
      <c r="D1612" s="833" t="s">
        <v>1293</v>
      </c>
      <c r="E1612" s="48">
        <v>41511</v>
      </c>
      <c r="F1612" s="49" t="s">
        <v>1160</v>
      </c>
      <c r="G1612" s="49" t="s">
        <v>919</v>
      </c>
      <c r="H1612" s="837" t="s">
        <v>1289</v>
      </c>
      <c r="I1612" s="254">
        <v>1390</v>
      </c>
      <c r="J1612" s="254">
        <v>5607.8624226302018</v>
      </c>
      <c r="K1612" s="701">
        <f t="shared" si="456"/>
        <v>7794929</v>
      </c>
      <c r="L1612" s="52" t="s">
        <v>167</v>
      </c>
      <c r="M1612" s="896" t="s">
        <v>165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52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850"/>
    </row>
    <row r="1613" spans="1:27" s="808" customFormat="1" ht="15.75" customHeight="1">
      <c r="A1613" s="893" t="str">
        <f>IF(B1613&lt;&gt;"",IF(AND(B1613&gt;=_TM1,B1613&lt;=_TM2,OR(TH!L1613="1111",TH!M1613="1111")),TH!D1613,""),"")</f>
        <v/>
      </c>
      <c r="B1613" s="700">
        <f t="shared" si="457"/>
        <v>8</v>
      </c>
      <c r="C1613" s="833">
        <f t="shared" si="455"/>
        <v>41511</v>
      </c>
      <c r="D1613" s="833" t="s">
        <v>1293</v>
      </c>
      <c r="E1613" s="48">
        <v>41511</v>
      </c>
      <c r="F1613" s="49" t="s">
        <v>920</v>
      </c>
      <c r="G1613" s="49" t="s">
        <v>919</v>
      </c>
      <c r="H1613" s="837" t="s">
        <v>1289</v>
      </c>
      <c r="I1613" s="254">
        <v>310</v>
      </c>
      <c r="J1613" s="254">
        <v>5362.596235579842</v>
      </c>
      <c r="K1613" s="701">
        <f t="shared" si="456"/>
        <v>1662405</v>
      </c>
      <c r="L1613" s="52" t="s">
        <v>167</v>
      </c>
      <c r="M1613" s="896" t="s">
        <v>165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52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850"/>
    </row>
    <row r="1614" spans="1:27" s="808" customFormat="1" ht="15.75" customHeight="1">
      <c r="A1614" s="893" t="str">
        <f>IF(B1614&lt;&gt;"",IF(AND(B1614&gt;=_TM1,B1614&lt;=_TM2,OR(TH!L1614="1111",TH!M1614="1111")),TH!D1614,""),"")</f>
        <v/>
      </c>
      <c r="B1614" s="700">
        <f t="shared" si="457"/>
        <v>8</v>
      </c>
      <c r="C1614" s="833">
        <f t="shared" ref="C1614:C1677" si="458">E1614</f>
        <v>41511</v>
      </c>
      <c r="D1614" s="833" t="s">
        <v>1293</v>
      </c>
      <c r="E1614" s="48">
        <v>41511</v>
      </c>
      <c r="F1614" s="49" t="s">
        <v>918</v>
      </c>
      <c r="G1614" s="49" t="s">
        <v>919</v>
      </c>
      <c r="H1614" s="837" t="s">
        <v>1289</v>
      </c>
      <c r="I1614" s="254">
        <v>90</v>
      </c>
      <c r="J1614" s="254">
        <v>8968.6406800242858</v>
      </c>
      <c r="K1614" s="701">
        <f t="shared" ref="K1614:K1677" si="459">ROUND(I1614*J1614,0)</f>
        <v>807178</v>
      </c>
      <c r="L1614" s="52" t="s">
        <v>167</v>
      </c>
      <c r="M1614" s="896" t="s">
        <v>165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52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850"/>
    </row>
    <row r="1615" spans="1:27" s="808" customFormat="1" ht="15.75" customHeight="1">
      <c r="A1615" s="893" t="str">
        <f>IF(B1615&lt;&gt;"",IF(AND(B1615&gt;=_TM1,B1615&lt;=_TM2,OR(TH!L1615="1111",TH!M1615="1111")),TH!D1615,""),"")</f>
        <v/>
      </c>
      <c r="B1615" s="700">
        <f t="shared" si="457"/>
        <v>8</v>
      </c>
      <c r="C1615" s="833">
        <f t="shared" si="458"/>
        <v>41512</v>
      </c>
      <c r="D1615" s="833" t="s">
        <v>1293</v>
      </c>
      <c r="E1615" s="48">
        <v>41512</v>
      </c>
      <c r="F1615" s="49" t="s">
        <v>1149</v>
      </c>
      <c r="G1615" s="49" t="s">
        <v>921</v>
      </c>
      <c r="H1615" s="837" t="s">
        <v>1289</v>
      </c>
      <c r="I1615" s="254">
        <v>1400</v>
      </c>
      <c r="J1615" s="254">
        <v>4369.8533784369847</v>
      </c>
      <c r="K1615" s="701">
        <f t="shared" si="459"/>
        <v>6117795</v>
      </c>
      <c r="L1615" s="52" t="s">
        <v>167</v>
      </c>
      <c r="M1615" s="896" t="s">
        <v>165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52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850"/>
    </row>
    <row r="1616" spans="1:27" s="808" customFormat="1" ht="15.75" customHeight="1">
      <c r="A1616" s="893" t="str">
        <f>IF(B1616&lt;&gt;"",IF(AND(B1616&gt;=_TM1,B1616&lt;=_TM2,OR(TH!L1616="1111",TH!M1616="1111")),TH!D1616,""),"")</f>
        <v/>
      </c>
      <c r="B1616" s="700">
        <f t="shared" si="457"/>
        <v>8</v>
      </c>
      <c r="C1616" s="833">
        <f t="shared" si="458"/>
        <v>41512</v>
      </c>
      <c r="D1616" s="833" t="s">
        <v>1293</v>
      </c>
      <c r="E1616" s="48">
        <v>41512</v>
      </c>
      <c r="F1616" s="49" t="s">
        <v>1149</v>
      </c>
      <c r="G1616" s="49" t="s">
        <v>921</v>
      </c>
      <c r="H1616" s="837" t="s">
        <v>1289</v>
      </c>
      <c r="I1616" s="254">
        <v>2400</v>
      </c>
      <c r="J1616" s="254">
        <v>4387.8008189131751</v>
      </c>
      <c r="K1616" s="701">
        <f t="shared" si="459"/>
        <v>10530722</v>
      </c>
      <c r="L1616" s="52" t="s">
        <v>167</v>
      </c>
      <c r="M1616" s="896" t="s">
        <v>165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52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850"/>
    </row>
    <row r="1617" spans="1:27" s="808" customFormat="1" ht="15.75" customHeight="1">
      <c r="A1617" s="893" t="str">
        <f>IF(B1617&lt;&gt;"",IF(AND(B1617&gt;=_TM1,B1617&lt;=_TM2,OR(TH!L1617="1111",TH!M1617="1111")),TH!D1617,""),"")</f>
        <v/>
      </c>
      <c r="B1617" s="700">
        <f t="shared" si="457"/>
        <v>8</v>
      </c>
      <c r="C1617" s="833">
        <f t="shared" si="458"/>
        <v>41512</v>
      </c>
      <c r="D1617" s="833" t="s">
        <v>1293</v>
      </c>
      <c r="E1617" s="48">
        <v>41512</v>
      </c>
      <c r="F1617" s="49" t="s">
        <v>1140</v>
      </c>
      <c r="G1617" s="49" t="s">
        <v>1114</v>
      </c>
      <c r="H1617" s="837" t="s">
        <v>1289</v>
      </c>
      <c r="I1617" s="254">
        <v>1010</v>
      </c>
      <c r="J1617" s="254">
        <v>5514.6110870649909</v>
      </c>
      <c r="K1617" s="701">
        <f t="shared" si="459"/>
        <v>5569757</v>
      </c>
      <c r="L1617" s="52" t="s">
        <v>167</v>
      </c>
      <c r="M1617" s="896" t="s">
        <v>165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52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850"/>
    </row>
    <row r="1618" spans="1:27" s="808" customFormat="1" ht="15.75" customHeight="1">
      <c r="A1618" s="893" t="str">
        <f>IF(B1618&lt;&gt;"",IF(AND(B1618&gt;=_TM1,B1618&lt;=_TM2,OR(TH!L1618="1111",TH!M1618="1111")),TH!D1618,""),"")</f>
        <v/>
      </c>
      <c r="B1618" s="700">
        <f t="shared" si="457"/>
        <v>8</v>
      </c>
      <c r="C1618" s="833">
        <f t="shared" si="458"/>
        <v>41512</v>
      </c>
      <c r="D1618" s="833" t="s">
        <v>1293</v>
      </c>
      <c r="E1618" s="48">
        <v>41512</v>
      </c>
      <c r="F1618" s="49" t="s">
        <v>1144</v>
      </c>
      <c r="G1618" s="49" t="s">
        <v>1114</v>
      </c>
      <c r="H1618" s="837" t="s">
        <v>1289</v>
      </c>
      <c r="I1618" s="254">
        <v>102</v>
      </c>
      <c r="J1618" s="254">
        <v>12067.498196364157</v>
      </c>
      <c r="K1618" s="701">
        <f t="shared" si="459"/>
        <v>1230885</v>
      </c>
      <c r="L1618" s="52" t="s">
        <v>167</v>
      </c>
      <c r="M1618" s="896" t="s">
        <v>165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52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850"/>
    </row>
    <row r="1619" spans="1:27" s="808" customFormat="1" ht="15.75" customHeight="1">
      <c r="A1619" s="893" t="str">
        <f>IF(B1619&lt;&gt;"",IF(AND(B1619&gt;=_TM1,B1619&lt;=_TM2,OR(TH!L1619="1111",TH!M1619="1111")),TH!D1619,""),"")</f>
        <v/>
      </c>
      <c r="B1619" s="700">
        <f t="shared" si="457"/>
        <v>8</v>
      </c>
      <c r="C1619" s="833">
        <f t="shared" si="458"/>
        <v>41516</v>
      </c>
      <c r="D1619" s="833" t="s">
        <v>1293</v>
      </c>
      <c r="E1619" s="833">
        <v>41516</v>
      </c>
      <c r="F1619" s="895" t="s">
        <v>1008</v>
      </c>
      <c r="G1619" s="834" t="s">
        <v>1115</v>
      </c>
      <c r="H1619" s="837" t="s">
        <v>1289</v>
      </c>
      <c r="I1619" s="254">
        <v>400</v>
      </c>
      <c r="J1619" s="254">
        <v>11617.596235579844</v>
      </c>
      <c r="K1619" s="701">
        <f t="shared" si="459"/>
        <v>4647038</v>
      </c>
      <c r="L1619" s="52" t="s">
        <v>167</v>
      </c>
      <c r="M1619" s="896" t="s">
        <v>165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52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850"/>
    </row>
    <row r="1620" spans="1:27" s="808" customFormat="1" ht="15.75" customHeight="1">
      <c r="A1620" s="893" t="str">
        <f>IF(B1620&lt;&gt;"",IF(AND(B1620&gt;=_TM1,B1620&lt;=_TM2,OR(TH!L1620="1111",TH!M1620="1111")),TH!D1620,""),"")</f>
        <v/>
      </c>
      <c r="B1620" s="700">
        <f t="shared" si="457"/>
        <v>8</v>
      </c>
      <c r="C1620" s="833">
        <f t="shared" si="458"/>
        <v>41516</v>
      </c>
      <c r="D1620" s="833" t="s">
        <v>1293</v>
      </c>
      <c r="E1620" s="833">
        <v>41516</v>
      </c>
      <c r="F1620" s="895" t="s">
        <v>1007</v>
      </c>
      <c r="G1620" s="834" t="s">
        <v>1115</v>
      </c>
      <c r="H1620" s="837" t="s">
        <v>1289</v>
      </c>
      <c r="I1620" s="254">
        <v>210</v>
      </c>
      <c r="J1620" s="254">
        <v>13879.596235579844</v>
      </c>
      <c r="K1620" s="701">
        <f t="shared" si="459"/>
        <v>2914715</v>
      </c>
      <c r="L1620" s="52" t="s">
        <v>167</v>
      </c>
      <c r="M1620" s="896" t="s">
        <v>165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52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850"/>
    </row>
    <row r="1621" spans="1:27" s="808" customFormat="1" ht="15.75" customHeight="1">
      <c r="A1621" s="893" t="str">
        <f>IF(B1621&lt;&gt;"",IF(AND(B1621&gt;=_TM1,B1621&lt;=_TM2,OR(TH!L1621="1111",TH!M1621="1111")),TH!D1621,""),"")</f>
        <v/>
      </c>
      <c r="B1621" s="700">
        <f t="shared" si="457"/>
        <v>8</v>
      </c>
      <c r="C1621" s="833">
        <f t="shared" si="458"/>
        <v>41516</v>
      </c>
      <c r="D1621" s="833" t="s">
        <v>1293</v>
      </c>
      <c r="E1621" s="833">
        <v>41516</v>
      </c>
      <c r="F1621" s="895" t="s">
        <v>1004</v>
      </c>
      <c r="G1621" s="834" t="s">
        <v>1115</v>
      </c>
      <c r="H1621" s="837" t="s">
        <v>1289</v>
      </c>
      <c r="I1621" s="254">
        <v>150</v>
      </c>
      <c r="J1621" s="254">
        <v>7100.6762355798419</v>
      </c>
      <c r="K1621" s="701">
        <f t="shared" si="459"/>
        <v>1065101</v>
      </c>
      <c r="L1621" s="52" t="s">
        <v>167</v>
      </c>
      <c r="M1621" s="896" t="s">
        <v>165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52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850"/>
    </row>
    <row r="1622" spans="1:27" s="808" customFormat="1" ht="15.75" customHeight="1">
      <c r="A1622" s="893" t="str">
        <f>IF(B1622&lt;&gt;"",IF(AND(B1622&gt;=_TM1,B1622&lt;=_TM2,OR(TH!L1622="1111",TH!M1622="1111")),TH!D1622,""),"")</f>
        <v/>
      </c>
      <c r="B1622" s="700">
        <f t="shared" si="457"/>
        <v>8</v>
      </c>
      <c r="C1622" s="833">
        <f t="shared" si="458"/>
        <v>41512</v>
      </c>
      <c r="D1622" s="833" t="s">
        <v>1293</v>
      </c>
      <c r="E1622" s="833">
        <v>41512</v>
      </c>
      <c r="F1622" s="895" t="s">
        <v>938</v>
      </c>
      <c r="G1622" s="834" t="s">
        <v>1116</v>
      </c>
      <c r="H1622" s="837" t="s">
        <v>1289</v>
      </c>
      <c r="I1622" s="254">
        <v>585</v>
      </c>
      <c r="J1622" s="254">
        <v>18595.396235579843</v>
      </c>
      <c r="K1622" s="701">
        <f t="shared" si="459"/>
        <v>10878307</v>
      </c>
      <c r="L1622" s="52" t="s">
        <v>167</v>
      </c>
      <c r="M1622" s="896" t="s">
        <v>165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52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850"/>
    </row>
    <row r="1623" spans="1:27" s="808" customFormat="1" ht="15.75" customHeight="1">
      <c r="A1623" s="893" t="str">
        <f>IF(B1623&lt;&gt;"",IF(AND(B1623&gt;=_TM1,B1623&lt;=_TM2,OR(TH!L1623="1111",TH!M1623="1111")),TH!D1623,""),"")</f>
        <v/>
      </c>
      <c r="B1623" s="700">
        <f t="shared" si="457"/>
        <v>8</v>
      </c>
      <c r="C1623" s="833">
        <f t="shared" si="458"/>
        <v>41512</v>
      </c>
      <c r="D1623" s="833" t="s">
        <v>1293</v>
      </c>
      <c r="E1623" s="833">
        <v>41512</v>
      </c>
      <c r="F1623" s="895" t="s">
        <v>940</v>
      </c>
      <c r="G1623" s="834" t="s">
        <v>1116</v>
      </c>
      <c r="H1623" s="837" t="s">
        <v>1289</v>
      </c>
      <c r="I1623" s="917">
        <v>371</v>
      </c>
      <c r="J1623" s="917">
        <v>15578.445292183613</v>
      </c>
      <c r="K1623" s="701">
        <f t="shared" si="459"/>
        <v>5779603</v>
      </c>
      <c r="L1623" s="52" t="s">
        <v>167</v>
      </c>
      <c r="M1623" s="896" t="s">
        <v>165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52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850"/>
    </row>
    <row r="1624" spans="1:27" s="808" customFormat="1" ht="15.75" customHeight="1">
      <c r="A1624" s="893" t="str">
        <f>IF(B1624&lt;&gt;"",IF(AND(B1624&gt;=_TM1,B1624&lt;=_TM2,OR(TH!L1624="1111",TH!M1624="1111")),TH!D1624,""),"")</f>
        <v/>
      </c>
      <c r="B1624" s="700">
        <f t="shared" si="457"/>
        <v>9</v>
      </c>
      <c r="C1624" s="833">
        <f t="shared" si="458"/>
        <v>41522</v>
      </c>
      <c r="D1624" s="833" t="s">
        <v>1293</v>
      </c>
      <c r="E1624" s="833">
        <v>41522</v>
      </c>
      <c r="F1624" s="895" t="s">
        <v>1148</v>
      </c>
      <c r="G1624" s="834" t="s">
        <v>1117</v>
      </c>
      <c r="H1624" s="837" t="s">
        <v>1289</v>
      </c>
      <c r="I1624" s="917">
        <v>2700</v>
      </c>
      <c r="J1624" s="917">
        <v>4471.4295689131759</v>
      </c>
      <c r="K1624" s="701">
        <f t="shared" si="459"/>
        <v>12072860</v>
      </c>
      <c r="L1624" s="52" t="s">
        <v>167</v>
      </c>
      <c r="M1624" s="896" t="s">
        <v>165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52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850"/>
    </row>
    <row r="1625" spans="1:27" s="808" customFormat="1" ht="15.75" customHeight="1">
      <c r="A1625" s="893" t="str">
        <f>IF(B1625&lt;&gt;"",IF(AND(B1625&gt;=_TM1,B1625&lt;=_TM2,OR(TH!L1625="1111",TH!M1625="1111")),TH!D1625,""),"")</f>
        <v/>
      </c>
      <c r="B1625" s="700">
        <f t="shared" si="457"/>
        <v>9</v>
      </c>
      <c r="C1625" s="833">
        <f t="shared" si="458"/>
        <v>41523</v>
      </c>
      <c r="D1625" s="833" t="s">
        <v>1293</v>
      </c>
      <c r="E1625" s="833">
        <v>41523</v>
      </c>
      <c r="F1625" s="895" t="s">
        <v>1119</v>
      </c>
      <c r="G1625" s="834" t="s">
        <v>1118</v>
      </c>
      <c r="H1625" s="837" t="s">
        <v>1289</v>
      </c>
      <c r="I1625" s="254">
        <v>1010</v>
      </c>
      <c r="J1625" s="254">
        <v>7487.096235579842</v>
      </c>
      <c r="K1625" s="701">
        <f t="shared" si="459"/>
        <v>7561967</v>
      </c>
      <c r="L1625" s="52" t="s">
        <v>167</v>
      </c>
      <c r="M1625" s="896" t="s">
        <v>165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52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850"/>
    </row>
    <row r="1626" spans="1:27" s="808" customFormat="1" ht="15.75" customHeight="1">
      <c r="A1626" s="893" t="str">
        <f>IF(B1626&lt;&gt;"",IF(AND(B1626&gt;=_TM1,B1626&lt;=_TM2,OR(TH!L1626="1111",TH!M1626="1111")),TH!D1626,""),"")</f>
        <v/>
      </c>
      <c r="B1626" s="700">
        <f t="shared" si="457"/>
        <v>9</v>
      </c>
      <c r="C1626" s="833">
        <f t="shared" si="458"/>
        <v>41523</v>
      </c>
      <c r="D1626" s="833" t="s">
        <v>1293</v>
      </c>
      <c r="E1626" s="833">
        <v>41523</v>
      </c>
      <c r="F1626" s="895" t="s">
        <v>1120</v>
      </c>
      <c r="G1626" s="834" t="s">
        <v>1118</v>
      </c>
      <c r="H1626" s="837" t="s">
        <v>1289</v>
      </c>
      <c r="I1626" s="254">
        <v>1000</v>
      </c>
      <c r="J1626" s="254">
        <v>6615.596235579842</v>
      </c>
      <c r="K1626" s="701">
        <f t="shared" si="459"/>
        <v>6615596</v>
      </c>
      <c r="L1626" s="52" t="s">
        <v>167</v>
      </c>
      <c r="M1626" s="896" t="s">
        <v>165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52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850"/>
    </row>
    <row r="1627" spans="1:27" s="808" customFormat="1" ht="15.75" customHeight="1">
      <c r="A1627" s="893" t="str">
        <f>IF(B1627&lt;&gt;"",IF(AND(B1627&gt;=_TM1,B1627&lt;=_TM2,OR(TH!L1627="1111",TH!M1627="1111")),TH!D1627,""),"")</f>
        <v/>
      </c>
      <c r="B1627" s="700">
        <f t="shared" si="457"/>
        <v>9</v>
      </c>
      <c r="C1627" s="833">
        <f t="shared" si="458"/>
        <v>41526</v>
      </c>
      <c r="D1627" s="833" t="s">
        <v>1293</v>
      </c>
      <c r="E1627" s="48">
        <v>41526</v>
      </c>
      <c r="F1627" s="49" t="s">
        <v>1135</v>
      </c>
      <c r="G1627" s="49" t="s">
        <v>1121</v>
      </c>
      <c r="H1627" s="837" t="s">
        <v>1289</v>
      </c>
      <c r="I1627" s="254">
        <v>990</v>
      </c>
      <c r="J1627" s="254">
        <v>6382.3911850747927</v>
      </c>
      <c r="K1627" s="701">
        <f t="shared" si="459"/>
        <v>6318567</v>
      </c>
      <c r="L1627" s="52" t="s">
        <v>167</v>
      </c>
      <c r="M1627" s="896" t="s">
        <v>165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52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850"/>
    </row>
    <row r="1628" spans="1:27" s="808" customFormat="1" ht="15.75" customHeight="1">
      <c r="A1628" s="893" t="str">
        <f>IF(B1628&lt;&gt;"",IF(AND(B1628&gt;=_TM1,B1628&lt;=_TM2,OR(TH!L1628="1111",TH!M1628="1111")),TH!D1628,""),"")</f>
        <v/>
      </c>
      <c r="B1628" s="700">
        <f t="shared" si="457"/>
        <v>9</v>
      </c>
      <c r="C1628" s="833">
        <f t="shared" si="458"/>
        <v>41526</v>
      </c>
      <c r="D1628" s="833" t="s">
        <v>1293</v>
      </c>
      <c r="E1628" s="48">
        <v>41526</v>
      </c>
      <c r="F1628" s="49" t="s">
        <v>865</v>
      </c>
      <c r="G1628" s="49" t="s">
        <v>1122</v>
      </c>
      <c r="H1628" s="837" t="s">
        <v>1289</v>
      </c>
      <c r="I1628" s="254">
        <v>505</v>
      </c>
      <c r="J1628" s="254">
        <v>20664.655641520432</v>
      </c>
      <c r="K1628" s="701">
        <f t="shared" si="459"/>
        <v>10435651</v>
      </c>
      <c r="L1628" s="52" t="s">
        <v>167</v>
      </c>
      <c r="M1628" s="896" t="s">
        <v>165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52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850"/>
    </row>
    <row r="1629" spans="1:27" s="808" customFormat="1" ht="15.75" customHeight="1">
      <c r="A1629" s="893" t="str">
        <f>IF(B1629&lt;&gt;"",IF(AND(B1629&gt;=_TM1,B1629&lt;=_TM2,OR(TH!L1629="1111",TH!M1629="1111")),TH!D1629,""),"")</f>
        <v/>
      </c>
      <c r="B1629" s="700">
        <f t="shared" si="457"/>
        <v>9</v>
      </c>
      <c r="C1629" s="833">
        <f t="shared" si="458"/>
        <v>41526</v>
      </c>
      <c r="D1629" s="833" t="s">
        <v>1293</v>
      </c>
      <c r="E1629" s="48">
        <v>41526</v>
      </c>
      <c r="F1629" s="49" t="s">
        <v>938</v>
      </c>
      <c r="G1629" s="49" t="s">
        <v>1123</v>
      </c>
      <c r="H1629" s="837" t="s">
        <v>1289</v>
      </c>
      <c r="I1629" s="254">
        <v>585</v>
      </c>
      <c r="J1629" s="254">
        <v>18595.396235579843</v>
      </c>
      <c r="K1629" s="701">
        <f t="shared" si="459"/>
        <v>10878307</v>
      </c>
      <c r="L1629" s="52" t="s">
        <v>167</v>
      </c>
      <c r="M1629" s="896" t="s">
        <v>165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52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850"/>
    </row>
    <row r="1630" spans="1:27" s="808" customFormat="1" ht="15.75" customHeight="1">
      <c r="A1630" s="893" t="str">
        <f>IF(B1630&lt;&gt;"",IF(AND(B1630&gt;=_TM1,B1630&lt;=_TM2,OR(TH!L1630="1111",TH!M1630="1111")),TH!D1630,""),"")</f>
        <v/>
      </c>
      <c r="B1630" s="700">
        <f t="shared" si="457"/>
        <v>9</v>
      </c>
      <c r="C1630" s="833">
        <f t="shared" si="458"/>
        <v>41526</v>
      </c>
      <c r="D1630" s="833" t="s">
        <v>1293</v>
      </c>
      <c r="E1630" s="48">
        <v>41526</v>
      </c>
      <c r="F1630" s="49" t="s">
        <v>940</v>
      </c>
      <c r="G1630" s="49" t="s">
        <v>1123</v>
      </c>
      <c r="H1630" s="837" t="s">
        <v>1289</v>
      </c>
      <c r="I1630" s="254">
        <v>300</v>
      </c>
      <c r="J1630" s="254">
        <v>14704.596235579842</v>
      </c>
      <c r="K1630" s="701">
        <f t="shared" si="459"/>
        <v>4411379</v>
      </c>
      <c r="L1630" s="52" t="s">
        <v>167</v>
      </c>
      <c r="M1630" s="896" t="s">
        <v>165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52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850"/>
    </row>
    <row r="1631" spans="1:27" s="808" customFormat="1" ht="15.75" customHeight="1">
      <c r="A1631" s="893" t="str">
        <f>IF(B1631&lt;&gt;"",IF(AND(B1631&gt;=_TM1,B1631&lt;=_TM2,OR(TH!L1631="1111",TH!M1631="1111")),TH!D1631,""),"")</f>
        <v/>
      </c>
      <c r="B1631" s="700">
        <f t="shared" si="457"/>
        <v>9</v>
      </c>
      <c r="C1631" s="833">
        <f t="shared" si="458"/>
        <v>41526</v>
      </c>
      <c r="D1631" s="833" t="s">
        <v>1293</v>
      </c>
      <c r="E1631" s="48">
        <v>41526</v>
      </c>
      <c r="F1631" s="49" t="s">
        <v>1148</v>
      </c>
      <c r="G1631" s="49" t="s">
        <v>922</v>
      </c>
      <c r="H1631" s="837" t="s">
        <v>1289</v>
      </c>
      <c r="I1631" s="254">
        <v>2680</v>
      </c>
      <c r="J1631" s="254">
        <v>4415.9544445350666</v>
      </c>
      <c r="K1631" s="701">
        <f t="shared" si="459"/>
        <v>11834758</v>
      </c>
      <c r="L1631" s="52" t="s">
        <v>167</v>
      </c>
      <c r="M1631" s="896" t="s">
        <v>165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52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850"/>
    </row>
    <row r="1632" spans="1:27" s="808" customFormat="1" ht="15.75" customHeight="1">
      <c r="A1632" s="893" t="str">
        <f>IF(B1632&lt;&gt;"",IF(AND(B1632&gt;=_TM1,B1632&lt;=_TM2,OR(TH!L1632="1111",TH!M1632="1111")),TH!D1632,""),"")</f>
        <v/>
      </c>
      <c r="B1632" s="700">
        <f t="shared" si="457"/>
        <v>9</v>
      </c>
      <c r="C1632" s="833">
        <f t="shared" si="458"/>
        <v>41528</v>
      </c>
      <c r="D1632" s="833" t="s">
        <v>1293</v>
      </c>
      <c r="E1632" s="48">
        <v>41528</v>
      </c>
      <c r="F1632" s="49" t="s">
        <v>923</v>
      </c>
      <c r="G1632" s="49" t="s">
        <v>924</v>
      </c>
      <c r="H1632" s="837" t="s">
        <v>1289</v>
      </c>
      <c r="I1632" s="254">
        <v>100</v>
      </c>
      <c r="J1632" s="254">
        <v>11617.596235579844</v>
      </c>
      <c r="K1632" s="701">
        <f t="shared" si="459"/>
        <v>1161760</v>
      </c>
      <c r="L1632" s="52" t="s">
        <v>167</v>
      </c>
      <c r="M1632" s="896" t="s">
        <v>165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52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850"/>
    </row>
    <row r="1633" spans="1:27" s="808" customFormat="1" ht="15.75" customHeight="1">
      <c r="A1633" s="893" t="str">
        <f>IF(B1633&lt;&gt;"",IF(AND(B1633&gt;=_TM1,B1633&lt;=_TM2,OR(TH!L1633="1111",TH!M1633="1111")),TH!D1633,""),"")</f>
        <v/>
      </c>
      <c r="B1633" s="700">
        <f t="shared" si="457"/>
        <v>9</v>
      </c>
      <c r="C1633" s="833">
        <f t="shared" si="458"/>
        <v>41528</v>
      </c>
      <c r="D1633" s="833" t="s">
        <v>1293</v>
      </c>
      <c r="E1633" s="48">
        <v>41528</v>
      </c>
      <c r="F1633" s="49" t="s">
        <v>926</v>
      </c>
      <c r="G1633" s="49" t="s">
        <v>924</v>
      </c>
      <c r="H1633" s="837" t="s">
        <v>1289</v>
      </c>
      <c r="I1633" s="254">
        <v>102</v>
      </c>
      <c r="J1633" s="254">
        <v>13879.596235579844</v>
      </c>
      <c r="K1633" s="701">
        <f t="shared" si="459"/>
        <v>1415719</v>
      </c>
      <c r="L1633" s="52" t="s">
        <v>167</v>
      </c>
      <c r="M1633" s="896" t="s">
        <v>165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52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850"/>
    </row>
    <row r="1634" spans="1:27" s="808" customFormat="1" ht="15.75" customHeight="1">
      <c r="A1634" s="893" t="str">
        <f>IF(B1634&lt;&gt;"",IF(AND(B1634&gt;=_TM1,B1634&lt;=_TM2,OR(TH!L1634="1111",TH!M1634="1111")),TH!D1634,""),"")</f>
        <v/>
      </c>
      <c r="B1634" s="700">
        <f t="shared" si="457"/>
        <v>9</v>
      </c>
      <c r="C1634" s="833">
        <f t="shared" si="458"/>
        <v>41533</v>
      </c>
      <c r="D1634" s="833" t="s">
        <v>1293</v>
      </c>
      <c r="E1634" s="48">
        <v>41533</v>
      </c>
      <c r="F1634" s="49" t="s">
        <v>836</v>
      </c>
      <c r="G1634" s="49" t="s">
        <v>927</v>
      </c>
      <c r="H1634" s="837" t="s">
        <v>1289</v>
      </c>
      <c r="I1634" s="254">
        <v>992</v>
      </c>
      <c r="J1634" s="254">
        <v>9217.014582354037</v>
      </c>
      <c r="K1634" s="701">
        <f t="shared" si="459"/>
        <v>9143278</v>
      </c>
      <c r="L1634" s="52" t="s">
        <v>167</v>
      </c>
      <c r="M1634" s="896" t="s">
        <v>165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52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850"/>
    </row>
    <row r="1635" spans="1:27" s="808" customFormat="1" ht="15.75" customHeight="1">
      <c r="A1635" s="893" t="str">
        <f>IF(B1635&lt;&gt;"",IF(AND(B1635&gt;=_TM1,B1635&lt;=_TM2,OR(TH!L1635="1111",TH!M1635="1111")),TH!D1635,""),"")</f>
        <v/>
      </c>
      <c r="B1635" s="700">
        <f t="shared" si="457"/>
        <v>9</v>
      </c>
      <c r="C1635" s="833">
        <f t="shared" si="458"/>
        <v>41535</v>
      </c>
      <c r="D1635" s="833" t="s">
        <v>1293</v>
      </c>
      <c r="E1635" s="48">
        <v>41535</v>
      </c>
      <c r="F1635" s="49" t="s">
        <v>865</v>
      </c>
      <c r="G1635" s="49" t="s">
        <v>928</v>
      </c>
      <c r="H1635" s="837" t="s">
        <v>1289</v>
      </c>
      <c r="I1635" s="254">
        <v>496</v>
      </c>
      <c r="J1635" s="254">
        <v>20664.654703321779</v>
      </c>
      <c r="K1635" s="701">
        <f t="shared" si="459"/>
        <v>10249669</v>
      </c>
      <c r="L1635" s="52" t="s">
        <v>167</v>
      </c>
      <c r="M1635" s="896" t="s">
        <v>165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52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850"/>
    </row>
    <row r="1636" spans="1:27" s="808" customFormat="1" ht="15.75" customHeight="1">
      <c r="A1636" s="893" t="str">
        <f>IF(B1636&lt;&gt;"",IF(AND(B1636&gt;=_TM1,B1636&lt;=_TM2,OR(TH!L1636="1111",TH!M1636="1111")),TH!D1636,""),"")</f>
        <v/>
      </c>
      <c r="B1636" s="700">
        <f t="shared" si="457"/>
        <v>9</v>
      </c>
      <c r="C1636" s="833">
        <f t="shared" si="458"/>
        <v>41536</v>
      </c>
      <c r="D1636" s="833" t="s">
        <v>1293</v>
      </c>
      <c r="E1636" s="48">
        <v>41536</v>
      </c>
      <c r="F1636" s="49" t="s">
        <v>929</v>
      </c>
      <c r="G1636" s="49" t="s">
        <v>930</v>
      </c>
      <c r="H1636" s="837" t="s">
        <v>1289</v>
      </c>
      <c r="I1636" s="254">
        <v>294</v>
      </c>
      <c r="J1636" s="254">
        <v>2757.9975961240598</v>
      </c>
      <c r="K1636" s="701">
        <f t="shared" si="459"/>
        <v>810851</v>
      </c>
      <c r="L1636" s="52" t="s">
        <v>167</v>
      </c>
      <c r="M1636" s="896" t="s">
        <v>165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52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850"/>
    </row>
    <row r="1637" spans="1:27" s="808" customFormat="1" ht="15.75" customHeight="1">
      <c r="A1637" s="893" t="str">
        <f>IF(B1637&lt;&gt;"",IF(AND(B1637&gt;=_TM1,B1637&lt;=_TM2,OR(TH!L1637="1111",TH!M1637="1111")),TH!D1637,""),"")</f>
        <v/>
      </c>
      <c r="B1637" s="700">
        <f t="shared" si="457"/>
        <v>9</v>
      </c>
      <c r="C1637" s="833">
        <f t="shared" si="458"/>
        <v>41537</v>
      </c>
      <c r="D1637" s="833" t="s">
        <v>1293</v>
      </c>
      <c r="E1637" s="48">
        <v>41537</v>
      </c>
      <c r="F1637" s="49" t="s">
        <v>885</v>
      </c>
      <c r="G1637" s="49" t="s">
        <v>931</v>
      </c>
      <c r="H1637" s="837" t="s">
        <v>1289</v>
      </c>
      <c r="I1637" s="254">
        <v>510</v>
      </c>
      <c r="J1637" s="254">
        <v>7460.4785885210194</v>
      </c>
      <c r="K1637" s="701">
        <f t="shared" si="459"/>
        <v>3804844</v>
      </c>
      <c r="L1637" s="52" t="s">
        <v>167</v>
      </c>
      <c r="M1637" s="896" t="s">
        <v>165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52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850"/>
    </row>
    <row r="1638" spans="1:27" s="808" customFormat="1" ht="15.75" customHeight="1">
      <c r="A1638" s="893" t="str">
        <f>IF(B1638&lt;&gt;"",IF(AND(B1638&gt;=_TM1,B1638&lt;=_TM2,OR(TH!L1638="1111",TH!M1638="1111")),TH!D1638,""),"")</f>
        <v/>
      </c>
      <c r="B1638" s="700">
        <f t="shared" si="457"/>
        <v>9</v>
      </c>
      <c r="C1638" s="833">
        <f t="shared" si="458"/>
        <v>41538</v>
      </c>
      <c r="D1638" s="833" t="s">
        <v>1293</v>
      </c>
      <c r="E1638" s="48">
        <v>41538</v>
      </c>
      <c r="F1638" s="49" t="s">
        <v>742</v>
      </c>
      <c r="G1638" s="49" t="s">
        <v>932</v>
      </c>
      <c r="H1638" s="837" t="s">
        <v>1289</v>
      </c>
      <c r="I1638" s="254">
        <v>331</v>
      </c>
      <c r="J1638" s="254">
        <v>20664.656658540567</v>
      </c>
      <c r="K1638" s="701">
        <f t="shared" si="459"/>
        <v>6840001</v>
      </c>
      <c r="L1638" s="52" t="s">
        <v>167</v>
      </c>
      <c r="M1638" s="896" t="s">
        <v>165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52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850"/>
    </row>
    <row r="1639" spans="1:27" s="808" customFormat="1" ht="15.75" customHeight="1">
      <c r="A1639" s="893" t="str">
        <f>IF(B1639&lt;&gt;"",IF(AND(B1639&gt;=_TM1,B1639&lt;=_TM2,OR(TH!L1639="1111",TH!M1639="1111")),TH!D1639,""),"")</f>
        <v/>
      </c>
      <c r="B1639" s="700">
        <f t="shared" si="457"/>
        <v>9</v>
      </c>
      <c r="C1639" s="833">
        <f t="shared" si="458"/>
        <v>41540</v>
      </c>
      <c r="D1639" s="833" t="s">
        <v>1293</v>
      </c>
      <c r="E1639" s="48">
        <v>41540</v>
      </c>
      <c r="F1639" s="49" t="s">
        <v>883</v>
      </c>
      <c r="G1639" s="49" t="s">
        <v>1124</v>
      </c>
      <c r="H1639" s="837" t="s">
        <v>1289</v>
      </c>
      <c r="I1639" s="254">
        <v>430</v>
      </c>
      <c r="J1639" s="254">
        <v>7798.3171658124002</v>
      </c>
      <c r="K1639" s="701">
        <f t="shared" si="459"/>
        <v>3353276</v>
      </c>
      <c r="L1639" s="52" t="s">
        <v>167</v>
      </c>
      <c r="M1639" s="896" t="s">
        <v>165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52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850"/>
    </row>
    <row r="1640" spans="1:27" s="808" customFormat="1" ht="15.75" customHeight="1">
      <c r="A1640" s="893" t="str">
        <f>IF(B1640&lt;&gt;"",IF(AND(B1640&gt;=_TM1,B1640&lt;=_TM2,OR(TH!L1640="1111",TH!M1640="1111")),TH!D1640,""),"")</f>
        <v/>
      </c>
      <c r="B1640" s="700">
        <f t="shared" ref="B1640:B1703" si="460">IF(C1640&lt;&gt;"",MONTH(C1640),"")</f>
        <v>9</v>
      </c>
      <c r="C1640" s="833">
        <f t="shared" si="458"/>
        <v>41540</v>
      </c>
      <c r="D1640" s="833" t="s">
        <v>1293</v>
      </c>
      <c r="E1640" s="48">
        <v>41540</v>
      </c>
      <c r="F1640" s="49" t="s">
        <v>1132</v>
      </c>
      <c r="G1640" s="49" t="s">
        <v>1124</v>
      </c>
      <c r="H1640" s="837" t="s">
        <v>1289</v>
      </c>
      <c r="I1640" s="254">
        <v>200</v>
      </c>
      <c r="J1640" s="254">
        <v>12469.446235579844</v>
      </c>
      <c r="K1640" s="701">
        <f t="shared" si="459"/>
        <v>2493889</v>
      </c>
      <c r="L1640" s="52" t="s">
        <v>167</v>
      </c>
      <c r="M1640" s="896" t="s">
        <v>165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52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850"/>
    </row>
    <row r="1641" spans="1:27" s="808" customFormat="1" ht="15.75" customHeight="1">
      <c r="A1641" s="893" t="str">
        <f>IF(B1641&lt;&gt;"",IF(AND(B1641&gt;=_TM1,B1641&lt;=_TM2,OR(TH!L1641="1111",TH!M1641="1111")),TH!D1641,""),"")</f>
        <v/>
      </c>
      <c r="B1641" s="700">
        <f t="shared" si="460"/>
        <v>9</v>
      </c>
      <c r="C1641" s="833">
        <f t="shared" si="458"/>
        <v>41540</v>
      </c>
      <c r="D1641" s="833" t="s">
        <v>1293</v>
      </c>
      <c r="E1641" s="833">
        <v>41540</v>
      </c>
      <c r="F1641" s="918" t="s">
        <v>1130</v>
      </c>
      <c r="G1641" s="919" t="s">
        <v>1124</v>
      </c>
      <c r="H1641" s="837" t="s">
        <v>1289</v>
      </c>
      <c r="I1641" s="254">
        <v>108</v>
      </c>
      <c r="J1641" s="254">
        <v>12737.531420765028</v>
      </c>
      <c r="K1641" s="701">
        <f t="shared" si="459"/>
        <v>1375653</v>
      </c>
      <c r="L1641" s="52" t="s">
        <v>167</v>
      </c>
      <c r="M1641" s="896" t="s">
        <v>165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52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850"/>
    </row>
    <row r="1642" spans="1:27" s="808" customFormat="1" ht="15.75" customHeight="1">
      <c r="A1642" s="893" t="str">
        <f>IF(B1642&lt;&gt;"",IF(AND(B1642&gt;=_TM1,B1642&lt;=_TM2,OR(TH!L1642="1111",TH!M1642="1111")),TH!D1642,""),"")</f>
        <v/>
      </c>
      <c r="B1642" s="700">
        <f t="shared" si="460"/>
        <v>9</v>
      </c>
      <c r="C1642" s="833">
        <f t="shared" si="458"/>
        <v>41540</v>
      </c>
      <c r="D1642" s="833" t="s">
        <v>1293</v>
      </c>
      <c r="E1642" s="833">
        <v>41540</v>
      </c>
      <c r="F1642" s="918" t="s">
        <v>1133</v>
      </c>
      <c r="G1642" s="919" t="s">
        <v>1124</v>
      </c>
      <c r="H1642" s="837" t="s">
        <v>1289</v>
      </c>
      <c r="I1642" s="254">
        <v>257</v>
      </c>
      <c r="J1642" s="254">
        <v>6866.4250293541618</v>
      </c>
      <c r="K1642" s="701">
        <f t="shared" si="459"/>
        <v>1764671</v>
      </c>
      <c r="L1642" s="52" t="s">
        <v>167</v>
      </c>
      <c r="M1642" s="896" t="s">
        <v>165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52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850"/>
    </row>
    <row r="1643" spans="1:27" s="808" customFormat="1" ht="15.75" customHeight="1">
      <c r="A1643" s="893" t="str">
        <f>IF(B1643&lt;&gt;"",IF(AND(B1643&gt;=_TM1,B1643&lt;=_TM2,OR(TH!L1643="1111",TH!M1643="1111")),TH!D1643,""),"")</f>
        <v/>
      </c>
      <c r="B1643" s="700">
        <f t="shared" si="460"/>
        <v>9</v>
      </c>
      <c r="C1643" s="833">
        <f t="shared" si="458"/>
        <v>41540</v>
      </c>
      <c r="D1643" s="833" t="s">
        <v>1293</v>
      </c>
      <c r="E1643" s="833">
        <v>41540</v>
      </c>
      <c r="F1643" s="918" t="s">
        <v>815</v>
      </c>
      <c r="G1643" s="919" t="s">
        <v>933</v>
      </c>
      <c r="H1643" s="837" t="s">
        <v>1289</v>
      </c>
      <c r="I1643" s="254">
        <v>424</v>
      </c>
      <c r="J1643" s="254">
        <v>16754.59623557984</v>
      </c>
      <c r="K1643" s="701">
        <f t="shared" si="459"/>
        <v>7103949</v>
      </c>
      <c r="L1643" s="52" t="s">
        <v>167</v>
      </c>
      <c r="M1643" s="896" t="s">
        <v>165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52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850"/>
    </row>
    <row r="1644" spans="1:27" s="808" customFormat="1" ht="15.75" customHeight="1">
      <c r="A1644" s="893" t="str">
        <f>IF(B1644&lt;&gt;"",IF(AND(B1644&gt;=_TM1,B1644&lt;=_TM2,OR(TH!L1644="1111",TH!M1644="1111")),TH!D1644,""),"")</f>
        <v/>
      </c>
      <c r="B1644" s="700">
        <f t="shared" si="460"/>
        <v>9</v>
      </c>
      <c r="C1644" s="833">
        <f t="shared" si="458"/>
        <v>41540</v>
      </c>
      <c r="D1644" s="833" t="s">
        <v>1293</v>
      </c>
      <c r="E1644" s="851">
        <v>41540</v>
      </c>
      <c r="F1644" s="918" t="s">
        <v>887</v>
      </c>
      <c r="G1644" s="49" t="s">
        <v>934</v>
      </c>
      <c r="H1644" s="837" t="s">
        <v>1289</v>
      </c>
      <c r="I1644" s="254">
        <v>980</v>
      </c>
      <c r="J1644" s="254">
        <v>6675.4023580288222</v>
      </c>
      <c r="K1644" s="701">
        <f t="shared" si="459"/>
        <v>6541894</v>
      </c>
      <c r="L1644" s="52" t="s">
        <v>167</v>
      </c>
      <c r="M1644" s="896" t="s">
        <v>165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52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850"/>
    </row>
    <row r="1645" spans="1:27" s="808" customFormat="1" ht="15.75" customHeight="1">
      <c r="A1645" s="893" t="str">
        <f>IF(B1645&lt;&gt;"",IF(AND(B1645&gt;=_TM1,B1645&lt;=_TM2,OR(TH!L1645="1111",TH!M1645="1111")),TH!D1645,""),"")</f>
        <v/>
      </c>
      <c r="B1645" s="700">
        <f t="shared" si="460"/>
        <v>9</v>
      </c>
      <c r="C1645" s="833">
        <f t="shared" si="458"/>
        <v>41542</v>
      </c>
      <c r="D1645" s="833" t="s">
        <v>1293</v>
      </c>
      <c r="E1645" s="851">
        <v>41542</v>
      </c>
      <c r="F1645" s="49" t="s">
        <v>1148</v>
      </c>
      <c r="G1645" s="49" t="s">
        <v>935</v>
      </c>
      <c r="H1645" s="837" t="s">
        <v>1289</v>
      </c>
      <c r="I1645" s="921">
        <v>2700</v>
      </c>
      <c r="J1645" s="254">
        <v>4072.9395689131761</v>
      </c>
      <c r="K1645" s="701">
        <f t="shared" si="459"/>
        <v>10996937</v>
      </c>
      <c r="L1645" s="52" t="s">
        <v>167</v>
      </c>
      <c r="M1645" s="896" t="s">
        <v>165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52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850"/>
    </row>
    <row r="1646" spans="1:27" s="808" customFormat="1" ht="15.75" customHeight="1">
      <c r="A1646" s="893" t="str">
        <f>IF(B1646&lt;&gt;"",IF(AND(B1646&gt;=_TM1,B1646&lt;=_TM2,OR(TH!L1646="1111",TH!M1646="1111")),TH!D1646,""),"")</f>
        <v/>
      </c>
      <c r="B1646" s="700">
        <f t="shared" si="460"/>
        <v>9</v>
      </c>
      <c r="C1646" s="833">
        <f t="shared" si="458"/>
        <v>41543</v>
      </c>
      <c r="D1646" s="833" t="s">
        <v>1293</v>
      </c>
      <c r="E1646" s="851">
        <v>41543</v>
      </c>
      <c r="F1646" s="918" t="s">
        <v>1151</v>
      </c>
      <c r="G1646" s="49" t="s">
        <v>936</v>
      </c>
      <c r="H1646" s="837" t="s">
        <v>1289</v>
      </c>
      <c r="I1646" s="254">
        <v>3500</v>
      </c>
      <c r="J1646" s="254">
        <v>3407.2682355798415</v>
      </c>
      <c r="K1646" s="701">
        <f t="shared" si="459"/>
        <v>11925439</v>
      </c>
      <c r="L1646" s="52" t="s">
        <v>167</v>
      </c>
      <c r="M1646" s="896" t="s">
        <v>165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52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850"/>
    </row>
    <row r="1647" spans="1:27" s="808" customFormat="1" ht="15.75" customHeight="1">
      <c r="A1647" s="893" t="str">
        <f>IF(B1647&lt;&gt;"",IF(AND(B1647&gt;=_TM1,B1647&lt;=_TM2,OR(TH!L1647="1111",TH!M1647="1111")),TH!D1647,""),"")</f>
        <v/>
      </c>
      <c r="B1647" s="700">
        <f t="shared" si="460"/>
        <v>9</v>
      </c>
      <c r="C1647" s="833">
        <f t="shared" si="458"/>
        <v>41547</v>
      </c>
      <c r="D1647" s="833" t="s">
        <v>1293</v>
      </c>
      <c r="E1647" s="851">
        <v>41547</v>
      </c>
      <c r="F1647" s="836" t="s">
        <v>836</v>
      </c>
      <c r="G1647" s="49" t="s">
        <v>937</v>
      </c>
      <c r="H1647" s="837" t="s">
        <v>1289</v>
      </c>
      <c r="I1647" s="254">
        <v>1004</v>
      </c>
      <c r="J1647" s="254">
        <v>9217.0145622730688</v>
      </c>
      <c r="K1647" s="701">
        <f t="shared" si="459"/>
        <v>9253883</v>
      </c>
      <c r="L1647" s="52" t="s">
        <v>167</v>
      </c>
      <c r="M1647" s="896" t="s">
        <v>165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52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850"/>
    </row>
    <row r="1648" spans="1:27" s="808" customFormat="1" ht="15.75" customHeight="1">
      <c r="A1648" s="893" t="str">
        <f>IF(B1648&lt;&gt;"",IF(AND(B1648&gt;=_TM1,B1648&lt;=_TM2,OR(TH!L1648="1111",TH!M1648="1111")),TH!D1648,""),"")</f>
        <v/>
      </c>
      <c r="B1648" s="700">
        <f t="shared" si="460"/>
        <v>9</v>
      </c>
      <c r="C1648" s="833">
        <f t="shared" si="458"/>
        <v>41547</v>
      </c>
      <c r="D1648" s="833" t="s">
        <v>1293</v>
      </c>
      <c r="E1648" s="851">
        <v>41547</v>
      </c>
      <c r="F1648" s="49" t="s">
        <v>938</v>
      </c>
      <c r="G1648" s="49" t="s">
        <v>939</v>
      </c>
      <c r="H1648" s="837" t="s">
        <v>1289</v>
      </c>
      <c r="I1648" s="254">
        <v>525</v>
      </c>
      <c r="J1648" s="254">
        <v>18595.396235579843</v>
      </c>
      <c r="K1648" s="701">
        <f t="shared" si="459"/>
        <v>9762583</v>
      </c>
      <c r="L1648" s="52" t="s">
        <v>167</v>
      </c>
      <c r="M1648" s="896" t="s">
        <v>165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52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850"/>
    </row>
    <row r="1649" spans="1:27" s="808" customFormat="1" ht="15.75" customHeight="1">
      <c r="A1649" s="893" t="str">
        <f>IF(B1649&lt;&gt;"",IF(AND(B1649&gt;=_TM1,B1649&lt;=_TM2,OR(TH!L1649="1111",TH!M1649="1111")),TH!D1649,""),"")</f>
        <v/>
      </c>
      <c r="B1649" s="700">
        <f t="shared" si="460"/>
        <v>9</v>
      </c>
      <c r="C1649" s="833">
        <f t="shared" si="458"/>
        <v>41547</v>
      </c>
      <c r="D1649" s="833" t="s">
        <v>1293</v>
      </c>
      <c r="E1649" s="851">
        <v>41547</v>
      </c>
      <c r="F1649" s="918" t="s">
        <v>940</v>
      </c>
      <c r="G1649" s="49" t="s">
        <v>939</v>
      </c>
      <c r="H1649" s="837" t="s">
        <v>1289</v>
      </c>
      <c r="I1649" s="921">
        <v>344</v>
      </c>
      <c r="J1649" s="254">
        <v>15538.59623557984</v>
      </c>
      <c r="K1649" s="701">
        <f t="shared" si="459"/>
        <v>5345277</v>
      </c>
      <c r="L1649" s="52" t="s">
        <v>167</v>
      </c>
      <c r="M1649" s="896" t="s">
        <v>165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52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850"/>
    </row>
    <row r="1650" spans="1:27" s="808" customFormat="1" ht="15.75" customHeight="1">
      <c r="A1650" s="893" t="str">
        <f>IF(B1650&lt;&gt;"",IF(AND(B1650&gt;=_TM1,B1650&lt;=_TM2,OR(TH!L1650="1111",TH!M1650="1111")),TH!D1650,""),"")</f>
        <v/>
      </c>
      <c r="B1650" s="700">
        <f t="shared" si="460"/>
        <v>9</v>
      </c>
      <c r="C1650" s="833">
        <f t="shared" si="458"/>
        <v>41547</v>
      </c>
      <c r="D1650" s="833" t="s">
        <v>1293</v>
      </c>
      <c r="E1650" s="851">
        <v>41547</v>
      </c>
      <c r="F1650" s="49" t="s">
        <v>941</v>
      </c>
      <c r="G1650" s="49" t="s">
        <v>942</v>
      </c>
      <c r="H1650" s="837" t="s">
        <v>1289</v>
      </c>
      <c r="I1650" s="921">
        <v>499</v>
      </c>
      <c r="J1650" s="254">
        <v>8532.4238908904645</v>
      </c>
      <c r="K1650" s="701">
        <f t="shared" si="459"/>
        <v>4257680</v>
      </c>
      <c r="L1650" s="52" t="s">
        <v>167</v>
      </c>
      <c r="M1650" s="896" t="s">
        <v>165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52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850"/>
    </row>
    <row r="1651" spans="1:27" s="808" customFormat="1" ht="15.75" customHeight="1">
      <c r="A1651" s="893" t="str">
        <f>IF(B1651&lt;&gt;"",IF(AND(B1651&gt;=_TM1,B1651&lt;=_TM2,OR(TH!L1651="1111",TH!M1651="1111")),TH!D1651,""),"")</f>
        <v/>
      </c>
      <c r="B1651" s="700">
        <f t="shared" si="460"/>
        <v>9</v>
      </c>
      <c r="C1651" s="833">
        <f t="shared" si="458"/>
        <v>41547</v>
      </c>
      <c r="D1651" s="833" t="s">
        <v>1293</v>
      </c>
      <c r="E1651" s="851">
        <v>41547</v>
      </c>
      <c r="F1651" s="918" t="s">
        <v>943</v>
      </c>
      <c r="G1651" s="49" t="s">
        <v>942</v>
      </c>
      <c r="H1651" s="837" t="s">
        <v>1289</v>
      </c>
      <c r="I1651" s="254">
        <v>503</v>
      </c>
      <c r="J1651" s="254">
        <v>4261.5544860768605</v>
      </c>
      <c r="K1651" s="701">
        <f t="shared" si="459"/>
        <v>2143562</v>
      </c>
      <c r="L1651" s="52" t="s">
        <v>167</v>
      </c>
      <c r="M1651" s="896" t="s">
        <v>165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52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850"/>
    </row>
    <row r="1652" spans="1:27" s="808" customFormat="1" ht="15.75" customHeight="1">
      <c r="A1652" s="893" t="str">
        <f>IF(B1652&lt;&gt;"",IF(AND(B1652&gt;=_TM1,B1652&lt;=_TM2,OR(TH!L1652="1111",TH!M1652="1111")),TH!D1652,""),"")</f>
        <v/>
      </c>
      <c r="B1652" s="700">
        <f t="shared" si="460"/>
        <v>9</v>
      </c>
      <c r="C1652" s="833">
        <f t="shared" si="458"/>
        <v>41547</v>
      </c>
      <c r="D1652" s="833" t="s">
        <v>1293</v>
      </c>
      <c r="E1652" s="851">
        <v>41547</v>
      </c>
      <c r="F1652" s="918" t="s">
        <v>943</v>
      </c>
      <c r="G1652" s="49" t="s">
        <v>942</v>
      </c>
      <c r="H1652" s="837" t="s">
        <v>1289</v>
      </c>
      <c r="I1652" s="254">
        <v>503</v>
      </c>
      <c r="J1652" s="254">
        <v>4261.5544860768605</v>
      </c>
      <c r="K1652" s="701">
        <f t="shared" si="459"/>
        <v>2143562</v>
      </c>
      <c r="L1652" s="52" t="s">
        <v>167</v>
      </c>
      <c r="M1652" s="896" t="s">
        <v>165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52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850"/>
    </row>
    <row r="1653" spans="1:27" s="808" customFormat="1" ht="15.75" customHeight="1">
      <c r="A1653" s="893" t="str">
        <f>IF(B1653&lt;&gt;"",IF(AND(B1653&gt;=_TM1,B1653&lt;=_TM2,OR(TH!L1653="1111",TH!M1653="1111")),TH!D1653,""),"")</f>
        <v/>
      </c>
      <c r="B1653" s="700">
        <f t="shared" si="460"/>
        <v>9</v>
      </c>
      <c r="C1653" s="833">
        <f t="shared" si="458"/>
        <v>41547</v>
      </c>
      <c r="D1653" s="833" t="s">
        <v>1293</v>
      </c>
      <c r="E1653" s="894">
        <v>41547</v>
      </c>
      <c r="F1653" s="918" t="s">
        <v>944</v>
      </c>
      <c r="G1653" s="919" t="s">
        <v>942</v>
      </c>
      <c r="H1653" s="837" t="s">
        <v>1289</v>
      </c>
      <c r="I1653" s="254">
        <v>510</v>
      </c>
      <c r="J1653" s="254">
        <v>4307.9197649916068</v>
      </c>
      <c r="K1653" s="701">
        <f t="shared" si="459"/>
        <v>2197039</v>
      </c>
      <c r="L1653" s="52" t="s">
        <v>167</v>
      </c>
      <c r="M1653" s="896" t="s">
        <v>165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52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850"/>
    </row>
    <row r="1654" spans="1:27" s="808" customFormat="1" ht="15.75" customHeight="1">
      <c r="A1654" s="893" t="str">
        <f>IF(B1654&lt;&gt;"",IF(AND(B1654&gt;=_TM1,B1654&lt;=_TM2,OR(TH!L1654="1111",TH!M1654="1111")),TH!D1654,""),"")</f>
        <v/>
      </c>
      <c r="B1654" s="700">
        <f t="shared" si="460"/>
        <v>9</v>
      </c>
      <c r="C1654" s="833">
        <f t="shared" si="458"/>
        <v>41547</v>
      </c>
      <c r="D1654" s="833" t="s">
        <v>1293</v>
      </c>
      <c r="E1654" s="851">
        <v>41547</v>
      </c>
      <c r="F1654" s="49" t="s">
        <v>1135</v>
      </c>
      <c r="G1654" s="49" t="s">
        <v>945</v>
      </c>
      <c r="H1654" s="837" t="s">
        <v>1289</v>
      </c>
      <c r="I1654" s="254">
        <v>2700</v>
      </c>
      <c r="J1654" s="254">
        <v>6142.688828172435</v>
      </c>
      <c r="K1654" s="701">
        <f t="shared" si="459"/>
        <v>16585260</v>
      </c>
      <c r="L1654" s="52" t="s">
        <v>167</v>
      </c>
      <c r="M1654" s="896" t="s">
        <v>165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52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850"/>
    </row>
    <row r="1655" spans="1:27" s="840" customFormat="1" ht="15.75" customHeight="1">
      <c r="A1655" s="902" t="str">
        <f>IF(B1655&lt;&gt;"",IF(AND(B1655&gt;=_TM1,B1655&lt;=_TM2,OR(TH!L1655="1111",TH!M1655="1111")),TH!D1655,""),"")</f>
        <v/>
      </c>
      <c r="B1655" s="838">
        <f t="shared" si="460"/>
        <v>10</v>
      </c>
      <c r="C1655" s="903">
        <f t="shared" si="458"/>
        <v>41548</v>
      </c>
      <c r="D1655" s="833" t="s">
        <v>1293</v>
      </c>
      <c r="E1655" s="923">
        <v>41548</v>
      </c>
      <c r="F1655" s="915" t="s">
        <v>938</v>
      </c>
      <c r="G1655" s="905" t="s">
        <v>946</v>
      </c>
      <c r="H1655" s="906" t="s">
        <v>1289</v>
      </c>
      <c r="I1655" s="914">
        <v>60</v>
      </c>
      <c r="J1655" s="914">
        <v>18010.140192092691</v>
      </c>
      <c r="K1655" s="835">
        <f t="shared" si="459"/>
        <v>1080608</v>
      </c>
      <c r="L1655" s="828" t="s">
        <v>167</v>
      </c>
      <c r="M1655" s="909" t="s">
        <v>165</v>
      </c>
      <c r="N1655" s="828" t="str">
        <f>IF(AND('331-CT'!$E$7=TH!H1655,OR(L1655="331",M1655="331")),"331",IF(AND(OR(L1655="131",M1655="131"),H1655='131-CT'!$E$7),"131",""))</f>
        <v/>
      </c>
      <c r="O1655" s="828" t="str">
        <f>IF(AND($B1655&gt;='111'!$N$11,$B1655&lt;='111'!$O$11,OR($L1655=$O$7,$M1655=$O$7)),"x","")</f>
        <v/>
      </c>
      <c r="P1655" s="828" t="str">
        <f>IF(AND($L1655=$O$7,$B1655&lt;'111'!$N$11),"x","")</f>
        <v/>
      </c>
      <c r="Q1655" s="828" t="str">
        <f>IF(AND($M1655=$O$7,$B1655&lt;'111'!$N$11),"x","")</f>
        <v/>
      </c>
      <c r="R1655" s="828" t="str">
        <f>IF(ISERROR(FIND('112'!$M$9,G1655,1)),"",IF((AND(FIND('112'!$M$9,G1655,1)&gt;=1,$B1655&gt;='112'!$N$8,$B1655&lt;='112'!$O$8,OR($L1655='112'!$I$6,$M1655='112'!$I$6))),"x",""))</f>
        <v/>
      </c>
      <c r="S1655" s="828" t="str">
        <f>IF(ISERROR(FIND('112'!$M$9,G1655,1)),"",IF((AND(LEFT(G1655,2)=LEFT('112'!$M$9,2),B1655&lt;'112'!$N$8,$L1655='112'!$I$6)),"x",""))</f>
        <v/>
      </c>
      <c r="T1655" s="828" t="str">
        <f>IF(ISERROR(FIND('112'!$M$9,G1655,1)),"",IF((AND(RIGHT(G1655,2)=RIGHT('112'!$M$9,2),B1655&lt;'112'!$N$8,$M1655='112'!$I$6)),"x",""))</f>
        <v/>
      </c>
      <c r="U1655" s="828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828" t="str">
        <f>IF(OR(TH!L1655=TH!$V$7,M1655=TH!$V$7),"x","")</f>
        <v/>
      </c>
      <c r="W1655" s="828" t="str">
        <f>IF(AND(B1655&gt;='IN-NX'!$P$3,B1655&lt;='IN-NX'!$Q$3,'IN-NX'!$D$7=D1655,OR(LEFT(L1655,2)="15",AND(LEFT(M1655,2)&lt;&gt;"15",LEFT(M1655,2)&lt;&gt;"33"))),"x","")</f>
        <v/>
      </c>
      <c r="X1655" s="828" t="str">
        <f>IF(AND(OR(LEFT(TH!L1655,2)="15",LEFT(TH!M1655,2)="15"),'152-CT'!$J$8=TH!F1655),"x","")</f>
        <v/>
      </c>
      <c r="Y1655" s="828" t="str">
        <f>IF(AND(OR(LEFT(TH!L1655,2)="15",LEFT(TH!M1655,2)="15"),TK!$E$7=TH!F1655),"x","")</f>
        <v/>
      </c>
      <c r="Z1655" s="828" t="str">
        <f>IF(AND(B1655&lt;=NKC!$N$8,B1655&gt;=NKC!$M$8),"x","")</f>
        <v/>
      </c>
      <c r="AA1655" s="910"/>
    </row>
    <row r="1656" spans="1:27" s="808" customFormat="1" ht="15.75" customHeight="1">
      <c r="A1656" s="893" t="str">
        <f>IF(B1656&lt;&gt;"",IF(AND(B1656&gt;=_TM1,B1656&lt;=_TM2,OR(TH!L1656="1111",TH!M1656="1111")),TH!D1656,""),"")</f>
        <v/>
      </c>
      <c r="B1656" s="700">
        <f t="shared" si="460"/>
        <v>10</v>
      </c>
      <c r="C1656" s="833">
        <f t="shared" si="458"/>
        <v>41548</v>
      </c>
      <c r="D1656" s="833" t="s">
        <v>1293</v>
      </c>
      <c r="E1656" s="851">
        <v>41548</v>
      </c>
      <c r="F1656" s="918" t="s">
        <v>940</v>
      </c>
      <c r="G1656" s="49" t="s">
        <v>946</v>
      </c>
      <c r="H1656" s="837" t="s">
        <v>1289</v>
      </c>
      <c r="I1656" s="254">
        <v>98</v>
      </c>
      <c r="J1656" s="254">
        <v>15727.479988011059</v>
      </c>
      <c r="K1656" s="701">
        <f t="shared" si="459"/>
        <v>1541293</v>
      </c>
      <c r="L1656" s="52" t="s">
        <v>167</v>
      </c>
      <c r="M1656" s="896" t="s">
        <v>165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52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50"/>
    </row>
    <row r="1657" spans="1:27" s="808" customFormat="1" ht="15.75" customHeight="1">
      <c r="A1657" s="893" t="str">
        <f>IF(B1657&lt;&gt;"",IF(AND(B1657&gt;=_TM1,B1657&lt;=_TM2,OR(TH!L1657="1111",TH!M1657="1111")),TH!D1657,""),"")</f>
        <v/>
      </c>
      <c r="B1657" s="700">
        <f t="shared" si="460"/>
        <v>10</v>
      </c>
      <c r="C1657" s="833">
        <f t="shared" si="458"/>
        <v>41548</v>
      </c>
      <c r="D1657" s="833" t="s">
        <v>1293</v>
      </c>
      <c r="E1657" s="851">
        <v>41548</v>
      </c>
      <c r="F1657" s="918" t="s">
        <v>1154</v>
      </c>
      <c r="G1657" s="49" t="s">
        <v>947</v>
      </c>
      <c r="H1657" s="837" t="s">
        <v>1289</v>
      </c>
      <c r="I1657" s="921">
        <v>1554</v>
      </c>
      <c r="J1657" s="254">
        <v>4656.7469488494489</v>
      </c>
      <c r="K1657" s="701">
        <f t="shared" si="459"/>
        <v>7236585</v>
      </c>
      <c r="L1657" s="52" t="s">
        <v>167</v>
      </c>
      <c r="M1657" s="896" t="s">
        <v>165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52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50"/>
    </row>
    <row r="1658" spans="1:27" s="808" customFormat="1" ht="15.75" customHeight="1">
      <c r="A1658" s="893" t="str">
        <f>IF(B1658&lt;&gt;"",IF(AND(B1658&gt;=_TM1,B1658&lt;=_TM2,OR(TH!L1658="1111",TH!M1658="1111")),TH!D1658,""),"")</f>
        <v/>
      </c>
      <c r="B1658" s="700">
        <f t="shared" si="460"/>
        <v>10</v>
      </c>
      <c r="C1658" s="833">
        <f t="shared" si="458"/>
        <v>41548</v>
      </c>
      <c r="D1658" s="833" t="s">
        <v>1293</v>
      </c>
      <c r="E1658" s="851">
        <v>41548</v>
      </c>
      <c r="F1658" s="918" t="s">
        <v>874</v>
      </c>
      <c r="G1658" s="49" t="s">
        <v>947</v>
      </c>
      <c r="H1658" s="837" t="s">
        <v>1289</v>
      </c>
      <c r="I1658" s="254">
        <v>525</v>
      </c>
      <c r="J1658" s="254">
        <v>11432.585430187928</v>
      </c>
      <c r="K1658" s="701">
        <f t="shared" si="459"/>
        <v>6002107</v>
      </c>
      <c r="L1658" s="52" t="s">
        <v>167</v>
      </c>
      <c r="M1658" s="896" t="s">
        <v>165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52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50"/>
    </row>
    <row r="1659" spans="1:27" s="808" customFormat="1" ht="15.75" customHeight="1">
      <c r="A1659" s="893" t="str">
        <f>IF(B1659&lt;&gt;"",IF(AND(B1659&gt;=_TM1,B1659&lt;=_TM2,OR(TH!L1659="1111",TH!M1659="1111")),TH!D1659,""),"")</f>
        <v/>
      </c>
      <c r="B1659" s="700">
        <f t="shared" si="460"/>
        <v>10</v>
      </c>
      <c r="C1659" s="833">
        <f t="shared" si="458"/>
        <v>41548</v>
      </c>
      <c r="D1659" s="833" t="s">
        <v>1293</v>
      </c>
      <c r="E1659" s="851">
        <v>41548</v>
      </c>
      <c r="F1659" s="918" t="s">
        <v>845</v>
      </c>
      <c r="G1659" s="49" t="s">
        <v>948</v>
      </c>
      <c r="H1659" s="837" t="s">
        <v>1289</v>
      </c>
      <c r="I1659" s="254">
        <v>220</v>
      </c>
      <c r="J1659" s="254">
        <v>18398.035646638145</v>
      </c>
      <c r="K1659" s="701">
        <f t="shared" si="459"/>
        <v>4047568</v>
      </c>
      <c r="L1659" s="52" t="s">
        <v>167</v>
      </c>
      <c r="M1659" s="896" t="s">
        <v>165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52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50"/>
    </row>
    <row r="1660" spans="1:27" s="808" customFormat="1" ht="15.75" customHeight="1">
      <c r="A1660" s="893" t="str">
        <f>IF(B1660&lt;&gt;"",IF(AND(B1660&gt;=_TM1,B1660&lt;=_TM2,OR(TH!L1660="1111",TH!M1660="1111")),TH!D1660,""),"")</f>
        <v/>
      </c>
      <c r="B1660" s="700">
        <f t="shared" si="460"/>
        <v>10</v>
      </c>
      <c r="C1660" s="833">
        <f t="shared" si="458"/>
        <v>41549</v>
      </c>
      <c r="D1660" s="833" t="s">
        <v>1293</v>
      </c>
      <c r="E1660" s="851">
        <v>41549</v>
      </c>
      <c r="F1660" s="918" t="s">
        <v>1151</v>
      </c>
      <c r="G1660" s="49" t="s">
        <v>949</v>
      </c>
      <c r="H1660" s="837" t="s">
        <v>1289</v>
      </c>
      <c r="I1660" s="254">
        <v>3397</v>
      </c>
      <c r="J1660" s="254">
        <v>3785.9982874709676</v>
      </c>
      <c r="K1660" s="701">
        <f t="shared" si="459"/>
        <v>12861036</v>
      </c>
      <c r="L1660" s="52" t="s">
        <v>167</v>
      </c>
      <c r="M1660" s="896" t="s">
        <v>165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52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50"/>
    </row>
    <row r="1661" spans="1:27" s="808" customFormat="1" ht="15.75" customHeight="1">
      <c r="A1661" s="893" t="str">
        <f>IF(B1661&lt;&gt;"",IF(AND(B1661&gt;=_TM1,B1661&lt;=_TM2,OR(TH!L1661="1111",TH!M1661="1111")),TH!D1661,""),"")</f>
        <v/>
      </c>
      <c r="B1661" s="700">
        <f t="shared" si="460"/>
        <v>10</v>
      </c>
      <c r="C1661" s="833">
        <f t="shared" si="458"/>
        <v>41550</v>
      </c>
      <c r="D1661" s="833" t="s">
        <v>1293</v>
      </c>
      <c r="E1661" s="851">
        <v>41550</v>
      </c>
      <c r="F1661" s="918" t="s">
        <v>944</v>
      </c>
      <c r="G1661" s="49" t="s">
        <v>951</v>
      </c>
      <c r="H1661" s="837" t="s">
        <v>1289</v>
      </c>
      <c r="I1661" s="254">
        <v>494</v>
      </c>
      <c r="J1661" s="254">
        <v>4562.1136738740688</v>
      </c>
      <c r="K1661" s="701">
        <f t="shared" si="459"/>
        <v>2253684</v>
      </c>
      <c r="L1661" s="52" t="s">
        <v>167</v>
      </c>
      <c r="M1661" s="896" t="s">
        <v>165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52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50"/>
    </row>
    <row r="1662" spans="1:27" s="808" customFormat="1" ht="15.75" customHeight="1">
      <c r="A1662" s="893" t="str">
        <f>IF(B1662&lt;&gt;"",IF(AND(B1662&gt;=_TM1,B1662&lt;=_TM2,OR(TH!L1662="1111",TH!M1662="1111")),TH!D1662,""),"")</f>
        <v/>
      </c>
      <c r="B1662" s="700">
        <f t="shared" si="460"/>
        <v>10</v>
      </c>
      <c r="C1662" s="833">
        <f t="shared" si="458"/>
        <v>41550</v>
      </c>
      <c r="D1662" s="833" t="s">
        <v>1293</v>
      </c>
      <c r="E1662" s="851">
        <v>41550</v>
      </c>
      <c r="F1662" s="918" t="s">
        <v>952</v>
      </c>
      <c r="G1662" s="49" t="s">
        <v>951</v>
      </c>
      <c r="H1662" s="837" t="s">
        <v>1289</v>
      </c>
      <c r="I1662" s="254">
        <v>509</v>
      </c>
      <c r="J1662" s="254">
        <v>4666.9675987724559</v>
      </c>
      <c r="K1662" s="701">
        <f t="shared" si="459"/>
        <v>2375487</v>
      </c>
      <c r="L1662" s="52" t="s">
        <v>167</v>
      </c>
      <c r="M1662" s="896" t="s">
        <v>165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52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50"/>
    </row>
    <row r="1663" spans="1:27" s="808" customFormat="1" ht="15.75" customHeight="1">
      <c r="A1663" s="893" t="str">
        <f>IF(B1663&lt;&gt;"",IF(AND(B1663&gt;=_TM1,B1663&lt;=_TM2,OR(TH!L1663="1111",TH!M1663="1111")),TH!D1663,""),"")</f>
        <v/>
      </c>
      <c r="B1663" s="700">
        <f t="shared" si="460"/>
        <v>10</v>
      </c>
      <c r="C1663" s="833">
        <f t="shared" si="458"/>
        <v>41552</v>
      </c>
      <c r="D1663" s="833" t="s">
        <v>1293</v>
      </c>
      <c r="E1663" s="851">
        <v>41552</v>
      </c>
      <c r="F1663" s="918" t="s">
        <v>1151</v>
      </c>
      <c r="G1663" s="49" t="s">
        <v>953</v>
      </c>
      <c r="H1663" s="837" t="s">
        <v>1289</v>
      </c>
      <c r="I1663" s="254">
        <v>103</v>
      </c>
      <c r="J1663" s="254">
        <v>3955.5775707334697</v>
      </c>
      <c r="K1663" s="701">
        <f t="shared" si="459"/>
        <v>407424</v>
      </c>
      <c r="L1663" s="52" t="s">
        <v>167</v>
      </c>
      <c r="M1663" s="896" t="s">
        <v>165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52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50"/>
    </row>
    <row r="1664" spans="1:27" s="808" customFormat="1" ht="15.75" customHeight="1">
      <c r="A1664" s="893" t="str">
        <f>IF(B1664&lt;&gt;"",IF(AND(B1664&gt;=_TM1,B1664&lt;=_TM2,OR(TH!L1664="1111",TH!M1664="1111")),TH!D1664,""),"")</f>
        <v/>
      </c>
      <c r="B1664" s="700">
        <f t="shared" si="460"/>
        <v>10</v>
      </c>
      <c r="C1664" s="833">
        <f t="shared" si="458"/>
        <v>41552</v>
      </c>
      <c r="D1664" s="833" t="s">
        <v>1293</v>
      </c>
      <c r="E1664" s="851">
        <v>41552</v>
      </c>
      <c r="F1664" s="918" t="s">
        <v>1148</v>
      </c>
      <c r="G1664" s="49" t="s">
        <v>953</v>
      </c>
      <c r="H1664" s="837" t="s">
        <v>1289</v>
      </c>
      <c r="I1664" s="254">
        <v>2658</v>
      </c>
      <c r="J1664" s="254">
        <v>4322.7422613176732</v>
      </c>
      <c r="K1664" s="701">
        <f t="shared" si="459"/>
        <v>11489849</v>
      </c>
      <c r="L1664" s="52" t="s">
        <v>167</v>
      </c>
      <c r="M1664" s="896" t="s">
        <v>165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52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50"/>
    </row>
    <row r="1665" spans="1:27" s="808" customFormat="1" ht="15.75" customHeight="1">
      <c r="A1665" s="893" t="str">
        <f>IF(B1665&lt;&gt;"",IF(AND(B1665&gt;=_TM1,B1665&lt;=_TM2,OR(TH!L1665="1111",TH!M1665="1111")),TH!D1665,""),"")</f>
        <v/>
      </c>
      <c r="B1665" s="700">
        <f t="shared" si="460"/>
        <v>10</v>
      </c>
      <c r="C1665" s="833">
        <f t="shared" si="458"/>
        <v>41552</v>
      </c>
      <c r="D1665" s="833" t="s">
        <v>1293</v>
      </c>
      <c r="E1665" s="894">
        <v>41552</v>
      </c>
      <c r="F1665" s="918" t="s">
        <v>1135</v>
      </c>
      <c r="G1665" s="919" t="s">
        <v>954</v>
      </c>
      <c r="H1665" s="837" t="s">
        <v>1289</v>
      </c>
      <c r="I1665" s="254">
        <v>2260</v>
      </c>
      <c r="J1665" s="254">
        <v>6517.9901920926932</v>
      </c>
      <c r="K1665" s="701">
        <f t="shared" si="459"/>
        <v>14730658</v>
      </c>
      <c r="L1665" s="52" t="s">
        <v>167</v>
      </c>
      <c r="M1665" s="896" t="s">
        <v>165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52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50"/>
    </row>
    <row r="1666" spans="1:27" s="808" customFormat="1" ht="15.75" customHeight="1">
      <c r="A1666" s="893" t="str">
        <f>IF(B1666&lt;&gt;"",IF(AND(B1666&gt;=_TM1,B1666&lt;=_TM2,OR(TH!L1666="1111",TH!M1666="1111")),TH!D1666,""),"")</f>
        <v/>
      </c>
      <c r="B1666" s="700">
        <f t="shared" si="460"/>
        <v>10</v>
      </c>
      <c r="C1666" s="833">
        <f t="shared" si="458"/>
        <v>41555</v>
      </c>
      <c r="D1666" s="833" t="s">
        <v>1293</v>
      </c>
      <c r="E1666" s="833">
        <v>41555</v>
      </c>
      <c r="F1666" s="895" t="s">
        <v>865</v>
      </c>
      <c r="G1666" s="834" t="s">
        <v>955</v>
      </c>
      <c r="H1666" s="837" t="s">
        <v>1289</v>
      </c>
      <c r="I1666" s="254">
        <v>516</v>
      </c>
      <c r="J1666" s="254">
        <v>19797.521199844628</v>
      </c>
      <c r="K1666" s="701">
        <f t="shared" si="459"/>
        <v>10215521</v>
      </c>
      <c r="L1666" s="52" t="s">
        <v>167</v>
      </c>
      <c r="M1666" s="896" t="s">
        <v>165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52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50"/>
    </row>
    <row r="1667" spans="1:27" s="808" customFormat="1" ht="15.75" customHeight="1">
      <c r="A1667" s="893" t="str">
        <f>IF(B1667&lt;&gt;"",IF(AND(B1667&gt;=_TM1,B1667&lt;=_TM2,OR(TH!L1667="1111",TH!M1667="1111")),TH!D1667,""),"")</f>
        <v/>
      </c>
      <c r="B1667" s="700">
        <f t="shared" si="460"/>
        <v>10</v>
      </c>
      <c r="C1667" s="833">
        <f t="shared" si="458"/>
        <v>41557</v>
      </c>
      <c r="D1667" s="833" t="s">
        <v>1293</v>
      </c>
      <c r="E1667" s="833">
        <v>41557</v>
      </c>
      <c r="F1667" s="895" t="s">
        <v>1129</v>
      </c>
      <c r="G1667" s="834" t="s">
        <v>956</v>
      </c>
      <c r="H1667" s="837" t="s">
        <v>1289</v>
      </c>
      <c r="I1667" s="254">
        <v>304</v>
      </c>
      <c r="J1667" s="254">
        <v>6506.4901920926923</v>
      </c>
      <c r="K1667" s="701">
        <f t="shared" si="459"/>
        <v>1977973</v>
      </c>
      <c r="L1667" s="52" t="s">
        <v>167</v>
      </c>
      <c r="M1667" s="896" t="s">
        <v>165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52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50"/>
    </row>
    <row r="1668" spans="1:27" s="808" customFormat="1" ht="15.75" customHeight="1">
      <c r="A1668" s="893" t="str">
        <f>IF(B1668&lt;&gt;"",IF(AND(B1668&gt;=_TM1,B1668&lt;=_TM2,OR(TH!L1668="1111",TH!M1668="1111")),TH!D1668,""),"")</f>
        <v/>
      </c>
      <c r="B1668" s="700">
        <f t="shared" si="460"/>
        <v>10</v>
      </c>
      <c r="C1668" s="833">
        <f t="shared" si="458"/>
        <v>41563</v>
      </c>
      <c r="D1668" s="833" t="s">
        <v>1293</v>
      </c>
      <c r="E1668" s="833">
        <v>41563</v>
      </c>
      <c r="F1668" s="895" t="s">
        <v>836</v>
      </c>
      <c r="G1668" s="834" t="s">
        <v>957</v>
      </c>
      <c r="H1668" s="837" t="s">
        <v>1289</v>
      </c>
      <c r="I1668" s="254">
        <v>996</v>
      </c>
      <c r="J1668" s="254">
        <v>9477.6267382774313</v>
      </c>
      <c r="K1668" s="701">
        <f t="shared" si="459"/>
        <v>9439716</v>
      </c>
      <c r="L1668" s="52" t="s">
        <v>167</v>
      </c>
      <c r="M1668" s="896" t="s">
        <v>165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52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50"/>
    </row>
    <row r="1669" spans="1:27" s="808" customFormat="1" ht="15.75" customHeight="1">
      <c r="A1669" s="893" t="str">
        <f>IF(B1669&lt;&gt;"",IF(AND(B1669&gt;=_TM1,B1669&lt;=_TM2,OR(TH!L1669="1111",TH!M1669="1111")),TH!D1669,""),"")</f>
        <v/>
      </c>
      <c r="B1669" s="700">
        <f t="shared" si="460"/>
        <v>10</v>
      </c>
      <c r="C1669" s="833">
        <f t="shared" si="458"/>
        <v>41563</v>
      </c>
      <c r="D1669" s="833" t="s">
        <v>1293</v>
      </c>
      <c r="E1669" s="833">
        <v>41563</v>
      </c>
      <c r="F1669" s="895" t="s">
        <v>1158</v>
      </c>
      <c r="G1669" s="834" t="s">
        <v>958</v>
      </c>
      <c r="H1669" s="837" t="s">
        <v>1289</v>
      </c>
      <c r="I1669" s="254">
        <v>1400</v>
      </c>
      <c r="J1669" s="254">
        <v>4845.6401920926928</v>
      </c>
      <c r="K1669" s="701">
        <f t="shared" si="459"/>
        <v>6783896</v>
      </c>
      <c r="L1669" s="52" t="s">
        <v>167</v>
      </c>
      <c r="M1669" s="896" t="s">
        <v>165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52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50"/>
    </row>
    <row r="1670" spans="1:27" s="808" customFormat="1" ht="15.75" customHeight="1">
      <c r="A1670" s="893" t="str">
        <f>IF(B1670&lt;&gt;"",IF(AND(B1670&gt;=_TM1,B1670&lt;=_TM2,OR(TH!L1670="1111",TH!M1670="1111")),TH!D1670,""),"")</f>
        <v/>
      </c>
      <c r="B1670" s="700">
        <f t="shared" si="460"/>
        <v>10</v>
      </c>
      <c r="C1670" s="833">
        <f t="shared" si="458"/>
        <v>41563</v>
      </c>
      <c r="D1670" s="833" t="s">
        <v>1293</v>
      </c>
      <c r="E1670" s="833">
        <v>41563</v>
      </c>
      <c r="F1670" s="895" t="s">
        <v>1148</v>
      </c>
      <c r="G1670" s="834" t="s">
        <v>959</v>
      </c>
      <c r="H1670" s="837" t="s">
        <v>1289</v>
      </c>
      <c r="I1670" s="254">
        <v>5391</v>
      </c>
      <c r="J1670" s="254">
        <v>4059.7951447916353</v>
      </c>
      <c r="K1670" s="701">
        <f t="shared" si="459"/>
        <v>21886356</v>
      </c>
      <c r="L1670" s="52" t="s">
        <v>167</v>
      </c>
      <c r="M1670" s="896" t="s">
        <v>165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52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50"/>
    </row>
    <row r="1671" spans="1:27" s="808" customFormat="1" ht="15.75" customHeight="1">
      <c r="A1671" s="893" t="str">
        <f>IF(B1671&lt;&gt;"",IF(AND(B1671&gt;=_TM1,B1671&lt;=_TM2,OR(TH!L1671="1111",TH!M1671="1111")),TH!D1671,""),"")</f>
        <v/>
      </c>
      <c r="B1671" s="700">
        <f t="shared" si="460"/>
        <v>10</v>
      </c>
      <c r="C1671" s="833">
        <f t="shared" si="458"/>
        <v>41565</v>
      </c>
      <c r="D1671" s="833" t="s">
        <v>1293</v>
      </c>
      <c r="E1671" s="48">
        <v>41565</v>
      </c>
      <c r="F1671" s="49" t="s">
        <v>938</v>
      </c>
      <c r="G1671" s="49" t="s">
        <v>960</v>
      </c>
      <c r="H1671" s="837" t="s">
        <v>1289</v>
      </c>
      <c r="I1671" s="254">
        <v>100</v>
      </c>
      <c r="J1671" s="254">
        <v>17903.490192092693</v>
      </c>
      <c r="K1671" s="701">
        <f t="shared" si="459"/>
        <v>1790349</v>
      </c>
      <c r="L1671" s="52" t="s">
        <v>167</v>
      </c>
      <c r="M1671" s="896" t="s">
        <v>165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52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50"/>
    </row>
    <row r="1672" spans="1:27" s="808" customFormat="1" ht="15.75" customHeight="1">
      <c r="A1672" s="893" t="str">
        <f>IF(B1672&lt;&gt;"",IF(AND(B1672&gt;=_TM1,B1672&lt;=_TM2,OR(TH!L1672="1111",TH!M1672="1111")),TH!D1672,""),"")</f>
        <v/>
      </c>
      <c r="B1672" s="700">
        <f t="shared" si="460"/>
        <v>10</v>
      </c>
      <c r="C1672" s="833">
        <f t="shared" si="458"/>
        <v>41566</v>
      </c>
      <c r="D1672" s="833" t="s">
        <v>1293</v>
      </c>
      <c r="E1672" s="48">
        <v>41566</v>
      </c>
      <c r="F1672" s="49" t="s">
        <v>1140</v>
      </c>
      <c r="G1672" s="49" t="s">
        <v>961</v>
      </c>
      <c r="H1672" s="837" t="s">
        <v>1289</v>
      </c>
      <c r="I1672" s="254">
        <v>1157</v>
      </c>
      <c r="J1672" s="254">
        <v>4680.8869077365989</v>
      </c>
      <c r="K1672" s="701">
        <f t="shared" si="459"/>
        <v>5415786</v>
      </c>
      <c r="L1672" s="52" t="s">
        <v>167</v>
      </c>
      <c r="M1672" s="896" t="s">
        <v>165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52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50"/>
    </row>
    <row r="1673" spans="1:27" s="808" customFormat="1" ht="15.75" customHeight="1">
      <c r="A1673" s="893" t="str">
        <f>IF(B1673&lt;&gt;"",IF(AND(B1673&gt;=_TM1,B1673&lt;=_TM2,OR(TH!L1673="1111",TH!M1673="1111")),TH!D1673,""),"")</f>
        <v/>
      </c>
      <c r="B1673" s="700">
        <f t="shared" si="460"/>
        <v>10</v>
      </c>
      <c r="C1673" s="833">
        <f t="shared" si="458"/>
        <v>41566</v>
      </c>
      <c r="D1673" s="833" t="s">
        <v>1293</v>
      </c>
      <c r="E1673" s="894">
        <v>41566</v>
      </c>
      <c r="F1673" s="918" t="s">
        <v>962</v>
      </c>
      <c r="G1673" s="919" t="s">
        <v>961</v>
      </c>
      <c r="H1673" s="837" t="s">
        <v>1289</v>
      </c>
      <c r="I1673" s="254">
        <v>220</v>
      </c>
      <c r="J1673" s="254">
        <v>7902.0356466381472</v>
      </c>
      <c r="K1673" s="701">
        <f t="shared" si="459"/>
        <v>1738448</v>
      </c>
      <c r="L1673" s="52" t="s">
        <v>167</v>
      </c>
      <c r="M1673" s="896" t="s">
        <v>165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52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50"/>
    </row>
    <row r="1674" spans="1:27" s="808" customFormat="1" ht="15.75" customHeight="1">
      <c r="A1674" s="893" t="str">
        <f>IF(B1674&lt;&gt;"",IF(AND(B1674&gt;=_TM1,B1674&lt;=_TM2,OR(TH!L1674="1111",TH!M1674="1111")),TH!D1674,""),"")</f>
        <v/>
      </c>
      <c r="B1674" s="700">
        <f t="shared" si="460"/>
        <v>10</v>
      </c>
      <c r="C1674" s="833">
        <f t="shared" si="458"/>
        <v>41568</v>
      </c>
      <c r="D1674" s="833" t="s">
        <v>1293</v>
      </c>
      <c r="E1674" s="894">
        <v>41568</v>
      </c>
      <c r="F1674" s="918" t="s">
        <v>729</v>
      </c>
      <c r="G1674" s="919" t="s">
        <v>963</v>
      </c>
      <c r="H1674" s="837" t="s">
        <v>1289</v>
      </c>
      <c r="I1674" s="254">
        <v>529</v>
      </c>
      <c r="J1674" s="254">
        <v>8357.4788499376828</v>
      </c>
      <c r="K1674" s="701">
        <f t="shared" si="459"/>
        <v>4421106</v>
      </c>
      <c r="L1674" s="52" t="s">
        <v>167</v>
      </c>
      <c r="M1674" s="896" t="s">
        <v>165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52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50"/>
    </row>
    <row r="1675" spans="1:27" s="808" customFormat="1" ht="15.75" customHeight="1">
      <c r="A1675" s="893" t="str">
        <f>IF(B1675&lt;&gt;"",IF(AND(B1675&gt;=_TM1,B1675&lt;=_TM2,OR(TH!L1675="1111",TH!M1675="1111")),TH!D1675,""),"")</f>
        <v/>
      </c>
      <c r="B1675" s="700">
        <f t="shared" si="460"/>
        <v>10</v>
      </c>
      <c r="C1675" s="833">
        <f t="shared" si="458"/>
        <v>41568</v>
      </c>
      <c r="D1675" s="833" t="s">
        <v>1293</v>
      </c>
      <c r="E1675" s="894">
        <v>41568</v>
      </c>
      <c r="F1675" s="918" t="s">
        <v>964</v>
      </c>
      <c r="G1675" s="919" t="s">
        <v>965</v>
      </c>
      <c r="H1675" s="837" t="s">
        <v>1289</v>
      </c>
      <c r="I1675" s="254">
        <v>80</v>
      </c>
      <c r="J1675" s="254">
        <v>3398.4651920926926</v>
      </c>
      <c r="K1675" s="701">
        <f t="shared" si="459"/>
        <v>271877</v>
      </c>
      <c r="L1675" s="52" t="s">
        <v>167</v>
      </c>
      <c r="M1675" s="896" t="s">
        <v>165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52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50"/>
    </row>
    <row r="1676" spans="1:27" s="808" customFormat="1" ht="15.75" customHeight="1">
      <c r="A1676" s="893" t="str">
        <f>IF(B1676&lt;&gt;"",IF(AND(B1676&gt;=_TM1,B1676&lt;=_TM2,OR(TH!L1676="1111",TH!M1676="1111")),TH!D1676,""),"")</f>
        <v/>
      </c>
      <c r="B1676" s="700">
        <f t="shared" si="460"/>
        <v>10</v>
      </c>
      <c r="C1676" s="833">
        <f t="shared" si="458"/>
        <v>41568</v>
      </c>
      <c r="D1676" s="833" t="s">
        <v>1293</v>
      </c>
      <c r="E1676" s="894">
        <v>41568</v>
      </c>
      <c r="F1676" s="918" t="s">
        <v>966</v>
      </c>
      <c r="G1676" s="919" t="s">
        <v>965</v>
      </c>
      <c r="H1676" s="837" t="s">
        <v>1289</v>
      </c>
      <c r="I1676" s="254">
        <v>80</v>
      </c>
      <c r="J1676" s="254">
        <v>3911.7401920926918</v>
      </c>
      <c r="K1676" s="701">
        <f t="shared" si="459"/>
        <v>312939</v>
      </c>
      <c r="L1676" s="52" t="s">
        <v>167</v>
      </c>
      <c r="M1676" s="896" t="s">
        <v>165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52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50"/>
    </row>
    <row r="1677" spans="1:27" s="808" customFormat="1" ht="15.75" customHeight="1">
      <c r="A1677" s="893" t="str">
        <f>IF(B1677&lt;&gt;"",IF(AND(B1677&gt;=_TM1,B1677&lt;=_TM2,OR(TH!L1677="1111",TH!M1677="1111")),TH!D1677,""),"")</f>
        <v/>
      </c>
      <c r="B1677" s="700">
        <f t="shared" si="460"/>
        <v>10</v>
      </c>
      <c r="C1677" s="833">
        <f t="shared" si="458"/>
        <v>41568</v>
      </c>
      <c r="D1677" s="833" t="s">
        <v>1293</v>
      </c>
      <c r="E1677" s="894">
        <v>41568</v>
      </c>
      <c r="F1677" s="918" t="s">
        <v>1162</v>
      </c>
      <c r="G1677" s="919" t="s">
        <v>965</v>
      </c>
      <c r="H1677" s="837" t="s">
        <v>1289</v>
      </c>
      <c r="I1677" s="254">
        <v>79</v>
      </c>
      <c r="J1677" s="254">
        <v>4626.5281667762365</v>
      </c>
      <c r="K1677" s="701">
        <f t="shared" si="459"/>
        <v>365496</v>
      </c>
      <c r="L1677" s="52" t="s">
        <v>167</v>
      </c>
      <c r="M1677" s="896" t="s">
        <v>165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52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50"/>
    </row>
    <row r="1678" spans="1:27" s="808" customFormat="1" ht="15.75" customHeight="1">
      <c r="A1678" s="893" t="str">
        <f>IF(B1678&lt;&gt;"",IF(AND(B1678&gt;=_TM1,B1678&lt;=_TM2,OR(TH!L1678="1111",TH!M1678="1111")),TH!D1678,""),"")</f>
        <v/>
      </c>
      <c r="B1678" s="700">
        <f t="shared" si="460"/>
        <v>10</v>
      </c>
      <c r="C1678" s="833">
        <f t="shared" ref="C1678:C1741" si="461">E1678</f>
        <v>41568</v>
      </c>
      <c r="D1678" s="833" t="s">
        <v>1293</v>
      </c>
      <c r="E1678" s="894">
        <v>41568</v>
      </c>
      <c r="F1678" s="918" t="s">
        <v>1159</v>
      </c>
      <c r="G1678" s="919" t="s">
        <v>965</v>
      </c>
      <c r="H1678" s="837" t="s">
        <v>1289</v>
      </c>
      <c r="I1678" s="254">
        <v>82</v>
      </c>
      <c r="J1678" s="254">
        <v>4038.9779969707411</v>
      </c>
      <c r="K1678" s="701">
        <f t="shared" ref="K1678:K1693" si="462">ROUND(I1678*J1678,0)</f>
        <v>331196</v>
      </c>
      <c r="L1678" s="52" t="s">
        <v>167</v>
      </c>
      <c r="M1678" s="896" t="s">
        <v>165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52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50"/>
    </row>
    <row r="1679" spans="1:27" s="808" customFormat="1" ht="15.75" customHeight="1">
      <c r="A1679" s="893" t="str">
        <f>IF(B1679&lt;&gt;"",IF(AND(B1679&gt;=_TM1,B1679&lt;=_TM2,OR(TH!L1679="1111",TH!M1679="1111")),TH!D1679,""),"")</f>
        <v/>
      </c>
      <c r="B1679" s="700">
        <f t="shared" si="460"/>
        <v>10</v>
      </c>
      <c r="C1679" s="833">
        <f t="shared" si="461"/>
        <v>41568</v>
      </c>
      <c r="D1679" s="833" t="s">
        <v>1293</v>
      </c>
      <c r="E1679" s="894">
        <v>41568</v>
      </c>
      <c r="F1679" s="918" t="s">
        <v>967</v>
      </c>
      <c r="G1679" s="919" t="s">
        <v>965</v>
      </c>
      <c r="H1679" s="837" t="s">
        <v>1289</v>
      </c>
      <c r="I1679" s="254">
        <v>81</v>
      </c>
      <c r="J1679" s="254">
        <v>6437.8111797470137</v>
      </c>
      <c r="K1679" s="701">
        <f t="shared" si="462"/>
        <v>521463</v>
      </c>
      <c r="L1679" s="52" t="s">
        <v>167</v>
      </c>
      <c r="M1679" s="896" t="s">
        <v>165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52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50"/>
    </row>
    <row r="1680" spans="1:27" s="808" customFormat="1" ht="15.75" customHeight="1">
      <c r="A1680" s="893" t="str">
        <f>IF(B1680&lt;&gt;"",IF(AND(B1680&gt;=_TM1,B1680&lt;=_TM2,OR(TH!L1680="1111",TH!M1680="1111")),TH!D1680,""),"")</f>
        <v/>
      </c>
      <c r="B1680" s="700">
        <f t="shared" si="460"/>
        <v>10</v>
      </c>
      <c r="C1680" s="833">
        <f t="shared" si="461"/>
        <v>41568</v>
      </c>
      <c r="D1680" s="833" t="s">
        <v>1293</v>
      </c>
      <c r="E1680" s="833">
        <v>41568</v>
      </c>
      <c r="F1680" s="895" t="s">
        <v>968</v>
      </c>
      <c r="G1680" s="834" t="s">
        <v>965</v>
      </c>
      <c r="H1680" s="837" t="s">
        <v>1289</v>
      </c>
      <c r="I1680" s="254">
        <v>81</v>
      </c>
      <c r="J1680" s="254">
        <v>6411.3914266605943</v>
      </c>
      <c r="K1680" s="701">
        <f t="shared" si="462"/>
        <v>519323</v>
      </c>
      <c r="L1680" s="52" t="s">
        <v>167</v>
      </c>
      <c r="M1680" s="896" t="s">
        <v>165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52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50"/>
    </row>
    <row r="1681" spans="1:27" s="808" customFormat="1" ht="15.75" customHeight="1">
      <c r="A1681" s="893" t="str">
        <f>IF(B1681&lt;&gt;"",IF(AND(B1681&gt;=_TM1,B1681&lt;=_TM2,OR(TH!L1681="1111",TH!M1681="1111")),TH!D1681,""),"")</f>
        <v/>
      </c>
      <c r="B1681" s="700">
        <f t="shared" si="460"/>
        <v>10</v>
      </c>
      <c r="C1681" s="833">
        <f t="shared" si="461"/>
        <v>41568</v>
      </c>
      <c r="D1681" s="833" t="s">
        <v>1293</v>
      </c>
      <c r="E1681" s="833">
        <v>41568</v>
      </c>
      <c r="F1681" s="895" t="s">
        <v>969</v>
      </c>
      <c r="G1681" s="834" t="s">
        <v>970</v>
      </c>
      <c r="H1681" s="837" t="s">
        <v>1289</v>
      </c>
      <c r="I1681" s="254">
        <v>80</v>
      </c>
      <c r="J1681" s="254">
        <v>4676.6276920926921</v>
      </c>
      <c r="K1681" s="701">
        <f t="shared" si="462"/>
        <v>374130</v>
      </c>
      <c r="L1681" s="52" t="s">
        <v>167</v>
      </c>
      <c r="M1681" s="896" t="s">
        <v>165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52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50"/>
    </row>
    <row r="1682" spans="1:27" s="808" customFormat="1" ht="15.75" customHeight="1">
      <c r="A1682" s="893" t="str">
        <f>IF(B1682&lt;&gt;"",IF(AND(B1682&gt;=_TM1,B1682&lt;=_TM2,OR(TH!L1682="1111",TH!M1682="1111")),TH!D1682,""),"")</f>
        <v/>
      </c>
      <c r="B1682" s="700">
        <f t="shared" si="460"/>
        <v>10</v>
      </c>
      <c r="C1682" s="833">
        <f t="shared" si="461"/>
        <v>41568</v>
      </c>
      <c r="D1682" s="833" t="s">
        <v>1293</v>
      </c>
      <c r="E1682" s="851">
        <v>41568</v>
      </c>
      <c r="F1682" s="918" t="s">
        <v>971</v>
      </c>
      <c r="G1682" s="49" t="s">
        <v>970</v>
      </c>
      <c r="H1682" s="837" t="s">
        <v>1289</v>
      </c>
      <c r="I1682" s="254">
        <v>59</v>
      </c>
      <c r="J1682" s="254">
        <v>4642.1342598893016</v>
      </c>
      <c r="K1682" s="701">
        <f t="shared" si="462"/>
        <v>273886</v>
      </c>
      <c r="L1682" s="52" t="s">
        <v>167</v>
      </c>
      <c r="M1682" s="896" t="s">
        <v>165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52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50"/>
    </row>
    <row r="1683" spans="1:27" s="808" customFormat="1" ht="15.75" customHeight="1">
      <c r="A1683" s="893" t="str">
        <f>IF(B1683&lt;&gt;"",IF(AND(B1683&gt;=_TM1,B1683&lt;=_TM2,OR(TH!L1683="1111",TH!M1683="1111")),TH!D1683,""),"")</f>
        <v/>
      </c>
      <c r="B1683" s="700">
        <f t="shared" si="460"/>
        <v>10</v>
      </c>
      <c r="C1683" s="833">
        <f t="shared" si="461"/>
        <v>41568</v>
      </c>
      <c r="D1683" s="833" t="s">
        <v>1293</v>
      </c>
      <c r="E1683" s="851">
        <v>41568</v>
      </c>
      <c r="F1683" s="836" t="s">
        <v>972</v>
      </c>
      <c r="G1683" s="49" t="s">
        <v>970</v>
      </c>
      <c r="H1683" s="837" t="s">
        <v>1289</v>
      </c>
      <c r="I1683" s="254">
        <v>80</v>
      </c>
      <c r="J1683" s="254">
        <v>6479.7401920926914</v>
      </c>
      <c r="K1683" s="701">
        <f t="shared" si="462"/>
        <v>518379</v>
      </c>
      <c r="L1683" s="52" t="s">
        <v>167</v>
      </c>
      <c r="M1683" s="896" t="s">
        <v>165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52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50"/>
    </row>
    <row r="1684" spans="1:27" s="808" customFormat="1" ht="15.75" customHeight="1">
      <c r="A1684" s="893" t="str">
        <f>IF(B1684&lt;&gt;"",IF(AND(B1684&gt;=_TM1,B1684&lt;=_TM2,OR(TH!L1684="1111",TH!M1684="1111")),TH!D1684,""),"")</f>
        <v/>
      </c>
      <c r="B1684" s="700">
        <f t="shared" si="460"/>
        <v>10</v>
      </c>
      <c r="C1684" s="833">
        <f t="shared" si="461"/>
        <v>41568</v>
      </c>
      <c r="D1684" s="833" t="s">
        <v>1293</v>
      </c>
      <c r="E1684" s="851">
        <v>41568</v>
      </c>
      <c r="F1684" s="918" t="s">
        <v>973</v>
      </c>
      <c r="G1684" s="49" t="s">
        <v>970</v>
      </c>
      <c r="H1684" s="837" t="s">
        <v>1289</v>
      </c>
      <c r="I1684" s="921">
        <v>15</v>
      </c>
      <c r="J1684" s="254">
        <v>9328.4901920926932</v>
      </c>
      <c r="K1684" s="701">
        <f t="shared" si="462"/>
        <v>139927</v>
      </c>
      <c r="L1684" s="52" t="s">
        <v>167</v>
      </c>
      <c r="M1684" s="896" t="s">
        <v>165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52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50"/>
    </row>
    <row r="1685" spans="1:27" s="808" customFormat="1" ht="15.75" customHeight="1">
      <c r="A1685" s="893" t="str">
        <f>IF(B1685&lt;&gt;"",IF(AND(B1685&gt;=_TM1,B1685&lt;=_TM2,OR(TH!L1685="1111",TH!M1685="1111")),TH!D1685,""),"")</f>
        <v/>
      </c>
      <c r="B1685" s="700">
        <f t="shared" si="460"/>
        <v>10</v>
      </c>
      <c r="C1685" s="833">
        <f t="shared" si="461"/>
        <v>41568</v>
      </c>
      <c r="D1685" s="833" t="s">
        <v>1293</v>
      </c>
      <c r="E1685" s="851">
        <v>41568</v>
      </c>
      <c r="F1685" s="49" t="s">
        <v>974</v>
      </c>
      <c r="G1685" s="49" t="s">
        <v>970</v>
      </c>
      <c r="H1685" s="837" t="s">
        <v>1289</v>
      </c>
      <c r="I1685" s="254">
        <v>21</v>
      </c>
      <c r="J1685" s="254">
        <v>10823.490192092693</v>
      </c>
      <c r="K1685" s="701">
        <f t="shared" si="462"/>
        <v>227293</v>
      </c>
      <c r="L1685" s="52" t="s">
        <v>167</v>
      </c>
      <c r="M1685" s="896" t="s">
        <v>165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52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50"/>
    </row>
    <row r="1686" spans="1:27" s="808" customFormat="1" ht="15.75" customHeight="1">
      <c r="A1686" s="893" t="str">
        <f>IF(B1686&lt;&gt;"",IF(AND(B1686&gt;=_TM1,B1686&lt;=_TM2,OR(TH!L1686="1111",TH!M1686="1111")),TH!D1686,""),"")</f>
        <v/>
      </c>
      <c r="B1686" s="700">
        <f t="shared" si="460"/>
        <v>10</v>
      </c>
      <c r="C1686" s="833">
        <f t="shared" si="461"/>
        <v>41568</v>
      </c>
      <c r="D1686" s="833" t="s">
        <v>1293</v>
      </c>
      <c r="E1686" s="851">
        <v>41568</v>
      </c>
      <c r="F1686" s="918" t="s">
        <v>975</v>
      </c>
      <c r="G1686" s="49" t="s">
        <v>970</v>
      </c>
      <c r="H1686" s="837" t="s">
        <v>1289</v>
      </c>
      <c r="I1686" s="254">
        <v>8</v>
      </c>
      <c r="J1686" s="254">
        <v>9328.4901920926932</v>
      </c>
      <c r="K1686" s="701">
        <f t="shared" si="462"/>
        <v>74628</v>
      </c>
      <c r="L1686" s="52" t="s">
        <v>167</v>
      </c>
      <c r="M1686" s="896" t="s">
        <v>165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52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50"/>
    </row>
    <row r="1687" spans="1:27" s="808" customFormat="1" ht="15.75" customHeight="1">
      <c r="A1687" s="893" t="str">
        <f>IF(B1687&lt;&gt;"",IF(AND(B1687&gt;=_TM1,B1687&lt;=_TM2,OR(TH!L1687="1111",TH!M1687="1111")),TH!D1687,""),"")</f>
        <v/>
      </c>
      <c r="B1687" s="700">
        <f t="shared" si="460"/>
        <v>10</v>
      </c>
      <c r="C1687" s="833">
        <f t="shared" si="461"/>
        <v>41568</v>
      </c>
      <c r="D1687" s="833" t="s">
        <v>1293</v>
      </c>
      <c r="E1687" s="851">
        <v>41568</v>
      </c>
      <c r="F1687" s="918" t="s">
        <v>976</v>
      </c>
      <c r="G1687" s="49" t="s">
        <v>970</v>
      </c>
      <c r="H1687" s="837" t="s">
        <v>1289</v>
      </c>
      <c r="I1687" s="921">
        <v>10</v>
      </c>
      <c r="J1687" s="254">
        <v>10898.490192092691</v>
      </c>
      <c r="K1687" s="701">
        <f t="shared" si="462"/>
        <v>108985</v>
      </c>
      <c r="L1687" s="52" t="s">
        <v>167</v>
      </c>
      <c r="M1687" s="896" t="s">
        <v>165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52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50"/>
    </row>
    <row r="1688" spans="1:27" s="808" customFormat="1" ht="15.75" customHeight="1">
      <c r="A1688" s="893" t="str">
        <f>IF(B1688&lt;&gt;"",IF(AND(B1688&gt;=_TM1,B1688&lt;=_TM2,OR(TH!L1688="1111",TH!M1688="1111")),TH!D1688,""),"")</f>
        <v/>
      </c>
      <c r="B1688" s="700">
        <f t="shared" si="460"/>
        <v>10</v>
      </c>
      <c r="C1688" s="833">
        <f t="shared" si="461"/>
        <v>41568</v>
      </c>
      <c r="D1688" s="833" t="s">
        <v>1293</v>
      </c>
      <c r="E1688" s="851">
        <v>41568</v>
      </c>
      <c r="F1688" s="918" t="s">
        <v>977</v>
      </c>
      <c r="G1688" s="49" t="s">
        <v>970</v>
      </c>
      <c r="H1688" s="837" t="s">
        <v>1289</v>
      </c>
      <c r="I1688" s="921">
        <v>10</v>
      </c>
      <c r="J1688" s="254">
        <v>15308.99019209269</v>
      </c>
      <c r="K1688" s="701">
        <f t="shared" si="462"/>
        <v>153090</v>
      </c>
      <c r="L1688" s="52" t="s">
        <v>167</v>
      </c>
      <c r="M1688" s="896" t="s">
        <v>165</v>
      </c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52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50"/>
    </row>
    <row r="1689" spans="1:27" s="808" customFormat="1" ht="15.75" customHeight="1">
      <c r="A1689" s="893" t="str">
        <f>IF(B1689&lt;&gt;"",IF(AND(B1689&gt;=_TM1,B1689&lt;=_TM2,OR(TH!L1689="1111",TH!M1689="1111")),TH!D1689,""),"")</f>
        <v/>
      </c>
      <c r="B1689" s="700">
        <f t="shared" si="460"/>
        <v>10</v>
      </c>
      <c r="C1689" s="833">
        <f t="shared" si="461"/>
        <v>41568</v>
      </c>
      <c r="D1689" s="833" t="s">
        <v>1293</v>
      </c>
      <c r="E1689" s="851">
        <v>41568</v>
      </c>
      <c r="F1689" s="918" t="s">
        <v>978</v>
      </c>
      <c r="G1689" s="49" t="s">
        <v>979</v>
      </c>
      <c r="H1689" s="837" t="s">
        <v>1289</v>
      </c>
      <c r="I1689" s="921">
        <v>62</v>
      </c>
      <c r="J1689" s="254">
        <v>6978.6514824152728</v>
      </c>
      <c r="K1689" s="701">
        <f t="shared" si="462"/>
        <v>432676</v>
      </c>
      <c r="L1689" s="52" t="s">
        <v>167</v>
      </c>
      <c r="M1689" s="896" t="s">
        <v>165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52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50"/>
    </row>
    <row r="1690" spans="1:27" s="808" customFormat="1" ht="15.75" customHeight="1">
      <c r="A1690" s="893" t="str">
        <f>IF(B1690&lt;&gt;"",IF(AND(B1690&gt;=_TM1,B1690&lt;=_TM2,OR(TH!L1690="1111",TH!M1690="1111")),TH!D1690,""),"")</f>
        <v/>
      </c>
      <c r="B1690" s="700">
        <f t="shared" si="460"/>
        <v>10</v>
      </c>
      <c r="C1690" s="833">
        <f t="shared" si="461"/>
        <v>41568</v>
      </c>
      <c r="D1690" s="833" t="s">
        <v>1293</v>
      </c>
      <c r="E1690" s="833">
        <v>41568</v>
      </c>
      <c r="F1690" s="895" t="s">
        <v>980</v>
      </c>
      <c r="G1690" s="834" t="s">
        <v>981</v>
      </c>
      <c r="H1690" s="837" t="s">
        <v>1289</v>
      </c>
      <c r="I1690" s="254">
        <v>50</v>
      </c>
      <c r="J1690" s="254">
        <v>12435.890192092693</v>
      </c>
      <c r="K1690" s="701">
        <f t="shared" si="462"/>
        <v>621795</v>
      </c>
      <c r="L1690" s="52" t="s">
        <v>167</v>
      </c>
      <c r="M1690" s="896" t="s">
        <v>165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52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50"/>
    </row>
    <row r="1691" spans="1:27" s="808" customFormat="1" ht="15.75" customHeight="1">
      <c r="A1691" s="893" t="str">
        <f>IF(B1691&lt;&gt;"",IF(AND(B1691&gt;=_TM1,B1691&lt;=_TM2,OR(TH!L1691="1111",TH!M1691="1111")),TH!D1691,""),"")</f>
        <v/>
      </c>
      <c r="B1691" s="700">
        <f t="shared" si="460"/>
        <v>10</v>
      </c>
      <c r="C1691" s="833">
        <f t="shared" si="461"/>
        <v>41568</v>
      </c>
      <c r="D1691" s="833" t="s">
        <v>1293</v>
      </c>
      <c r="E1691" s="833">
        <v>41568</v>
      </c>
      <c r="F1691" s="895" t="s">
        <v>982</v>
      </c>
      <c r="G1691" s="834" t="s">
        <v>983</v>
      </c>
      <c r="H1691" s="837" t="s">
        <v>1289</v>
      </c>
      <c r="I1691" s="254">
        <v>51</v>
      </c>
      <c r="J1691" s="254">
        <v>11744.490192092693</v>
      </c>
      <c r="K1691" s="701">
        <f t="shared" si="462"/>
        <v>598969</v>
      </c>
      <c r="L1691" s="52" t="s">
        <v>167</v>
      </c>
      <c r="M1691" s="896" t="s">
        <v>165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52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50"/>
    </row>
    <row r="1692" spans="1:27" s="808" customFormat="1" ht="15.75" customHeight="1">
      <c r="A1692" s="893" t="str">
        <f>IF(B1692&lt;&gt;"",IF(AND(B1692&gt;=_TM1,B1692&lt;=_TM2,OR(TH!L1692="1111",TH!M1692="1111")),TH!D1692,""),"")</f>
        <v/>
      </c>
      <c r="B1692" s="700">
        <f t="shared" si="460"/>
        <v>10</v>
      </c>
      <c r="C1692" s="833">
        <f t="shared" si="461"/>
        <v>41568</v>
      </c>
      <c r="D1692" s="833" t="s">
        <v>1293</v>
      </c>
      <c r="E1692" s="833">
        <v>41568</v>
      </c>
      <c r="F1692" s="895" t="s">
        <v>1156</v>
      </c>
      <c r="G1692" s="834" t="s">
        <v>984</v>
      </c>
      <c r="H1692" s="837" t="s">
        <v>1289</v>
      </c>
      <c r="I1692" s="254">
        <v>66</v>
      </c>
      <c r="J1692" s="254">
        <v>4580.4901920926914</v>
      </c>
      <c r="K1692" s="701">
        <f t="shared" si="462"/>
        <v>302312</v>
      </c>
      <c r="L1692" s="52" t="s">
        <v>167</v>
      </c>
      <c r="M1692" s="896" t="s">
        <v>165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52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50"/>
    </row>
    <row r="1693" spans="1:27" s="808" customFormat="1" ht="15.75" customHeight="1">
      <c r="A1693" s="893" t="str">
        <f>IF(B1693&lt;&gt;"",IF(AND(B1693&gt;=_TM1,B1693&lt;=_TM2,OR(TH!L1693="1111",TH!M1693="1111")),TH!D1693,""),"")</f>
        <v/>
      </c>
      <c r="B1693" s="700">
        <f t="shared" si="460"/>
        <v>10</v>
      </c>
      <c r="C1693" s="833">
        <f t="shared" si="461"/>
        <v>41568</v>
      </c>
      <c r="D1693" s="833" t="s">
        <v>1293</v>
      </c>
      <c r="E1693" s="833">
        <v>41568</v>
      </c>
      <c r="F1693" s="895" t="s">
        <v>1157</v>
      </c>
      <c r="G1693" s="834" t="s">
        <v>642</v>
      </c>
      <c r="H1693" s="837" t="s">
        <v>1289</v>
      </c>
      <c r="I1693" s="254">
        <v>62</v>
      </c>
      <c r="J1693" s="254">
        <v>4895.7482566088211</v>
      </c>
      <c r="K1693" s="701">
        <f t="shared" si="462"/>
        <v>303536</v>
      </c>
      <c r="L1693" s="52" t="s">
        <v>167</v>
      </c>
      <c r="M1693" s="896" t="s">
        <v>165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52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50"/>
    </row>
    <row r="1694" spans="1:27" s="808" customFormat="1" ht="15.75" customHeight="1">
      <c r="A1694" s="893" t="str">
        <f>IF(B1694&lt;&gt;"",IF(AND(B1694&gt;=_TM1,B1694&lt;=_TM2,OR(TH!L1694="1111",TH!M1694="1111")),TH!D1694,""),"")</f>
        <v/>
      </c>
      <c r="B1694" s="700">
        <f t="shared" si="460"/>
        <v>10</v>
      </c>
      <c r="C1694" s="833">
        <f t="shared" si="461"/>
        <v>41568</v>
      </c>
      <c r="D1694" s="833" t="s">
        <v>1293</v>
      </c>
      <c r="E1694" s="833">
        <v>41568</v>
      </c>
      <c r="F1694" s="895" t="s">
        <v>985</v>
      </c>
      <c r="G1694" s="834" t="s">
        <v>986</v>
      </c>
      <c r="H1694" s="837" t="s">
        <v>1289</v>
      </c>
      <c r="I1694" s="254">
        <v>16</v>
      </c>
      <c r="J1694" s="254">
        <v>15943.490192092693</v>
      </c>
      <c r="K1694" s="701">
        <f t="shared" ref="K1694:K1757" si="463">ROUND(I1694*J1694,0)</f>
        <v>255096</v>
      </c>
      <c r="L1694" s="52" t="s">
        <v>167</v>
      </c>
      <c r="M1694" s="896" t="s">
        <v>165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52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50"/>
    </row>
    <row r="1695" spans="1:27" s="808" customFormat="1" ht="15.75" customHeight="1">
      <c r="A1695" s="893" t="str">
        <f>IF(B1695&lt;&gt;"",IF(AND(B1695&gt;=_TM1,B1695&lt;=_TM2,OR(TH!L1695="1111",TH!M1695="1111")),TH!D1695,""),"")</f>
        <v/>
      </c>
      <c r="B1695" s="700">
        <f t="shared" si="460"/>
        <v>10</v>
      </c>
      <c r="C1695" s="833">
        <f t="shared" si="461"/>
        <v>41568</v>
      </c>
      <c r="D1695" s="833" t="s">
        <v>1293</v>
      </c>
      <c r="E1695" s="833">
        <v>41568</v>
      </c>
      <c r="F1695" s="895" t="s">
        <v>987</v>
      </c>
      <c r="G1695" s="834" t="s">
        <v>988</v>
      </c>
      <c r="H1695" s="837" t="s">
        <v>1289</v>
      </c>
      <c r="I1695" s="254">
        <v>13</v>
      </c>
      <c r="J1695" s="254">
        <v>15943.490192092691</v>
      </c>
      <c r="K1695" s="701">
        <f t="shared" si="463"/>
        <v>207265</v>
      </c>
      <c r="L1695" s="52" t="s">
        <v>167</v>
      </c>
      <c r="M1695" s="896" t="s">
        <v>165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52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50"/>
    </row>
    <row r="1696" spans="1:27" s="808" customFormat="1" ht="15.75" customHeight="1">
      <c r="A1696" s="893" t="str">
        <f>IF(B1696&lt;&gt;"",IF(AND(B1696&gt;=_TM1,B1696&lt;=_TM2,OR(TH!L1696="1111",TH!M1696="1111")),TH!D1696,""),"")</f>
        <v/>
      </c>
      <c r="B1696" s="700">
        <f t="shared" si="460"/>
        <v>10</v>
      </c>
      <c r="C1696" s="833">
        <f t="shared" si="461"/>
        <v>41568</v>
      </c>
      <c r="D1696" s="833" t="s">
        <v>1293</v>
      </c>
      <c r="E1696" s="833">
        <v>41568</v>
      </c>
      <c r="F1696" s="895" t="s">
        <v>989</v>
      </c>
      <c r="G1696" s="834" t="s">
        <v>990</v>
      </c>
      <c r="H1696" s="837" t="s">
        <v>1289</v>
      </c>
      <c r="I1696" s="254">
        <v>13</v>
      </c>
      <c r="J1696" s="254">
        <v>23971.490192092697</v>
      </c>
      <c r="K1696" s="701">
        <f t="shared" si="463"/>
        <v>311629</v>
      </c>
      <c r="L1696" s="52" t="s">
        <v>167</v>
      </c>
      <c r="M1696" s="896" t="s">
        <v>165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52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50"/>
    </row>
    <row r="1697" spans="1:27" s="808" customFormat="1" ht="15.75" customHeight="1">
      <c r="A1697" s="893" t="str">
        <f>IF(B1697&lt;&gt;"",IF(AND(B1697&gt;=_TM1,B1697&lt;=_TM2,OR(TH!L1697="1111",TH!M1697="1111")),TH!D1697,""),"")</f>
        <v/>
      </c>
      <c r="B1697" s="700">
        <f t="shared" si="460"/>
        <v>10</v>
      </c>
      <c r="C1697" s="833">
        <f t="shared" si="461"/>
        <v>41568</v>
      </c>
      <c r="D1697" s="833" t="s">
        <v>1293</v>
      </c>
      <c r="E1697" s="833">
        <v>41568</v>
      </c>
      <c r="F1697" s="895" t="s">
        <v>1153</v>
      </c>
      <c r="G1697" s="834" t="s">
        <v>981</v>
      </c>
      <c r="H1697" s="837" t="s">
        <v>1289</v>
      </c>
      <c r="I1697" s="254">
        <v>200</v>
      </c>
      <c r="J1697" s="254">
        <v>4408.4901920926932</v>
      </c>
      <c r="K1697" s="701">
        <f t="shared" si="463"/>
        <v>881698</v>
      </c>
      <c r="L1697" s="52" t="s">
        <v>167</v>
      </c>
      <c r="M1697" s="896" t="s">
        <v>165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52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50"/>
    </row>
    <row r="1698" spans="1:27" s="808" customFormat="1" ht="15.75" customHeight="1">
      <c r="A1698" s="893" t="str">
        <f>IF(B1698&lt;&gt;"",IF(AND(B1698&gt;=_TM1,B1698&lt;=_TM2,OR(TH!L1698="1111",TH!M1698="1111")),TH!D1698,""),"")</f>
        <v/>
      </c>
      <c r="B1698" s="700">
        <f t="shared" si="460"/>
        <v>10</v>
      </c>
      <c r="C1698" s="833">
        <f t="shared" si="461"/>
        <v>41568</v>
      </c>
      <c r="D1698" s="833" t="s">
        <v>1293</v>
      </c>
      <c r="E1698" s="833">
        <v>41568</v>
      </c>
      <c r="F1698" s="895" t="s">
        <v>991</v>
      </c>
      <c r="G1698" s="834" t="s">
        <v>986</v>
      </c>
      <c r="H1698" s="837" t="s">
        <v>1289</v>
      </c>
      <c r="I1698" s="254">
        <v>50</v>
      </c>
      <c r="J1698" s="254">
        <v>33775.490192092693</v>
      </c>
      <c r="K1698" s="701">
        <f t="shared" si="463"/>
        <v>1688775</v>
      </c>
      <c r="L1698" s="52" t="s">
        <v>167</v>
      </c>
      <c r="M1698" s="896" t="s">
        <v>165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52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50"/>
    </row>
    <row r="1699" spans="1:27" s="808" customFormat="1" ht="15.75" customHeight="1">
      <c r="A1699" s="893" t="str">
        <f>IF(B1699&lt;&gt;"",IF(AND(B1699&gt;=_TM1,B1699&lt;=_TM2,OR(TH!L1699="1111",TH!M1699="1111")),TH!D1699,""),"")</f>
        <v/>
      </c>
      <c r="B1699" s="700">
        <f t="shared" si="460"/>
        <v>10</v>
      </c>
      <c r="C1699" s="833">
        <f t="shared" si="461"/>
        <v>41568</v>
      </c>
      <c r="D1699" s="833" t="s">
        <v>1293</v>
      </c>
      <c r="E1699" s="48">
        <v>41568</v>
      </c>
      <c r="F1699" s="49" t="s">
        <v>992</v>
      </c>
      <c r="G1699" s="49" t="s">
        <v>986</v>
      </c>
      <c r="H1699" s="837" t="s">
        <v>1289</v>
      </c>
      <c r="I1699" s="254">
        <v>50</v>
      </c>
      <c r="J1699" s="254">
        <v>62541.290192092696</v>
      </c>
      <c r="K1699" s="701">
        <f t="shared" si="463"/>
        <v>3127065</v>
      </c>
      <c r="L1699" s="52" t="s">
        <v>167</v>
      </c>
      <c r="M1699" s="896" t="s">
        <v>165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52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50"/>
    </row>
    <row r="1700" spans="1:27" s="808" customFormat="1" ht="15.75" customHeight="1">
      <c r="A1700" s="893" t="str">
        <f>IF(B1700&lt;&gt;"",IF(AND(B1700&gt;=_TM1,B1700&lt;=_TM2,OR(TH!L1700="1111",TH!M1700="1111")),TH!D1700,""),"")</f>
        <v/>
      </c>
      <c r="B1700" s="700">
        <f t="shared" si="460"/>
        <v>10</v>
      </c>
      <c r="C1700" s="833">
        <f t="shared" si="461"/>
        <v>41569</v>
      </c>
      <c r="D1700" s="833" t="s">
        <v>1293</v>
      </c>
      <c r="E1700" s="48">
        <v>41569</v>
      </c>
      <c r="F1700" s="49" t="s">
        <v>1152</v>
      </c>
      <c r="G1700" s="49" t="s">
        <v>988</v>
      </c>
      <c r="H1700" s="837" t="s">
        <v>1289</v>
      </c>
      <c r="I1700" s="254">
        <v>1980</v>
      </c>
      <c r="J1700" s="254">
        <v>4431.2720102745106</v>
      </c>
      <c r="K1700" s="701">
        <f t="shared" si="463"/>
        <v>8773919</v>
      </c>
      <c r="L1700" s="52" t="s">
        <v>167</v>
      </c>
      <c r="M1700" s="896" t="s">
        <v>165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52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50"/>
    </row>
    <row r="1701" spans="1:27" s="808" customFormat="1" ht="15.75" customHeight="1">
      <c r="A1701" s="893" t="str">
        <f>IF(B1701&lt;&gt;"",IF(AND(B1701&gt;=_TM1,B1701&lt;=_TM2,OR(TH!L1701="1111",TH!M1701="1111")),TH!D1701,""),"")</f>
        <v/>
      </c>
      <c r="B1701" s="700">
        <f t="shared" si="460"/>
        <v>10</v>
      </c>
      <c r="C1701" s="833">
        <f t="shared" si="461"/>
        <v>41571</v>
      </c>
      <c r="D1701" s="833" t="s">
        <v>1293</v>
      </c>
      <c r="E1701" s="48">
        <v>41571</v>
      </c>
      <c r="F1701" s="895" t="s">
        <v>1129</v>
      </c>
      <c r="G1701" s="49" t="s">
        <v>990</v>
      </c>
      <c r="H1701" s="837" t="s">
        <v>1289</v>
      </c>
      <c r="I1701" s="254">
        <v>100</v>
      </c>
      <c r="J1701" s="254">
        <v>5921.0001920926916</v>
      </c>
      <c r="K1701" s="701">
        <f t="shared" si="463"/>
        <v>592100</v>
      </c>
      <c r="L1701" s="52" t="s">
        <v>167</v>
      </c>
      <c r="M1701" s="896" t="s">
        <v>165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52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50"/>
    </row>
    <row r="1702" spans="1:27" s="808" customFormat="1" ht="15.75" customHeight="1">
      <c r="A1702" s="893" t="str">
        <f>IF(B1702&lt;&gt;"",IF(AND(B1702&gt;=_TM1,B1702&lt;=_TM2,OR(TH!L1702="1111",TH!M1702="1111")),TH!D1702,""),"")</f>
        <v/>
      </c>
      <c r="B1702" s="700">
        <f t="shared" si="460"/>
        <v>10</v>
      </c>
      <c r="C1702" s="833">
        <f t="shared" si="461"/>
        <v>41571</v>
      </c>
      <c r="D1702" s="833" t="s">
        <v>1293</v>
      </c>
      <c r="E1702" s="48">
        <v>41571</v>
      </c>
      <c r="F1702" s="49" t="s">
        <v>812</v>
      </c>
      <c r="G1702" s="49" t="s">
        <v>990</v>
      </c>
      <c r="H1702" s="837" t="s">
        <v>1289</v>
      </c>
      <c r="I1702" s="254">
        <v>200</v>
      </c>
      <c r="J1702" s="254">
        <v>9108.4901920926914</v>
      </c>
      <c r="K1702" s="701">
        <f t="shared" si="463"/>
        <v>1821698</v>
      </c>
      <c r="L1702" s="52" t="s">
        <v>167</v>
      </c>
      <c r="M1702" s="896" t="s">
        <v>165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52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50"/>
    </row>
    <row r="1703" spans="1:27" s="808" customFormat="1" ht="15.75" customHeight="1">
      <c r="A1703" s="893" t="str">
        <f>IF(B1703&lt;&gt;"",IF(AND(B1703&gt;=_TM1,B1703&lt;=_TM2,OR(TH!L1703="1111",TH!M1703="1111")),TH!D1703,""),"")</f>
        <v/>
      </c>
      <c r="B1703" s="700">
        <f t="shared" si="460"/>
        <v>10</v>
      </c>
      <c r="C1703" s="833">
        <f t="shared" si="461"/>
        <v>41571</v>
      </c>
      <c r="D1703" s="833" t="s">
        <v>1293</v>
      </c>
      <c r="E1703" s="48">
        <v>41571</v>
      </c>
      <c r="F1703" s="895" t="s">
        <v>1129</v>
      </c>
      <c r="G1703" s="49" t="s">
        <v>990</v>
      </c>
      <c r="H1703" s="837" t="s">
        <v>1289</v>
      </c>
      <c r="I1703" s="254">
        <v>200</v>
      </c>
      <c r="J1703" s="254">
        <v>6562.4901920926923</v>
      </c>
      <c r="K1703" s="701">
        <f t="shared" si="463"/>
        <v>1312498</v>
      </c>
      <c r="L1703" s="52" t="s">
        <v>167</v>
      </c>
      <c r="M1703" s="896" t="s">
        <v>165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52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50"/>
    </row>
    <row r="1704" spans="1:27" s="808" customFormat="1" ht="15.75" customHeight="1">
      <c r="A1704" s="893" t="str">
        <f>IF(B1704&lt;&gt;"",IF(AND(B1704&gt;=_TM1,B1704&lt;=_TM2,OR(TH!L1704="1111",TH!M1704="1111")),TH!D1704,""),"")</f>
        <v/>
      </c>
      <c r="B1704" s="700">
        <f t="shared" ref="B1704:B1767" si="464">IF(C1704&lt;&gt;"",MONTH(C1704),"")</f>
        <v>10</v>
      </c>
      <c r="C1704" s="833">
        <f t="shared" si="461"/>
        <v>41571</v>
      </c>
      <c r="D1704" s="833" t="s">
        <v>1293</v>
      </c>
      <c r="E1704" s="48">
        <v>41571</v>
      </c>
      <c r="F1704" s="49" t="s">
        <v>938</v>
      </c>
      <c r="G1704" s="49" t="s">
        <v>993</v>
      </c>
      <c r="H1704" s="837" t="s">
        <v>1289</v>
      </c>
      <c r="I1704" s="254">
        <v>585</v>
      </c>
      <c r="J1704" s="254">
        <v>17353.7466023491</v>
      </c>
      <c r="K1704" s="701">
        <f t="shared" si="463"/>
        <v>10151942</v>
      </c>
      <c r="L1704" s="52" t="s">
        <v>167</v>
      </c>
      <c r="M1704" s="896" t="s">
        <v>165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52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50"/>
    </row>
    <row r="1705" spans="1:27" s="808" customFormat="1" ht="15.75" customHeight="1">
      <c r="A1705" s="893" t="str">
        <f>IF(B1705&lt;&gt;"",IF(AND(B1705&gt;=_TM1,B1705&lt;=_TM2,OR(TH!L1705="1111",TH!M1705="1111")),TH!D1705,""),"")</f>
        <v/>
      </c>
      <c r="B1705" s="700">
        <f t="shared" si="464"/>
        <v>10</v>
      </c>
      <c r="C1705" s="833">
        <f t="shared" si="461"/>
        <v>41573</v>
      </c>
      <c r="D1705" s="833" t="s">
        <v>1293</v>
      </c>
      <c r="E1705" s="48">
        <v>41573</v>
      </c>
      <c r="F1705" s="49" t="s">
        <v>1148</v>
      </c>
      <c r="G1705" s="49" t="s">
        <v>994</v>
      </c>
      <c r="H1705" s="837" t="s">
        <v>1289</v>
      </c>
      <c r="I1705" s="254">
        <v>49</v>
      </c>
      <c r="J1705" s="254">
        <v>5006.7554982151414</v>
      </c>
      <c r="K1705" s="701">
        <f t="shared" si="463"/>
        <v>245331</v>
      </c>
      <c r="L1705" s="52" t="s">
        <v>167</v>
      </c>
      <c r="M1705" s="896" t="s">
        <v>165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52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50"/>
    </row>
    <row r="1706" spans="1:27" s="808" customFormat="1" ht="15.75" customHeight="1">
      <c r="A1706" s="893" t="str">
        <f>IF(B1706&lt;&gt;"",IF(AND(B1706&gt;=_TM1,B1706&lt;=_TM2,OR(TH!L1706="1111",TH!M1706="1111")),TH!D1706,""),"")</f>
        <v/>
      </c>
      <c r="B1706" s="700">
        <f t="shared" si="464"/>
        <v>10</v>
      </c>
      <c r="C1706" s="833">
        <f t="shared" si="461"/>
        <v>41573</v>
      </c>
      <c r="D1706" s="833" t="s">
        <v>1293</v>
      </c>
      <c r="E1706" s="48">
        <v>41573</v>
      </c>
      <c r="F1706" s="49" t="s">
        <v>1147</v>
      </c>
      <c r="G1706" s="49" t="s">
        <v>994</v>
      </c>
      <c r="H1706" s="837" t="s">
        <v>1289</v>
      </c>
      <c r="I1706" s="254">
        <v>3191</v>
      </c>
      <c r="J1706" s="254">
        <v>3920.6133509770548</v>
      </c>
      <c r="K1706" s="701">
        <f t="shared" si="463"/>
        <v>12510677</v>
      </c>
      <c r="L1706" s="52" t="s">
        <v>167</v>
      </c>
      <c r="M1706" s="896" t="s">
        <v>165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52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50"/>
    </row>
    <row r="1707" spans="1:27" s="808" customFormat="1" ht="15.75" customHeight="1">
      <c r="A1707" s="893" t="str">
        <f>IF(B1707&lt;&gt;"",IF(AND(B1707&gt;=_TM1,B1707&lt;=_TM2,OR(TH!L1707="1111",TH!M1707="1111")),TH!D1707,""),"")</f>
        <v/>
      </c>
      <c r="B1707" s="700">
        <f t="shared" si="464"/>
        <v>10</v>
      </c>
      <c r="C1707" s="833">
        <f t="shared" si="461"/>
        <v>41577</v>
      </c>
      <c r="D1707" s="833" t="s">
        <v>1293</v>
      </c>
      <c r="E1707" s="48">
        <v>41577</v>
      </c>
      <c r="F1707" s="49" t="s">
        <v>940</v>
      </c>
      <c r="G1707" s="49" t="s">
        <v>995</v>
      </c>
      <c r="H1707" s="837" t="s">
        <v>1289</v>
      </c>
      <c r="I1707" s="254">
        <v>371</v>
      </c>
      <c r="J1707" s="254">
        <v>15727.490192092691</v>
      </c>
      <c r="K1707" s="701">
        <f t="shared" si="463"/>
        <v>5834899</v>
      </c>
      <c r="L1707" s="52" t="s">
        <v>167</v>
      </c>
      <c r="M1707" s="896" t="s">
        <v>165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52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50"/>
    </row>
    <row r="1708" spans="1:27" s="808" customFormat="1" ht="15.75" customHeight="1">
      <c r="A1708" s="893" t="str">
        <f>IF(B1708&lt;&gt;"",IF(AND(B1708&gt;=_TM1,B1708&lt;=_TM2,OR(TH!L1708="1111",TH!M1708="1111")),TH!D1708,""),"")</f>
        <v/>
      </c>
      <c r="B1708" s="700">
        <f t="shared" si="464"/>
        <v>10</v>
      </c>
      <c r="C1708" s="833">
        <f t="shared" si="461"/>
        <v>41578</v>
      </c>
      <c r="D1708" s="833" t="s">
        <v>1293</v>
      </c>
      <c r="E1708" s="48">
        <v>41578</v>
      </c>
      <c r="F1708" s="49" t="s">
        <v>729</v>
      </c>
      <c r="G1708" s="49" t="s">
        <v>996</v>
      </c>
      <c r="H1708" s="837" t="s">
        <v>1289</v>
      </c>
      <c r="I1708" s="254">
        <v>999</v>
      </c>
      <c r="J1708" s="254">
        <v>7710.2569588594579</v>
      </c>
      <c r="K1708" s="701">
        <f t="shared" si="463"/>
        <v>7702547</v>
      </c>
      <c r="L1708" s="52" t="s">
        <v>167</v>
      </c>
      <c r="M1708" s="896" t="s">
        <v>165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52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50"/>
    </row>
    <row r="1709" spans="1:27" s="808" customFormat="1" ht="15.75" customHeight="1">
      <c r="A1709" s="893" t="str">
        <f>IF(B1709&lt;&gt;"",IF(AND(B1709&gt;=_TM1,B1709&lt;=_TM2,OR(TH!L1709="1111",TH!M1709="1111")),TH!D1709,""),"")</f>
        <v/>
      </c>
      <c r="B1709" s="700">
        <f t="shared" si="464"/>
        <v>10</v>
      </c>
      <c r="C1709" s="833">
        <f t="shared" si="461"/>
        <v>41578</v>
      </c>
      <c r="D1709" s="833" t="s">
        <v>1293</v>
      </c>
      <c r="E1709" s="48">
        <v>41578</v>
      </c>
      <c r="F1709" s="895" t="s">
        <v>836</v>
      </c>
      <c r="G1709" s="49" t="s">
        <v>997</v>
      </c>
      <c r="H1709" s="837" t="s">
        <v>1289</v>
      </c>
      <c r="I1709" s="254">
        <v>397</v>
      </c>
      <c r="J1709" s="254">
        <v>9507.7219301279565</v>
      </c>
      <c r="K1709" s="701">
        <f t="shared" si="463"/>
        <v>3774566</v>
      </c>
      <c r="L1709" s="52" t="s">
        <v>167</v>
      </c>
      <c r="M1709" s="896" t="s">
        <v>165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52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50"/>
    </row>
    <row r="1710" spans="1:27" s="808" customFormat="1" ht="15.75" customHeight="1">
      <c r="A1710" s="893" t="str">
        <f>IF(B1710&lt;&gt;"",IF(AND(B1710&gt;=_TM1,B1710&lt;=_TM2,OR(TH!L1710="1111",TH!M1710="1111")),TH!D1710,""),"")</f>
        <v/>
      </c>
      <c r="B1710" s="700">
        <f t="shared" si="464"/>
        <v>10</v>
      </c>
      <c r="C1710" s="833">
        <f t="shared" si="461"/>
        <v>41578</v>
      </c>
      <c r="D1710" s="833" t="s">
        <v>1293</v>
      </c>
      <c r="E1710" s="48">
        <v>41578</v>
      </c>
      <c r="F1710" s="49" t="s">
        <v>883</v>
      </c>
      <c r="G1710" s="49" t="s">
        <v>998</v>
      </c>
      <c r="H1710" s="837" t="s">
        <v>1289</v>
      </c>
      <c r="I1710" s="254">
        <v>497</v>
      </c>
      <c r="J1710" s="254">
        <v>8971.6592061771989</v>
      </c>
      <c r="K1710" s="701">
        <f t="shared" si="463"/>
        <v>4458915</v>
      </c>
      <c r="L1710" s="52" t="s">
        <v>167</v>
      </c>
      <c r="M1710" s="896" t="s">
        <v>165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52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50"/>
    </row>
    <row r="1711" spans="1:27" s="808" customFormat="1" ht="15.75" customHeight="1">
      <c r="A1711" s="893" t="str">
        <f>IF(B1711&lt;&gt;"",IF(AND(B1711&gt;=_TM1,B1711&lt;=_TM2,OR(TH!L1711="1111",TH!M1711="1111")),TH!D1711,""),"")</f>
        <v/>
      </c>
      <c r="B1711" s="700">
        <f t="shared" si="464"/>
        <v>10</v>
      </c>
      <c r="C1711" s="833">
        <f t="shared" si="461"/>
        <v>41578</v>
      </c>
      <c r="D1711" s="833" t="s">
        <v>1293</v>
      </c>
      <c r="E1711" s="48">
        <v>41578</v>
      </c>
      <c r="F1711" s="895" t="s">
        <v>806</v>
      </c>
      <c r="G1711" s="49" t="s">
        <v>999</v>
      </c>
      <c r="H1711" s="837" t="s">
        <v>1289</v>
      </c>
      <c r="I1711" s="254">
        <v>292</v>
      </c>
      <c r="J1711" s="254">
        <v>9328.4901920926914</v>
      </c>
      <c r="K1711" s="701">
        <f t="shared" si="463"/>
        <v>2723919</v>
      </c>
      <c r="L1711" s="52" t="s">
        <v>167</v>
      </c>
      <c r="M1711" s="896" t="s">
        <v>165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52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50"/>
    </row>
    <row r="1712" spans="1:27" s="808" customFormat="1" ht="15.75" customHeight="1">
      <c r="A1712" s="893" t="str">
        <f>IF(B1712&lt;&gt;"",IF(AND(B1712&gt;=_TM1,B1712&lt;=_TM2,OR(TH!L1712="1111",TH!M1712="1111")),TH!D1712,""),"")</f>
        <v/>
      </c>
      <c r="B1712" s="700">
        <f t="shared" si="464"/>
        <v>11</v>
      </c>
      <c r="C1712" s="833">
        <f t="shared" si="461"/>
        <v>41582</v>
      </c>
      <c r="D1712" s="833" t="s">
        <v>1293</v>
      </c>
      <c r="E1712" s="48">
        <v>41582</v>
      </c>
      <c r="F1712" s="49" t="s">
        <v>815</v>
      </c>
      <c r="G1712" s="49" t="s">
        <v>1000</v>
      </c>
      <c r="H1712" s="837" t="s">
        <v>1289</v>
      </c>
      <c r="I1712" s="254">
        <v>500</v>
      </c>
      <c r="J1712" s="254">
        <v>16943.49019209269</v>
      </c>
      <c r="K1712" s="701">
        <f t="shared" si="463"/>
        <v>8471745</v>
      </c>
      <c r="L1712" s="52" t="s">
        <v>167</v>
      </c>
      <c r="M1712" s="896" t="s">
        <v>165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52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50"/>
    </row>
    <row r="1713" spans="1:27" s="808" customFormat="1" ht="15.75" customHeight="1">
      <c r="A1713" s="893" t="str">
        <f>IF(B1713&lt;&gt;"",IF(AND(B1713&gt;=_TM1,B1713&lt;=_TM2,OR(TH!L1713="1111",TH!M1713="1111")),TH!D1713,""),"")</f>
        <v/>
      </c>
      <c r="B1713" s="700">
        <f t="shared" si="464"/>
        <v>11</v>
      </c>
      <c r="C1713" s="833">
        <f t="shared" si="461"/>
        <v>41582</v>
      </c>
      <c r="D1713" s="833" t="s">
        <v>1293</v>
      </c>
      <c r="E1713" s="48">
        <v>41582</v>
      </c>
      <c r="F1713" s="49" t="s">
        <v>817</v>
      </c>
      <c r="G1713" s="49" t="s">
        <v>1000</v>
      </c>
      <c r="H1713" s="837" t="s">
        <v>1289</v>
      </c>
      <c r="I1713" s="254">
        <v>1000</v>
      </c>
      <c r="J1713" s="254">
        <v>1362.7401920926923</v>
      </c>
      <c r="K1713" s="701">
        <f t="shared" si="463"/>
        <v>1362740</v>
      </c>
      <c r="L1713" s="52" t="s">
        <v>167</v>
      </c>
      <c r="M1713" s="896" t="s">
        <v>165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52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50"/>
    </row>
    <row r="1714" spans="1:27" s="808" customFormat="1" ht="15.75" customHeight="1">
      <c r="A1714" s="893" t="str">
        <f>IF(B1714&lt;&gt;"",IF(AND(B1714&gt;=_TM1,B1714&lt;=_TM2,OR(TH!L1714="1111",TH!M1714="1111")),TH!D1714,""),"")</f>
        <v/>
      </c>
      <c r="B1714" s="700">
        <f t="shared" si="464"/>
        <v>11</v>
      </c>
      <c r="C1714" s="833">
        <f t="shared" si="461"/>
        <v>41583</v>
      </c>
      <c r="D1714" s="833" t="s">
        <v>1293</v>
      </c>
      <c r="E1714" s="48">
        <v>41583</v>
      </c>
      <c r="F1714" s="49" t="s">
        <v>1001</v>
      </c>
      <c r="G1714" s="49" t="s">
        <v>1002</v>
      </c>
      <c r="H1714" s="837" t="s">
        <v>1289</v>
      </c>
      <c r="I1714" s="254">
        <v>1005</v>
      </c>
      <c r="J1714" s="254">
        <v>5520.6046199533885</v>
      </c>
      <c r="K1714" s="701">
        <f t="shared" si="463"/>
        <v>5548208</v>
      </c>
      <c r="L1714" s="52" t="s">
        <v>167</v>
      </c>
      <c r="M1714" s="896" t="s">
        <v>165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52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50"/>
    </row>
    <row r="1715" spans="1:27" s="808" customFormat="1" ht="15.75" customHeight="1">
      <c r="A1715" s="893" t="str">
        <f>IF(B1715&lt;&gt;"",IF(AND(B1715&gt;=_TM1,B1715&lt;=_TM2,OR(TH!L1715="1111",TH!M1715="1111")),TH!D1715,""),"")</f>
        <v/>
      </c>
      <c r="B1715" s="700">
        <f t="shared" si="464"/>
        <v>11</v>
      </c>
      <c r="C1715" s="833">
        <f t="shared" si="461"/>
        <v>41584</v>
      </c>
      <c r="D1715" s="833" t="s">
        <v>1293</v>
      </c>
      <c r="E1715" s="833">
        <v>41584</v>
      </c>
      <c r="F1715" s="895" t="s">
        <v>859</v>
      </c>
      <c r="G1715" s="834" t="s">
        <v>1003</v>
      </c>
      <c r="H1715" s="837" t="s">
        <v>1289</v>
      </c>
      <c r="I1715" s="254">
        <v>995</v>
      </c>
      <c r="J1715" s="254">
        <v>18631.93240314797</v>
      </c>
      <c r="K1715" s="701">
        <f t="shared" si="463"/>
        <v>18538773</v>
      </c>
      <c r="L1715" s="52" t="s">
        <v>167</v>
      </c>
      <c r="M1715" s="896" t="s">
        <v>165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52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50"/>
    </row>
    <row r="1716" spans="1:27" s="808" customFormat="1" ht="15.75" customHeight="1">
      <c r="A1716" s="893" t="str">
        <f>IF(B1716&lt;&gt;"",IF(AND(B1716&gt;=_TM1,B1716&lt;=_TM2,OR(TH!L1716="1111",TH!M1716="1111")),TH!D1716,""),"")</f>
        <v/>
      </c>
      <c r="B1716" s="700">
        <f t="shared" si="464"/>
        <v>11</v>
      </c>
      <c r="C1716" s="833">
        <f t="shared" si="461"/>
        <v>41586</v>
      </c>
      <c r="D1716" s="833" t="s">
        <v>1293</v>
      </c>
      <c r="E1716" s="833">
        <v>41586</v>
      </c>
      <c r="F1716" s="895" t="s">
        <v>1133</v>
      </c>
      <c r="G1716" s="834" t="s">
        <v>647</v>
      </c>
      <c r="H1716" s="837" t="s">
        <v>1289</v>
      </c>
      <c r="I1716" s="254">
        <v>200</v>
      </c>
      <c r="J1716" s="254">
        <v>6518.7401920926923</v>
      </c>
      <c r="K1716" s="701">
        <f t="shared" si="463"/>
        <v>1303748</v>
      </c>
      <c r="L1716" s="52" t="s">
        <v>167</v>
      </c>
      <c r="M1716" s="896" t="s">
        <v>165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52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50"/>
    </row>
    <row r="1717" spans="1:27" s="808" customFormat="1" ht="15.75" customHeight="1">
      <c r="A1717" s="893" t="str">
        <f>IF(B1717&lt;&gt;"",IF(AND(B1717&gt;=_TM1,B1717&lt;=_TM2,OR(TH!L1717="1111",TH!M1717="1111")),TH!D1717,""),"")</f>
        <v/>
      </c>
      <c r="B1717" s="700">
        <f t="shared" si="464"/>
        <v>11</v>
      </c>
      <c r="C1717" s="833">
        <f t="shared" si="461"/>
        <v>41586</v>
      </c>
      <c r="D1717" s="833" t="s">
        <v>1293</v>
      </c>
      <c r="E1717" s="833">
        <v>41586</v>
      </c>
      <c r="F1717" s="895" t="s">
        <v>1134</v>
      </c>
      <c r="G1717" s="922" t="s">
        <v>647</v>
      </c>
      <c r="H1717" s="837" t="s">
        <v>1289</v>
      </c>
      <c r="I1717" s="917">
        <v>157</v>
      </c>
      <c r="J1717" s="254">
        <v>20009.987007379314</v>
      </c>
      <c r="K1717" s="701">
        <f t="shared" si="463"/>
        <v>3141568</v>
      </c>
      <c r="L1717" s="52" t="s">
        <v>167</v>
      </c>
      <c r="M1717" s="896" t="s">
        <v>165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52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50"/>
    </row>
    <row r="1718" spans="1:27" s="808" customFormat="1" ht="15.75" customHeight="1">
      <c r="A1718" s="893" t="str">
        <f>IF(B1718&lt;&gt;"",IF(AND(B1718&gt;=_TM1,B1718&lt;=_TM2,OR(TH!L1718="1111",TH!M1718="1111")),TH!D1718,""),"")</f>
        <v/>
      </c>
      <c r="B1718" s="700">
        <f t="shared" si="464"/>
        <v>11</v>
      </c>
      <c r="C1718" s="833">
        <f t="shared" si="461"/>
        <v>41586</v>
      </c>
      <c r="D1718" s="833" t="s">
        <v>1293</v>
      </c>
      <c r="E1718" s="833">
        <v>41586</v>
      </c>
      <c r="F1718" s="895" t="s">
        <v>1004</v>
      </c>
      <c r="G1718" s="922" t="s">
        <v>1005</v>
      </c>
      <c r="H1718" s="837" t="s">
        <v>1289</v>
      </c>
      <c r="I1718" s="917">
        <v>200</v>
      </c>
      <c r="J1718" s="254">
        <v>6967.9901920926923</v>
      </c>
      <c r="K1718" s="701">
        <f t="shared" si="463"/>
        <v>1393598</v>
      </c>
      <c r="L1718" s="52" t="s">
        <v>167</v>
      </c>
      <c r="M1718" s="896" t="s">
        <v>165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52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50"/>
    </row>
    <row r="1719" spans="1:27" s="808" customFormat="1" ht="15.75" customHeight="1">
      <c r="A1719" s="893" t="str">
        <f>IF(B1719&lt;&gt;"",IF(AND(B1719&gt;=_TM1,B1719&lt;=_TM2,OR(TH!L1719="1111",TH!M1719="1111")),TH!D1719,""),"")</f>
        <v/>
      </c>
      <c r="B1719" s="700">
        <f t="shared" si="464"/>
        <v>11</v>
      </c>
      <c r="C1719" s="833">
        <f t="shared" si="461"/>
        <v>41586</v>
      </c>
      <c r="D1719" s="833" t="s">
        <v>1293</v>
      </c>
      <c r="E1719" s="851">
        <v>41586</v>
      </c>
      <c r="F1719" s="918" t="s">
        <v>1007</v>
      </c>
      <c r="G1719" s="49" t="s">
        <v>1005</v>
      </c>
      <c r="H1719" s="837" t="s">
        <v>1289</v>
      </c>
      <c r="I1719" s="254">
        <v>100</v>
      </c>
      <c r="J1719" s="254">
        <v>13572.490192092691</v>
      </c>
      <c r="K1719" s="701">
        <f t="shared" si="463"/>
        <v>1357249</v>
      </c>
      <c r="L1719" s="52" t="s">
        <v>167</v>
      </c>
      <c r="M1719" s="896" t="s">
        <v>165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52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50"/>
    </row>
    <row r="1720" spans="1:27" s="808" customFormat="1" ht="15.75" customHeight="1">
      <c r="A1720" s="893" t="str">
        <f>IF(B1720&lt;&gt;"",IF(AND(B1720&gt;=_TM1,B1720&lt;=_TM2,OR(TH!L1720="1111",TH!M1720="1111")),TH!D1720,""),"")</f>
        <v/>
      </c>
      <c r="B1720" s="700">
        <f t="shared" si="464"/>
        <v>11</v>
      </c>
      <c r="C1720" s="833">
        <f t="shared" si="461"/>
        <v>41586</v>
      </c>
      <c r="D1720" s="833" t="s">
        <v>1293</v>
      </c>
      <c r="E1720" s="851">
        <v>41586</v>
      </c>
      <c r="F1720" s="49" t="s">
        <v>1008</v>
      </c>
      <c r="G1720" s="49" t="s">
        <v>1005</v>
      </c>
      <c r="H1720" s="837" t="s">
        <v>1289</v>
      </c>
      <c r="I1720" s="254">
        <v>150</v>
      </c>
      <c r="J1720" s="254">
        <v>12873.423525426026</v>
      </c>
      <c r="K1720" s="701">
        <f t="shared" si="463"/>
        <v>1931014</v>
      </c>
      <c r="L1720" s="52" t="s">
        <v>167</v>
      </c>
      <c r="M1720" s="896" t="s">
        <v>165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52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50"/>
    </row>
    <row r="1721" spans="1:27" s="808" customFormat="1" ht="15.75" customHeight="1">
      <c r="A1721" s="893" t="str">
        <f>IF(B1721&lt;&gt;"",IF(AND(B1721&gt;=_TM1,B1721&lt;=_TM2,OR(TH!L1721="1111",TH!M1721="1111")),TH!D1721,""),"")</f>
        <v/>
      </c>
      <c r="B1721" s="700">
        <f t="shared" si="464"/>
        <v>11</v>
      </c>
      <c r="C1721" s="833">
        <f t="shared" si="461"/>
        <v>41591</v>
      </c>
      <c r="D1721" s="833" t="s">
        <v>1293</v>
      </c>
      <c r="E1721" s="851">
        <v>41591</v>
      </c>
      <c r="F1721" s="918" t="s">
        <v>836</v>
      </c>
      <c r="G1721" s="49" t="s">
        <v>1009</v>
      </c>
      <c r="H1721" s="837" t="s">
        <v>1289</v>
      </c>
      <c r="I1721" s="254">
        <v>395</v>
      </c>
      <c r="J1721" s="254">
        <v>9551.0851288015529</v>
      </c>
      <c r="K1721" s="701">
        <f t="shared" si="463"/>
        <v>3772679</v>
      </c>
      <c r="L1721" s="52" t="s">
        <v>167</v>
      </c>
      <c r="M1721" s="896" t="s">
        <v>165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52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50"/>
    </row>
    <row r="1722" spans="1:27" s="808" customFormat="1" ht="15.75" customHeight="1">
      <c r="A1722" s="893" t="str">
        <f>IF(B1722&lt;&gt;"",IF(AND(B1722&gt;=_TM1,B1722&lt;=_TM2,OR(TH!L1722="1111",TH!M1722="1111")),TH!D1722,""),"")</f>
        <v/>
      </c>
      <c r="B1722" s="700">
        <f t="shared" si="464"/>
        <v>11</v>
      </c>
      <c r="C1722" s="833">
        <f t="shared" si="461"/>
        <v>41592</v>
      </c>
      <c r="D1722" s="833" t="s">
        <v>1293</v>
      </c>
      <c r="E1722" s="851">
        <v>41592</v>
      </c>
      <c r="F1722" s="836" t="s">
        <v>1127</v>
      </c>
      <c r="G1722" s="49" t="s">
        <v>1010</v>
      </c>
      <c r="H1722" s="837" t="s">
        <v>1289</v>
      </c>
      <c r="I1722" s="254">
        <v>500</v>
      </c>
      <c r="J1722" s="254">
        <v>15943.490192092693</v>
      </c>
      <c r="K1722" s="701">
        <f t="shared" si="463"/>
        <v>7971745</v>
      </c>
      <c r="L1722" s="52" t="s">
        <v>167</v>
      </c>
      <c r="M1722" s="896" t="s">
        <v>165</v>
      </c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52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50"/>
    </row>
    <row r="1723" spans="1:27" s="808" customFormat="1" ht="15.75" customHeight="1">
      <c r="A1723" s="893" t="str">
        <f>IF(B1723&lt;&gt;"",IF(AND(B1723&gt;=_TM1,B1723&lt;=_TM2,OR(TH!L1723="1111",TH!M1723="1111")),TH!D1723,""),"")</f>
        <v/>
      </c>
      <c r="B1723" s="700">
        <f t="shared" si="464"/>
        <v>11</v>
      </c>
      <c r="C1723" s="833">
        <f t="shared" si="461"/>
        <v>41592</v>
      </c>
      <c r="D1723" s="833" t="s">
        <v>1293</v>
      </c>
      <c r="E1723" s="851">
        <v>41592</v>
      </c>
      <c r="F1723" s="836" t="s">
        <v>836</v>
      </c>
      <c r="G1723" s="49" t="s">
        <v>1011</v>
      </c>
      <c r="H1723" s="837" t="s">
        <v>1289</v>
      </c>
      <c r="I1723" s="254">
        <v>500</v>
      </c>
      <c r="J1723" s="254">
        <v>9443.4901920926932</v>
      </c>
      <c r="K1723" s="701">
        <f t="shared" si="463"/>
        <v>4721745</v>
      </c>
      <c r="L1723" s="52" t="s">
        <v>167</v>
      </c>
      <c r="M1723" s="896" t="s">
        <v>165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52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50"/>
    </row>
    <row r="1724" spans="1:27" s="808" customFormat="1" ht="15.75" customHeight="1">
      <c r="A1724" s="893" t="str">
        <f>IF(B1724&lt;&gt;"",IF(AND(B1724&gt;=_TM1,B1724&lt;=_TM2,OR(TH!L1724="1111",TH!M1724="1111")),TH!D1724,""),"")</f>
        <v/>
      </c>
      <c r="B1724" s="700">
        <f t="shared" si="464"/>
        <v>11</v>
      </c>
      <c r="C1724" s="833">
        <f t="shared" si="461"/>
        <v>41592</v>
      </c>
      <c r="D1724" s="833" t="s">
        <v>1293</v>
      </c>
      <c r="E1724" s="851">
        <v>41592</v>
      </c>
      <c r="F1724" s="918" t="s">
        <v>1148</v>
      </c>
      <c r="G1724" s="49" t="s">
        <v>1012</v>
      </c>
      <c r="H1724" s="837" t="s">
        <v>1289</v>
      </c>
      <c r="I1724" s="921">
        <v>2642</v>
      </c>
      <c r="J1724" s="254">
        <v>4177.3671792236537</v>
      </c>
      <c r="K1724" s="701">
        <f t="shared" si="463"/>
        <v>11036604</v>
      </c>
      <c r="L1724" s="52" t="s">
        <v>167</v>
      </c>
      <c r="M1724" s="896" t="s">
        <v>165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52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50"/>
    </row>
    <row r="1725" spans="1:27" s="808" customFormat="1" ht="15.75" customHeight="1">
      <c r="A1725" s="893" t="str">
        <f>IF(B1725&lt;&gt;"",IF(AND(B1725&gt;=_TM1,B1725&lt;=_TM2,OR(TH!L1725="1111",TH!M1725="1111")),TH!D1725,""),"")</f>
        <v/>
      </c>
      <c r="B1725" s="700">
        <f t="shared" si="464"/>
        <v>11</v>
      </c>
      <c r="C1725" s="833">
        <f t="shared" si="461"/>
        <v>41593</v>
      </c>
      <c r="D1725" s="833" t="s">
        <v>1293</v>
      </c>
      <c r="E1725" s="851">
        <v>41593</v>
      </c>
      <c r="F1725" s="918" t="s">
        <v>1160</v>
      </c>
      <c r="G1725" s="49" t="s">
        <v>1013</v>
      </c>
      <c r="H1725" s="837" t="s">
        <v>1289</v>
      </c>
      <c r="I1725" s="254">
        <v>2330</v>
      </c>
      <c r="J1725" s="254">
        <v>5903.8850418781003</v>
      </c>
      <c r="K1725" s="701">
        <f t="shared" si="463"/>
        <v>13756052</v>
      </c>
      <c r="L1725" s="52" t="s">
        <v>167</v>
      </c>
      <c r="M1725" s="896" t="s">
        <v>165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52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50"/>
    </row>
    <row r="1726" spans="1:27" s="808" customFormat="1" ht="15.75" customHeight="1">
      <c r="A1726" s="893" t="str">
        <f>IF(B1726&lt;&gt;"",IF(AND(B1726&gt;=_TM1,B1726&lt;=_TM2,OR(TH!L1726="1111",TH!M1726="1111")),TH!D1726,""),"")</f>
        <v/>
      </c>
      <c r="B1726" s="700">
        <f t="shared" si="464"/>
        <v>11</v>
      </c>
      <c r="C1726" s="833">
        <f t="shared" si="461"/>
        <v>41594</v>
      </c>
      <c r="D1726" s="833" t="s">
        <v>1293</v>
      </c>
      <c r="E1726" s="851">
        <v>41594</v>
      </c>
      <c r="F1726" s="918" t="s">
        <v>836</v>
      </c>
      <c r="G1726" s="49" t="s">
        <v>1014</v>
      </c>
      <c r="H1726" s="837" t="s">
        <v>1289</v>
      </c>
      <c r="I1726" s="921">
        <v>428</v>
      </c>
      <c r="J1726" s="254">
        <v>9354.7051453637214</v>
      </c>
      <c r="K1726" s="701">
        <f t="shared" si="463"/>
        <v>4003814</v>
      </c>
      <c r="L1726" s="52" t="s">
        <v>167</v>
      </c>
      <c r="M1726" s="896" t="s">
        <v>165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52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50"/>
    </row>
    <row r="1727" spans="1:27" s="808" customFormat="1" ht="15.75" customHeight="1">
      <c r="A1727" s="893" t="str">
        <f>IF(B1727&lt;&gt;"",IF(AND(B1727&gt;=_TM1,B1727&lt;=_TM2,OR(TH!L1727="1111",TH!M1727="1111")),TH!D1727,""),"")</f>
        <v/>
      </c>
      <c r="B1727" s="700">
        <f t="shared" si="464"/>
        <v>11</v>
      </c>
      <c r="C1727" s="833">
        <f t="shared" si="461"/>
        <v>41596</v>
      </c>
      <c r="D1727" s="833" t="s">
        <v>1293</v>
      </c>
      <c r="E1727" s="833">
        <v>41596</v>
      </c>
      <c r="F1727" s="895" t="s">
        <v>874</v>
      </c>
      <c r="G1727" s="834" t="s">
        <v>1015</v>
      </c>
      <c r="H1727" s="837" t="s">
        <v>1289</v>
      </c>
      <c r="I1727" s="917">
        <v>1017</v>
      </c>
      <c r="J1727" s="917">
        <v>11840.074262889153</v>
      </c>
      <c r="K1727" s="701">
        <f t="shared" si="463"/>
        <v>12041356</v>
      </c>
      <c r="L1727" s="52" t="s">
        <v>167</v>
      </c>
      <c r="M1727" s="896" t="s">
        <v>165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52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50"/>
    </row>
    <row r="1728" spans="1:27" s="808" customFormat="1" ht="15.75" customHeight="1">
      <c r="A1728" s="893" t="str">
        <f>IF(B1728&lt;&gt;"",IF(AND(B1728&gt;=_TM1,B1728&lt;=_TM2,OR(TH!L1728="1111",TH!M1728="1111")),TH!D1728,""),"")</f>
        <v/>
      </c>
      <c r="B1728" s="700">
        <f t="shared" si="464"/>
        <v>11</v>
      </c>
      <c r="C1728" s="833">
        <f t="shared" si="461"/>
        <v>41597</v>
      </c>
      <c r="D1728" s="833" t="s">
        <v>1293</v>
      </c>
      <c r="E1728" s="833">
        <v>41597</v>
      </c>
      <c r="F1728" s="895" t="s">
        <v>1016</v>
      </c>
      <c r="G1728" s="834" t="s">
        <v>1017</v>
      </c>
      <c r="H1728" s="837" t="s">
        <v>1289</v>
      </c>
      <c r="I1728" s="254">
        <v>70</v>
      </c>
      <c r="J1728" s="254">
        <v>41170.918763521266</v>
      </c>
      <c r="K1728" s="701">
        <f t="shared" si="463"/>
        <v>2881964</v>
      </c>
      <c r="L1728" s="52" t="s">
        <v>167</v>
      </c>
      <c r="M1728" s="896" t="s">
        <v>165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52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50"/>
    </row>
    <row r="1729" spans="1:27" s="808" customFormat="1" ht="15.75" customHeight="1">
      <c r="A1729" s="893" t="str">
        <f>IF(B1729&lt;&gt;"",IF(AND(B1729&gt;=_TM1,B1729&lt;=_TM2,OR(TH!L1729="1111",TH!M1729="1111")),TH!D1729,""),"")</f>
        <v/>
      </c>
      <c r="B1729" s="700">
        <f t="shared" si="464"/>
        <v>11</v>
      </c>
      <c r="C1729" s="833">
        <f t="shared" si="461"/>
        <v>41597</v>
      </c>
      <c r="D1729" s="833" t="s">
        <v>1293</v>
      </c>
      <c r="E1729" s="833">
        <v>41597</v>
      </c>
      <c r="F1729" s="918" t="s">
        <v>878</v>
      </c>
      <c r="G1729" s="834" t="s">
        <v>1017</v>
      </c>
      <c r="H1729" s="837" t="s">
        <v>1289</v>
      </c>
      <c r="I1729" s="254">
        <v>70</v>
      </c>
      <c r="J1729" s="254">
        <v>42499.675906378412</v>
      </c>
      <c r="K1729" s="701">
        <f t="shared" si="463"/>
        <v>2974977</v>
      </c>
      <c r="L1729" s="52" t="s">
        <v>167</v>
      </c>
      <c r="M1729" s="896" t="s">
        <v>165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52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50"/>
    </row>
    <row r="1730" spans="1:27" s="808" customFormat="1" ht="15.75" customHeight="1">
      <c r="A1730" s="893" t="str">
        <f>IF(B1730&lt;&gt;"",IF(AND(B1730&gt;=_TM1,B1730&lt;=_TM2,OR(TH!L1730="1111",TH!M1730="1111")),TH!D1730,""),"")</f>
        <v/>
      </c>
      <c r="B1730" s="700">
        <f t="shared" si="464"/>
        <v>11</v>
      </c>
      <c r="C1730" s="833">
        <f t="shared" si="461"/>
        <v>41597</v>
      </c>
      <c r="D1730" s="833" t="s">
        <v>1293</v>
      </c>
      <c r="E1730" s="833">
        <v>41597</v>
      </c>
      <c r="F1730" s="918" t="s">
        <v>1018</v>
      </c>
      <c r="G1730" s="834" t="s">
        <v>1017</v>
      </c>
      <c r="H1730" s="837" t="s">
        <v>1289</v>
      </c>
      <c r="I1730" s="254">
        <v>50</v>
      </c>
      <c r="J1730" s="254">
        <v>37177.490192092693</v>
      </c>
      <c r="K1730" s="701">
        <f t="shared" si="463"/>
        <v>1858875</v>
      </c>
      <c r="L1730" s="52" t="s">
        <v>167</v>
      </c>
      <c r="M1730" s="896" t="s">
        <v>165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52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50"/>
    </row>
    <row r="1731" spans="1:27" s="808" customFormat="1" ht="15.75" customHeight="1">
      <c r="A1731" s="893" t="str">
        <f>IF(B1731&lt;&gt;"",IF(AND(B1731&gt;=_TM1,B1731&lt;=_TM2,OR(TH!L1731="1111",TH!M1731="1111")),TH!D1731,""),"")</f>
        <v/>
      </c>
      <c r="B1731" s="700">
        <f t="shared" si="464"/>
        <v>11</v>
      </c>
      <c r="C1731" s="833">
        <f t="shared" si="461"/>
        <v>41597</v>
      </c>
      <c r="D1731" s="833" t="s">
        <v>1293</v>
      </c>
      <c r="E1731" s="833">
        <v>41597</v>
      </c>
      <c r="F1731" s="895" t="s">
        <v>879</v>
      </c>
      <c r="G1731" s="834" t="s">
        <v>1017</v>
      </c>
      <c r="H1731" s="837" t="s">
        <v>1289</v>
      </c>
      <c r="I1731" s="254">
        <v>50</v>
      </c>
      <c r="J1731" s="254">
        <v>37177.490192092693</v>
      </c>
      <c r="K1731" s="701">
        <f t="shared" si="463"/>
        <v>1858875</v>
      </c>
      <c r="L1731" s="52" t="s">
        <v>167</v>
      </c>
      <c r="M1731" s="896" t="s">
        <v>165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52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50"/>
    </row>
    <row r="1732" spans="1:27" s="808" customFormat="1" ht="15.75" customHeight="1">
      <c r="A1732" s="893" t="str">
        <f>IF(B1732&lt;&gt;"",IF(AND(B1732&gt;=_TM1,B1732&lt;=_TM2,OR(TH!L1732="1111",TH!M1732="1111")),TH!D1732,""),"")</f>
        <v/>
      </c>
      <c r="B1732" s="700">
        <f t="shared" si="464"/>
        <v>11</v>
      </c>
      <c r="C1732" s="833">
        <f t="shared" si="461"/>
        <v>41598</v>
      </c>
      <c r="D1732" s="833" t="s">
        <v>1293</v>
      </c>
      <c r="E1732" s="833">
        <v>41598</v>
      </c>
      <c r="F1732" s="895" t="s">
        <v>880</v>
      </c>
      <c r="G1732" s="834" t="s">
        <v>1019</v>
      </c>
      <c r="H1732" s="837" t="s">
        <v>1289</v>
      </c>
      <c r="I1732" s="254">
        <v>50</v>
      </c>
      <c r="J1732" s="254">
        <v>46193.570192092695</v>
      </c>
      <c r="K1732" s="701">
        <f t="shared" si="463"/>
        <v>2309679</v>
      </c>
      <c r="L1732" s="52" t="s">
        <v>167</v>
      </c>
      <c r="M1732" s="896" t="s">
        <v>165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52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50"/>
    </row>
    <row r="1733" spans="1:27" s="808" customFormat="1" ht="15.75" customHeight="1">
      <c r="A1733" s="893" t="str">
        <f>IF(B1733&lt;&gt;"",IF(AND(B1733&gt;=_TM1,B1733&lt;=_TM2,OR(TH!L1733="1111",TH!M1733="1111")),TH!D1733,""),"")</f>
        <v/>
      </c>
      <c r="B1733" s="700">
        <f t="shared" si="464"/>
        <v>11</v>
      </c>
      <c r="C1733" s="833">
        <f t="shared" si="461"/>
        <v>41598</v>
      </c>
      <c r="D1733" s="833" t="s">
        <v>1293</v>
      </c>
      <c r="E1733" s="833">
        <v>41598</v>
      </c>
      <c r="F1733" s="895" t="s">
        <v>1020</v>
      </c>
      <c r="G1733" s="834" t="s">
        <v>1019</v>
      </c>
      <c r="H1733" s="837" t="s">
        <v>1289</v>
      </c>
      <c r="I1733" s="254">
        <v>50</v>
      </c>
      <c r="J1733" s="254">
        <v>45547.130192092693</v>
      </c>
      <c r="K1733" s="701">
        <f t="shared" si="463"/>
        <v>2277357</v>
      </c>
      <c r="L1733" s="52" t="s">
        <v>167</v>
      </c>
      <c r="M1733" s="896" t="s">
        <v>165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52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50"/>
    </row>
    <row r="1734" spans="1:27" s="808" customFormat="1" ht="15.75" customHeight="1">
      <c r="A1734" s="893" t="str">
        <f>IF(B1734&lt;&gt;"",IF(AND(B1734&gt;=_TM1,B1734&lt;=_TM2,OR(TH!L1734="1111",TH!M1734="1111")),TH!D1734,""),"")</f>
        <v/>
      </c>
      <c r="B1734" s="700">
        <f t="shared" si="464"/>
        <v>11</v>
      </c>
      <c r="C1734" s="833">
        <f t="shared" si="461"/>
        <v>41598</v>
      </c>
      <c r="D1734" s="833" t="s">
        <v>1293</v>
      </c>
      <c r="E1734" s="851">
        <v>41598</v>
      </c>
      <c r="F1734" s="49" t="s">
        <v>1021</v>
      </c>
      <c r="G1734" s="49" t="s">
        <v>1019</v>
      </c>
      <c r="H1734" s="837" t="s">
        <v>1289</v>
      </c>
      <c r="I1734" s="254">
        <v>50</v>
      </c>
      <c r="J1734" s="254">
        <v>62354.310192092693</v>
      </c>
      <c r="K1734" s="701">
        <f t="shared" si="463"/>
        <v>3117716</v>
      </c>
      <c r="L1734" s="52" t="s">
        <v>167</v>
      </c>
      <c r="M1734" s="896" t="s">
        <v>165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52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50"/>
    </row>
    <row r="1735" spans="1:27" s="808" customFormat="1" ht="15.75" customHeight="1">
      <c r="A1735" s="893" t="str">
        <f>IF(B1735&lt;&gt;"",IF(AND(B1735&gt;=_TM1,B1735&lt;=_TM2,OR(TH!L1735="1111",TH!M1735="1111")),TH!D1735,""),"")</f>
        <v/>
      </c>
      <c r="B1735" s="700">
        <f t="shared" si="464"/>
        <v>11</v>
      </c>
      <c r="C1735" s="833">
        <f t="shared" si="461"/>
        <v>41603</v>
      </c>
      <c r="D1735" s="833" t="s">
        <v>1293</v>
      </c>
      <c r="E1735" s="851">
        <v>41603</v>
      </c>
      <c r="F1735" s="918" t="s">
        <v>721</v>
      </c>
      <c r="G1735" s="49" t="s">
        <v>1022</v>
      </c>
      <c r="H1735" s="837" t="s">
        <v>1289</v>
      </c>
      <c r="I1735" s="254">
        <v>500</v>
      </c>
      <c r="J1735" s="254">
        <v>5593.4901920926923</v>
      </c>
      <c r="K1735" s="701">
        <f t="shared" si="463"/>
        <v>2796745</v>
      </c>
      <c r="L1735" s="52" t="s">
        <v>167</v>
      </c>
      <c r="M1735" s="896" t="s">
        <v>165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52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50"/>
    </row>
    <row r="1736" spans="1:27" s="808" customFormat="1" ht="15.75" customHeight="1">
      <c r="A1736" s="893" t="str">
        <f>IF(B1736&lt;&gt;"",IF(AND(B1736&gt;=_TM1,B1736&lt;=_TM2,OR(TH!L1736="1111",TH!M1736="1111")),TH!D1736,""),"")</f>
        <v/>
      </c>
      <c r="B1736" s="700">
        <f t="shared" si="464"/>
        <v>11</v>
      </c>
      <c r="C1736" s="833">
        <f t="shared" si="461"/>
        <v>41604</v>
      </c>
      <c r="D1736" s="833" t="s">
        <v>1293</v>
      </c>
      <c r="E1736" s="851">
        <v>41604</v>
      </c>
      <c r="F1736" s="49" t="s">
        <v>836</v>
      </c>
      <c r="G1736" s="49" t="s">
        <v>652</v>
      </c>
      <c r="H1736" s="837" t="s">
        <v>1289</v>
      </c>
      <c r="I1736" s="254">
        <v>500</v>
      </c>
      <c r="J1736" s="254">
        <v>9423.4901920926932</v>
      </c>
      <c r="K1736" s="701">
        <f t="shared" si="463"/>
        <v>4711745</v>
      </c>
      <c r="L1736" s="52" t="s">
        <v>167</v>
      </c>
      <c r="M1736" s="896" t="s">
        <v>165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52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50"/>
    </row>
    <row r="1737" spans="1:27" s="808" customFormat="1" ht="15.75" customHeight="1">
      <c r="A1737" s="893" t="str">
        <f>IF(B1737&lt;&gt;"",IF(AND(B1737&gt;=_TM1,B1737&lt;=_TM2,OR(TH!L1737="1111",TH!M1737="1111")),TH!D1737,""),"")</f>
        <v/>
      </c>
      <c r="B1737" s="700">
        <f t="shared" si="464"/>
        <v>11</v>
      </c>
      <c r="C1737" s="833">
        <f t="shared" si="461"/>
        <v>41604</v>
      </c>
      <c r="D1737" s="833" t="s">
        <v>1293</v>
      </c>
      <c r="E1737" s="851">
        <v>41604</v>
      </c>
      <c r="F1737" s="49" t="s">
        <v>836</v>
      </c>
      <c r="G1737" s="49" t="s">
        <v>652</v>
      </c>
      <c r="H1737" s="837" t="s">
        <v>1289</v>
      </c>
      <c r="I1737" s="254">
        <v>500</v>
      </c>
      <c r="J1737" s="254">
        <v>10739.518192092692</v>
      </c>
      <c r="K1737" s="701">
        <f t="shared" si="463"/>
        <v>5369759</v>
      </c>
      <c r="L1737" s="52" t="s">
        <v>167</v>
      </c>
      <c r="M1737" s="896" t="s">
        <v>165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52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50"/>
    </row>
    <row r="1738" spans="1:27" s="808" customFormat="1" ht="15.75" customHeight="1">
      <c r="A1738" s="893" t="str">
        <f>IF(B1738&lt;&gt;"",IF(AND(B1738&gt;=_TM1,B1738&lt;=_TM2,OR(TH!L1738="1111",TH!M1738="1111")),TH!D1738,""),"")</f>
        <v/>
      </c>
      <c r="B1738" s="700">
        <f t="shared" si="464"/>
        <v>11</v>
      </c>
      <c r="C1738" s="833">
        <f t="shared" si="461"/>
        <v>41604</v>
      </c>
      <c r="D1738" s="833" t="s">
        <v>1293</v>
      </c>
      <c r="E1738" s="851">
        <v>41604</v>
      </c>
      <c r="F1738" s="918" t="s">
        <v>836</v>
      </c>
      <c r="G1738" s="49" t="s">
        <v>652</v>
      </c>
      <c r="H1738" s="837" t="s">
        <v>1289</v>
      </c>
      <c r="I1738" s="254">
        <v>500</v>
      </c>
      <c r="J1738" s="254">
        <v>10360.690192092692</v>
      </c>
      <c r="K1738" s="701">
        <f t="shared" si="463"/>
        <v>5180345</v>
      </c>
      <c r="L1738" s="52" t="s">
        <v>167</v>
      </c>
      <c r="M1738" s="896" t="s">
        <v>165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52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50"/>
    </row>
    <row r="1739" spans="1:27" s="808" customFormat="1" ht="15.75" customHeight="1">
      <c r="A1739" s="893" t="str">
        <f>IF(B1739&lt;&gt;"",IF(AND(B1739&gt;=_TM1,B1739&lt;=_TM2,OR(TH!L1739="1111",TH!M1739="1111")),TH!D1739,""),"")</f>
        <v/>
      </c>
      <c r="B1739" s="700">
        <f t="shared" si="464"/>
        <v>11</v>
      </c>
      <c r="C1739" s="833">
        <f t="shared" si="461"/>
        <v>41606</v>
      </c>
      <c r="D1739" s="833" t="s">
        <v>1293</v>
      </c>
      <c r="E1739" s="851">
        <v>41606</v>
      </c>
      <c r="F1739" s="49" t="s">
        <v>836</v>
      </c>
      <c r="G1739" s="49" t="s">
        <v>1024</v>
      </c>
      <c r="H1739" s="837" t="s">
        <v>1289</v>
      </c>
      <c r="I1739" s="254">
        <v>500</v>
      </c>
      <c r="J1739" s="254">
        <v>9994.5041920926924</v>
      </c>
      <c r="K1739" s="701">
        <f t="shared" si="463"/>
        <v>4997252</v>
      </c>
      <c r="L1739" s="52" t="s">
        <v>167</v>
      </c>
      <c r="M1739" s="896" t="s">
        <v>165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52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50"/>
    </row>
    <row r="1740" spans="1:27" s="808" customFormat="1" ht="15.75" customHeight="1">
      <c r="A1740" s="893" t="str">
        <f>IF(B1740&lt;&gt;"",IF(AND(B1740&gt;=_TM1,B1740&lt;=_TM2,OR(TH!L1740="1111",TH!M1740="1111")),TH!D1740,""),"")</f>
        <v/>
      </c>
      <c r="B1740" s="700">
        <f t="shared" si="464"/>
        <v>11</v>
      </c>
      <c r="C1740" s="833">
        <f t="shared" si="461"/>
        <v>41606</v>
      </c>
      <c r="D1740" s="833" t="s">
        <v>1293</v>
      </c>
      <c r="E1740" s="851">
        <v>41606</v>
      </c>
      <c r="F1740" s="918" t="s">
        <v>739</v>
      </c>
      <c r="G1740" s="49" t="s">
        <v>1024</v>
      </c>
      <c r="H1740" s="837" t="s">
        <v>1289</v>
      </c>
      <c r="I1740" s="254">
        <v>500</v>
      </c>
      <c r="J1740" s="254">
        <v>6518.7401920926923</v>
      </c>
      <c r="K1740" s="701">
        <f t="shared" si="463"/>
        <v>3259370</v>
      </c>
      <c r="L1740" s="52" t="s">
        <v>167</v>
      </c>
      <c r="M1740" s="896" t="s">
        <v>165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52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50"/>
    </row>
    <row r="1741" spans="1:27" s="808" customFormat="1" ht="15.75" customHeight="1">
      <c r="A1741" s="893" t="str">
        <f>IF(B1741&lt;&gt;"",IF(AND(B1741&gt;=_TM1,B1741&lt;=_TM2,OR(TH!L1741="1111",TH!M1741="1111")),TH!D1741,""),"")</f>
        <v/>
      </c>
      <c r="B1741" s="700">
        <f t="shared" si="464"/>
        <v>11</v>
      </c>
      <c r="C1741" s="833">
        <f t="shared" si="461"/>
        <v>41606</v>
      </c>
      <c r="D1741" s="833" t="s">
        <v>1293</v>
      </c>
      <c r="E1741" s="48">
        <v>41606</v>
      </c>
      <c r="F1741" s="49" t="s">
        <v>845</v>
      </c>
      <c r="G1741" s="49" t="s">
        <v>658</v>
      </c>
      <c r="H1741" s="837" t="s">
        <v>1289</v>
      </c>
      <c r="I1741" s="254">
        <v>220</v>
      </c>
      <c r="J1741" s="254">
        <v>18398.035646638145</v>
      </c>
      <c r="K1741" s="701">
        <f t="shared" si="463"/>
        <v>4047568</v>
      </c>
      <c r="L1741" s="52" t="s">
        <v>167</v>
      </c>
      <c r="M1741" s="896" t="s">
        <v>165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52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50"/>
    </row>
    <row r="1742" spans="1:27" s="808" customFormat="1" ht="15.75" customHeight="1">
      <c r="A1742" s="893" t="str">
        <f>IF(B1742&lt;&gt;"",IF(AND(B1742&gt;=_TM1,B1742&lt;=_TM2,OR(TH!L1742="1111",TH!M1742="1111")),TH!D1742,""),"")</f>
        <v/>
      </c>
      <c r="B1742" s="700">
        <f t="shared" si="464"/>
        <v>11</v>
      </c>
      <c r="C1742" s="833">
        <f t="shared" ref="C1742:C1805" si="465">E1742</f>
        <v>41608</v>
      </c>
      <c r="D1742" s="833" t="s">
        <v>1293</v>
      </c>
      <c r="E1742" s="48">
        <v>41608</v>
      </c>
      <c r="F1742" s="49" t="s">
        <v>1008</v>
      </c>
      <c r="G1742" s="49" t="s">
        <v>1025</v>
      </c>
      <c r="H1742" s="837" t="s">
        <v>1289</v>
      </c>
      <c r="I1742" s="254">
        <v>200</v>
      </c>
      <c r="J1742" s="254">
        <v>12655.490192092691</v>
      </c>
      <c r="K1742" s="701">
        <f t="shared" si="463"/>
        <v>2531098</v>
      </c>
      <c r="L1742" s="52" t="s">
        <v>167</v>
      </c>
      <c r="M1742" s="896" t="s">
        <v>165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52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50"/>
    </row>
    <row r="1743" spans="1:27" s="808" customFormat="1" ht="15.75" customHeight="1">
      <c r="A1743" s="893" t="str">
        <f>IF(B1743&lt;&gt;"",IF(AND(B1743&gt;=_TM1,B1743&lt;=_TM2,OR(TH!L1743="1111",TH!M1743="1111")),TH!D1743,""),"")</f>
        <v/>
      </c>
      <c r="B1743" s="700">
        <f t="shared" si="464"/>
        <v>11</v>
      </c>
      <c r="C1743" s="833">
        <f t="shared" si="465"/>
        <v>41608</v>
      </c>
      <c r="D1743" s="833" t="s">
        <v>1293</v>
      </c>
      <c r="E1743" s="894">
        <v>41608</v>
      </c>
      <c r="F1743" s="918" t="s">
        <v>1007</v>
      </c>
      <c r="G1743" s="919" t="s">
        <v>1025</v>
      </c>
      <c r="H1743" s="837" t="s">
        <v>1289</v>
      </c>
      <c r="I1743" s="254">
        <v>150</v>
      </c>
      <c r="J1743" s="254">
        <v>13549.490192092693</v>
      </c>
      <c r="K1743" s="701">
        <f t="shared" si="463"/>
        <v>2032424</v>
      </c>
      <c r="L1743" s="52" t="s">
        <v>167</v>
      </c>
      <c r="M1743" s="896" t="s">
        <v>165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52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50"/>
    </row>
    <row r="1744" spans="1:27" s="808" customFormat="1" ht="15.75" customHeight="1">
      <c r="A1744" s="893" t="str">
        <f>IF(B1744&lt;&gt;"",IF(AND(B1744&gt;=_TM1,B1744&lt;=_TM2,OR(TH!L1744="1111",TH!M1744="1111")),TH!D1744,""),"")</f>
        <v/>
      </c>
      <c r="B1744" s="700">
        <f t="shared" si="464"/>
        <v>11</v>
      </c>
      <c r="C1744" s="833">
        <f t="shared" si="465"/>
        <v>41608</v>
      </c>
      <c r="D1744" s="833" t="s">
        <v>1293</v>
      </c>
      <c r="E1744" s="833">
        <v>41608</v>
      </c>
      <c r="F1744" s="895" t="s">
        <v>1004</v>
      </c>
      <c r="G1744" s="834" t="s">
        <v>1025</v>
      </c>
      <c r="H1744" s="837" t="s">
        <v>1289</v>
      </c>
      <c r="I1744" s="254">
        <v>100</v>
      </c>
      <c r="J1744" s="254">
        <v>8923.4901920926914</v>
      </c>
      <c r="K1744" s="701">
        <f t="shared" si="463"/>
        <v>892349</v>
      </c>
      <c r="L1744" s="52" t="s">
        <v>167</v>
      </c>
      <c r="M1744" s="896" t="s">
        <v>165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52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50"/>
    </row>
    <row r="1745" spans="1:27" s="808" customFormat="1" ht="15.75" customHeight="1">
      <c r="A1745" s="893" t="str">
        <f>IF(B1745&lt;&gt;"",IF(AND(B1745&gt;=_TM1,B1745&lt;=_TM2,OR(TH!L1745="1111",TH!M1745="1111")),TH!D1745,""),"")</f>
        <v/>
      </c>
      <c r="B1745" s="700">
        <f t="shared" si="464"/>
        <v>11</v>
      </c>
      <c r="C1745" s="833">
        <f t="shared" si="465"/>
        <v>41608</v>
      </c>
      <c r="D1745" s="833" t="s">
        <v>1293</v>
      </c>
      <c r="E1745" s="833">
        <v>41608</v>
      </c>
      <c r="F1745" s="895" t="s">
        <v>1026</v>
      </c>
      <c r="G1745" s="834" t="s">
        <v>1027</v>
      </c>
      <c r="H1745" s="837" t="s">
        <v>1289</v>
      </c>
      <c r="I1745" s="254">
        <v>1236</v>
      </c>
      <c r="J1745" s="254">
        <v>16943.49019209269</v>
      </c>
      <c r="K1745" s="701">
        <f t="shared" si="463"/>
        <v>20942154</v>
      </c>
      <c r="L1745" s="52" t="s">
        <v>167</v>
      </c>
      <c r="M1745" s="896" t="s">
        <v>165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52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50"/>
    </row>
    <row r="1746" spans="1:27" s="808" customFormat="1" ht="15.75" customHeight="1">
      <c r="A1746" s="893" t="str">
        <f>IF(B1746&lt;&gt;"",IF(AND(B1746&gt;=_TM1,B1746&lt;=_TM2,OR(TH!L1746="1111",TH!M1746="1111")),TH!D1746,""),"")</f>
        <v/>
      </c>
      <c r="B1746" s="700">
        <f t="shared" si="464"/>
        <v>12</v>
      </c>
      <c r="C1746" s="833">
        <f t="shared" si="465"/>
        <v>41612</v>
      </c>
      <c r="D1746" s="833" t="s">
        <v>1293</v>
      </c>
      <c r="E1746" s="833">
        <v>41612</v>
      </c>
      <c r="F1746" s="895" t="s">
        <v>836</v>
      </c>
      <c r="G1746" s="834" t="s">
        <v>1028</v>
      </c>
      <c r="H1746" s="837" t="s">
        <v>1289</v>
      </c>
      <c r="I1746" s="254">
        <v>500</v>
      </c>
      <c r="J1746" s="254">
        <v>9589.0101920926918</v>
      </c>
      <c r="K1746" s="701">
        <f t="shared" si="463"/>
        <v>4794505</v>
      </c>
      <c r="L1746" s="52" t="s">
        <v>167</v>
      </c>
      <c r="M1746" s="896" t="s">
        <v>165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52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50"/>
    </row>
    <row r="1747" spans="1:27" s="808" customFormat="1" ht="15.75" customHeight="1">
      <c r="A1747" s="893" t="str">
        <f>IF(B1747&lt;&gt;"",IF(AND(B1747&gt;=_TM1,B1747&lt;=_TM2,OR(TH!L1747="1111",TH!M1747="1111")),TH!D1747,""),"")</f>
        <v/>
      </c>
      <c r="B1747" s="700">
        <f t="shared" si="464"/>
        <v>12</v>
      </c>
      <c r="C1747" s="833">
        <f t="shared" si="465"/>
        <v>41612</v>
      </c>
      <c r="D1747" s="833" t="s">
        <v>1293</v>
      </c>
      <c r="E1747" s="833">
        <v>41612</v>
      </c>
      <c r="F1747" s="895" t="s">
        <v>836</v>
      </c>
      <c r="G1747" s="834" t="s">
        <v>1028</v>
      </c>
      <c r="H1747" s="837" t="s">
        <v>1289</v>
      </c>
      <c r="I1747" s="254">
        <v>500</v>
      </c>
      <c r="J1747" s="254">
        <v>9294.7401920926932</v>
      </c>
      <c r="K1747" s="701">
        <f t="shared" si="463"/>
        <v>4647370</v>
      </c>
      <c r="L1747" s="52" t="s">
        <v>167</v>
      </c>
      <c r="M1747" s="896" t="s">
        <v>165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52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50"/>
    </row>
    <row r="1748" spans="1:27" s="808" customFormat="1" ht="15.75" customHeight="1">
      <c r="A1748" s="893" t="str">
        <f>IF(B1748&lt;&gt;"",IF(AND(B1748&gt;=_TM1,B1748&lt;=_TM2,OR(TH!L1748="1111",TH!M1748="1111")),TH!D1748,""),"")</f>
        <v/>
      </c>
      <c r="B1748" s="700">
        <f t="shared" si="464"/>
        <v>12</v>
      </c>
      <c r="C1748" s="833">
        <f t="shared" si="465"/>
        <v>41613</v>
      </c>
      <c r="D1748" s="833" t="s">
        <v>1293</v>
      </c>
      <c r="E1748" s="833">
        <v>41613</v>
      </c>
      <c r="F1748" s="895" t="s">
        <v>883</v>
      </c>
      <c r="G1748" s="834" t="s">
        <v>1029</v>
      </c>
      <c r="H1748" s="837" t="s">
        <v>1289</v>
      </c>
      <c r="I1748" s="254">
        <v>202</v>
      </c>
      <c r="J1748" s="254">
        <v>7803.8862316966515</v>
      </c>
      <c r="K1748" s="701">
        <f t="shared" si="463"/>
        <v>1576385</v>
      </c>
      <c r="L1748" s="52" t="s">
        <v>167</v>
      </c>
      <c r="M1748" s="896" t="s">
        <v>165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52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50"/>
    </row>
    <row r="1749" spans="1:27" s="808" customFormat="1" ht="15.75" customHeight="1">
      <c r="A1749" s="893" t="str">
        <f>IF(B1749&lt;&gt;"",IF(AND(B1749&gt;=_TM1,B1749&lt;=_TM2,OR(TH!L1749="1111",TH!M1749="1111")),TH!D1749,""),"")</f>
        <v/>
      </c>
      <c r="B1749" s="700">
        <f t="shared" si="464"/>
        <v>12</v>
      </c>
      <c r="C1749" s="833">
        <f t="shared" si="465"/>
        <v>41613</v>
      </c>
      <c r="D1749" s="833" t="s">
        <v>1293</v>
      </c>
      <c r="E1749" s="833">
        <v>41613</v>
      </c>
      <c r="F1749" s="895" t="s">
        <v>841</v>
      </c>
      <c r="G1749" s="834" t="s">
        <v>1029</v>
      </c>
      <c r="H1749" s="837" t="s">
        <v>1289</v>
      </c>
      <c r="I1749" s="254">
        <v>85</v>
      </c>
      <c r="J1749" s="254">
        <v>10186.431368563282</v>
      </c>
      <c r="K1749" s="701">
        <f t="shared" si="463"/>
        <v>865847</v>
      </c>
      <c r="L1749" s="52" t="s">
        <v>167</v>
      </c>
      <c r="M1749" s="896" t="s">
        <v>165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52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50"/>
    </row>
    <row r="1750" spans="1:27" s="808" customFormat="1" ht="15.75" customHeight="1">
      <c r="A1750" s="893" t="str">
        <f>IF(B1750&lt;&gt;"",IF(AND(B1750&gt;=_TM1,B1750&lt;=_TM2,OR(TH!L1750="1111",TH!M1750="1111")),TH!D1750,""),"")</f>
        <v/>
      </c>
      <c r="B1750" s="700">
        <f t="shared" si="464"/>
        <v>12</v>
      </c>
      <c r="C1750" s="833">
        <f t="shared" si="465"/>
        <v>41615</v>
      </c>
      <c r="D1750" s="833" t="s">
        <v>1293</v>
      </c>
      <c r="E1750" s="833">
        <v>41615</v>
      </c>
      <c r="F1750" s="895" t="s">
        <v>1148</v>
      </c>
      <c r="G1750" s="834" t="s">
        <v>660</v>
      </c>
      <c r="H1750" s="837" t="s">
        <v>1289</v>
      </c>
      <c r="I1750" s="254">
        <v>2700</v>
      </c>
      <c r="J1750" s="254">
        <v>4107.8987106112108</v>
      </c>
      <c r="K1750" s="701">
        <f t="shared" si="463"/>
        <v>11091327</v>
      </c>
      <c r="L1750" s="52" t="s">
        <v>167</v>
      </c>
      <c r="M1750" s="896" t="s">
        <v>165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52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50"/>
    </row>
    <row r="1751" spans="1:27" s="808" customFormat="1" ht="15.75" customHeight="1">
      <c r="A1751" s="893" t="str">
        <f>IF(B1751&lt;&gt;"",IF(AND(B1751&gt;=_TM1,B1751&lt;=_TM2,OR(TH!L1751="1111",TH!M1751="1111")),TH!D1751,""),"")</f>
        <v/>
      </c>
      <c r="B1751" s="700">
        <f t="shared" si="464"/>
        <v>12</v>
      </c>
      <c r="C1751" s="833">
        <f t="shared" si="465"/>
        <v>41620</v>
      </c>
      <c r="D1751" s="833" t="s">
        <v>1293</v>
      </c>
      <c r="E1751" s="833">
        <v>41620</v>
      </c>
      <c r="F1751" s="895" t="s">
        <v>1140</v>
      </c>
      <c r="G1751" s="834" t="s">
        <v>1030</v>
      </c>
      <c r="H1751" s="837" t="s">
        <v>1289</v>
      </c>
      <c r="I1751" s="254">
        <v>1055</v>
      </c>
      <c r="J1751" s="254">
        <v>4265.8010925666258</v>
      </c>
      <c r="K1751" s="701">
        <f t="shared" si="463"/>
        <v>4500420</v>
      </c>
      <c r="L1751" s="52" t="s">
        <v>167</v>
      </c>
      <c r="M1751" s="896" t="s">
        <v>165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52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50"/>
    </row>
    <row r="1752" spans="1:27" s="808" customFormat="1" ht="15.75" customHeight="1">
      <c r="A1752" s="893" t="str">
        <f>IF(B1752&lt;&gt;"",IF(AND(B1752&gt;=_TM1,B1752&lt;=_TM2,OR(TH!L1752="1111",TH!M1752="1111")),TH!D1752,""),"")</f>
        <v/>
      </c>
      <c r="B1752" s="700">
        <f t="shared" si="464"/>
        <v>12</v>
      </c>
      <c r="C1752" s="833">
        <f t="shared" si="465"/>
        <v>41622</v>
      </c>
      <c r="D1752" s="833" t="s">
        <v>1293</v>
      </c>
      <c r="E1752" s="833">
        <v>41622</v>
      </c>
      <c r="F1752" s="895" t="s">
        <v>1150</v>
      </c>
      <c r="G1752" s="834" t="s">
        <v>1031</v>
      </c>
      <c r="H1752" s="837" t="s">
        <v>1289</v>
      </c>
      <c r="I1752" s="254">
        <v>2700</v>
      </c>
      <c r="J1752" s="254">
        <v>4107.8983402408403</v>
      </c>
      <c r="K1752" s="701">
        <f t="shared" si="463"/>
        <v>11091326</v>
      </c>
      <c r="L1752" s="52" t="s">
        <v>167</v>
      </c>
      <c r="M1752" s="896" t="s">
        <v>165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52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50"/>
    </row>
    <row r="1753" spans="1:27" s="808" customFormat="1" ht="15.75" customHeight="1">
      <c r="A1753" s="893" t="str">
        <f>IF(B1753&lt;&gt;"",IF(AND(B1753&gt;=_TM1,B1753&lt;=_TM2,OR(TH!L1753="1111",TH!M1753="1111")),TH!D1753,""),"")</f>
        <v/>
      </c>
      <c r="B1753" s="700">
        <f t="shared" si="464"/>
        <v>12</v>
      </c>
      <c r="C1753" s="833">
        <f t="shared" si="465"/>
        <v>41624</v>
      </c>
      <c r="D1753" s="833" t="s">
        <v>1293</v>
      </c>
      <c r="E1753" s="833">
        <v>41624</v>
      </c>
      <c r="F1753" s="895" t="s">
        <v>836</v>
      </c>
      <c r="G1753" s="834" t="s">
        <v>1032</v>
      </c>
      <c r="H1753" s="837" t="s">
        <v>1289</v>
      </c>
      <c r="I1753" s="254">
        <v>1030</v>
      </c>
      <c r="J1753" s="254">
        <v>10898.519318306286</v>
      </c>
      <c r="K1753" s="701">
        <f t="shared" si="463"/>
        <v>11225475</v>
      </c>
      <c r="L1753" s="52" t="s">
        <v>167</v>
      </c>
      <c r="M1753" s="896" t="s">
        <v>165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52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50"/>
    </row>
    <row r="1754" spans="1:27" s="808" customFormat="1" ht="15.75" customHeight="1">
      <c r="A1754" s="893" t="str">
        <f>IF(B1754&lt;&gt;"",IF(AND(B1754&gt;=_TM1,B1754&lt;=_TM2,OR(TH!L1754="1111",TH!M1754="1111")),TH!D1754,""),"")</f>
        <v/>
      </c>
      <c r="B1754" s="700">
        <f t="shared" si="464"/>
        <v>12</v>
      </c>
      <c r="C1754" s="833">
        <f t="shared" si="465"/>
        <v>41625</v>
      </c>
      <c r="D1754" s="833" t="s">
        <v>1293</v>
      </c>
      <c r="E1754" s="833">
        <v>41625</v>
      </c>
      <c r="F1754" s="895" t="s">
        <v>1150</v>
      </c>
      <c r="G1754" s="834" t="s">
        <v>1033</v>
      </c>
      <c r="H1754" s="837" t="s">
        <v>1289</v>
      </c>
      <c r="I1754" s="254">
        <v>2700</v>
      </c>
      <c r="J1754" s="254">
        <v>3610.1568587593597</v>
      </c>
      <c r="K1754" s="701">
        <f t="shared" si="463"/>
        <v>9747424</v>
      </c>
      <c r="L1754" s="52" t="s">
        <v>167</v>
      </c>
      <c r="M1754" s="896" t="s">
        <v>165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52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50"/>
    </row>
    <row r="1755" spans="1:27" s="808" customFormat="1" ht="15.75" customHeight="1">
      <c r="A1755" s="893" t="str">
        <f>IF(B1755&lt;&gt;"",IF(AND(B1755&gt;=_TM1,B1755&lt;=_TM2,OR(TH!L1755="1111",TH!M1755="1111")),TH!D1755,""),"")</f>
        <v/>
      </c>
      <c r="B1755" s="700">
        <f t="shared" si="464"/>
        <v>12</v>
      </c>
      <c r="C1755" s="833">
        <f t="shared" si="465"/>
        <v>41626</v>
      </c>
      <c r="D1755" s="833" t="s">
        <v>1293</v>
      </c>
      <c r="E1755" s="833">
        <v>41626</v>
      </c>
      <c r="F1755" s="895" t="s">
        <v>836</v>
      </c>
      <c r="G1755" s="834" t="s">
        <v>1034</v>
      </c>
      <c r="H1755" s="837" t="s">
        <v>1289</v>
      </c>
      <c r="I1755" s="254">
        <v>505</v>
      </c>
      <c r="J1755" s="254">
        <v>9212.0545485283365</v>
      </c>
      <c r="K1755" s="701">
        <f t="shared" si="463"/>
        <v>4652088</v>
      </c>
      <c r="L1755" s="52" t="s">
        <v>167</v>
      </c>
      <c r="M1755" s="896" t="s">
        <v>165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52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50"/>
    </row>
    <row r="1756" spans="1:27" s="808" customFormat="1" ht="15.75" customHeight="1">
      <c r="A1756" s="893" t="str">
        <f>IF(B1756&lt;&gt;"",IF(AND(B1756&gt;=_TM1,B1756&lt;=_TM2,OR(TH!L1756="1111",TH!M1756="1111")),TH!D1756,""),"")</f>
        <v/>
      </c>
      <c r="B1756" s="700">
        <f t="shared" si="464"/>
        <v>12</v>
      </c>
      <c r="C1756" s="833">
        <f t="shared" si="465"/>
        <v>41628</v>
      </c>
      <c r="D1756" s="833" t="s">
        <v>1293</v>
      </c>
      <c r="E1756" s="48">
        <v>41628</v>
      </c>
      <c r="F1756" s="49" t="s">
        <v>1129</v>
      </c>
      <c r="G1756" s="49" t="s">
        <v>1035</v>
      </c>
      <c r="H1756" s="837" t="s">
        <v>1289</v>
      </c>
      <c r="I1756" s="254">
        <v>259</v>
      </c>
      <c r="J1756" s="254">
        <v>7258.5481071506065</v>
      </c>
      <c r="K1756" s="701">
        <f t="shared" si="463"/>
        <v>1879964</v>
      </c>
      <c r="L1756" s="52" t="s">
        <v>167</v>
      </c>
      <c r="M1756" s="896" t="s">
        <v>165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52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50"/>
    </row>
    <row r="1757" spans="1:27" s="808" customFormat="1" ht="15.75" customHeight="1">
      <c r="A1757" s="893" t="str">
        <f>IF(B1757&lt;&gt;"",IF(AND(B1757&gt;=_TM1,B1757&lt;=_TM2,OR(TH!L1757="1111",TH!M1757="1111")),TH!D1757,""),"")</f>
        <v/>
      </c>
      <c r="B1757" s="700">
        <f t="shared" si="464"/>
        <v>12</v>
      </c>
      <c r="C1757" s="833">
        <f t="shared" si="465"/>
        <v>41628</v>
      </c>
      <c r="D1757" s="833" t="s">
        <v>1293</v>
      </c>
      <c r="E1757" s="48">
        <v>41628</v>
      </c>
      <c r="F1757" s="49" t="s">
        <v>1130</v>
      </c>
      <c r="G1757" s="49" t="s">
        <v>1035</v>
      </c>
      <c r="H1757" s="837" t="s">
        <v>1289</v>
      </c>
      <c r="I1757" s="254">
        <v>103</v>
      </c>
      <c r="J1757" s="254">
        <v>13836.383395976185</v>
      </c>
      <c r="K1757" s="701">
        <f t="shared" si="463"/>
        <v>1425147</v>
      </c>
      <c r="L1757" s="52" t="s">
        <v>167</v>
      </c>
      <c r="M1757" s="896" t="s">
        <v>165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52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50"/>
    </row>
    <row r="1758" spans="1:27" s="808" customFormat="1" ht="15.75" customHeight="1">
      <c r="A1758" s="893" t="str">
        <f>IF(B1758&lt;&gt;"",IF(AND(B1758&gt;=_TM1,B1758&lt;=_TM2,OR(TH!L1758="1111",TH!M1758="1111")),TH!D1758,""),"")</f>
        <v/>
      </c>
      <c r="B1758" s="700">
        <f t="shared" si="464"/>
        <v>12</v>
      </c>
      <c r="C1758" s="833">
        <f t="shared" si="465"/>
        <v>41628</v>
      </c>
      <c r="D1758" s="833" t="s">
        <v>1293</v>
      </c>
      <c r="E1758" s="48">
        <v>41628</v>
      </c>
      <c r="F1758" s="49" t="s">
        <v>1131</v>
      </c>
      <c r="G1758" s="49" t="s">
        <v>1035</v>
      </c>
      <c r="H1758" s="837" t="s">
        <v>1289</v>
      </c>
      <c r="I1758" s="254">
        <v>283</v>
      </c>
      <c r="J1758" s="254">
        <v>9328.4901920926914</v>
      </c>
      <c r="K1758" s="701">
        <f t="shared" ref="K1758:K1771" si="466">ROUND(I1758*J1758,0)</f>
        <v>2639963</v>
      </c>
      <c r="L1758" s="52" t="s">
        <v>167</v>
      </c>
      <c r="M1758" s="896" t="s">
        <v>165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52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50"/>
    </row>
    <row r="1759" spans="1:27" s="808" customFormat="1" ht="15.75" customHeight="1">
      <c r="A1759" s="893" t="str">
        <f>IF(B1759&lt;&gt;"",IF(AND(B1759&gt;=_TM1,B1759&lt;=_TM2,OR(TH!L1759="1111",TH!M1759="1111")),TH!D1759,""),"")</f>
        <v/>
      </c>
      <c r="B1759" s="700">
        <f t="shared" si="464"/>
        <v>12</v>
      </c>
      <c r="C1759" s="833">
        <f t="shared" si="465"/>
        <v>41628</v>
      </c>
      <c r="D1759" s="833" t="s">
        <v>1293</v>
      </c>
      <c r="E1759" s="48">
        <v>41628</v>
      </c>
      <c r="F1759" s="49" t="s">
        <v>1132</v>
      </c>
      <c r="G1759" s="49" t="s">
        <v>1035</v>
      </c>
      <c r="H1759" s="837" t="s">
        <v>1289</v>
      </c>
      <c r="I1759" s="254">
        <v>203</v>
      </c>
      <c r="J1759" s="254">
        <v>11744.490192092693</v>
      </c>
      <c r="K1759" s="701">
        <f t="shared" si="466"/>
        <v>2384132</v>
      </c>
      <c r="L1759" s="52" t="s">
        <v>167</v>
      </c>
      <c r="M1759" s="896" t="s">
        <v>165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52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50"/>
    </row>
    <row r="1760" spans="1:27" s="808" customFormat="1" ht="15.75" customHeight="1">
      <c r="A1760" s="893" t="str">
        <f>IF(B1760&lt;&gt;"",IF(AND(B1760&gt;=_TM1,B1760&lt;=_TM2,OR(TH!L1760="1111",TH!M1760="1111")),TH!D1760,""),"")</f>
        <v/>
      </c>
      <c r="B1760" s="700">
        <f t="shared" si="464"/>
        <v>12</v>
      </c>
      <c r="C1760" s="833">
        <f t="shared" si="465"/>
        <v>41628</v>
      </c>
      <c r="D1760" s="833" t="s">
        <v>1293</v>
      </c>
      <c r="E1760" s="48">
        <v>41628</v>
      </c>
      <c r="F1760" s="49" t="s">
        <v>1133</v>
      </c>
      <c r="G1760" s="49" t="s">
        <v>1035</v>
      </c>
      <c r="H1760" s="837" t="s">
        <v>1289</v>
      </c>
      <c r="I1760" s="254">
        <v>238</v>
      </c>
      <c r="J1760" s="254">
        <v>6565.5910324288261</v>
      </c>
      <c r="K1760" s="701">
        <f t="shared" si="466"/>
        <v>1562611</v>
      </c>
      <c r="L1760" s="52" t="s">
        <v>167</v>
      </c>
      <c r="M1760" s="896" t="s">
        <v>165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52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50"/>
    </row>
    <row r="1761" spans="1:27" s="808" customFormat="1" ht="15.75" customHeight="1">
      <c r="A1761" s="893" t="str">
        <f>IF(B1761&lt;&gt;"",IF(AND(B1761&gt;=_TM1,B1761&lt;=_TM2,OR(TH!L1761="1111",TH!M1761="1111")),TH!D1761,""),"")</f>
        <v/>
      </c>
      <c r="B1761" s="700">
        <f t="shared" si="464"/>
        <v>12</v>
      </c>
      <c r="C1761" s="833">
        <f t="shared" si="465"/>
        <v>41628</v>
      </c>
      <c r="D1761" s="833" t="s">
        <v>1293</v>
      </c>
      <c r="E1761" s="48">
        <v>41628</v>
      </c>
      <c r="F1761" s="49" t="s">
        <v>883</v>
      </c>
      <c r="G1761" s="49" t="s">
        <v>1035</v>
      </c>
      <c r="H1761" s="837" t="s">
        <v>1289</v>
      </c>
      <c r="I1761" s="254">
        <v>441</v>
      </c>
      <c r="J1761" s="254">
        <v>7764.8053848364552</v>
      </c>
      <c r="K1761" s="701">
        <f t="shared" si="466"/>
        <v>3424279</v>
      </c>
      <c r="L1761" s="52" t="s">
        <v>167</v>
      </c>
      <c r="M1761" s="896" t="s">
        <v>165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52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50"/>
    </row>
    <row r="1762" spans="1:27" s="808" customFormat="1" ht="15.75" customHeight="1">
      <c r="A1762" s="893" t="str">
        <f>IF(B1762&lt;&gt;"",IF(AND(B1762&gt;=_TM1,B1762&lt;=_TM2,OR(TH!L1762="1111",TH!M1762="1111")),TH!D1762,""),"")</f>
        <v/>
      </c>
      <c r="B1762" s="700">
        <f t="shared" si="464"/>
        <v>12</v>
      </c>
      <c r="C1762" s="833">
        <f t="shared" si="465"/>
        <v>41628</v>
      </c>
      <c r="D1762" s="833" t="s">
        <v>1293</v>
      </c>
      <c r="E1762" s="48">
        <v>41628</v>
      </c>
      <c r="F1762" s="49" t="s">
        <v>1036</v>
      </c>
      <c r="G1762" s="49" t="s">
        <v>1035</v>
      </c>
      <c r="H1762" s="837" t="s">
        <v>1289</v>
      </c>
      <c r="I1762" s="254">
        <v>104</v>
      </c>
      <c r="J1762" s="254">
        <v>7599.4901920926932</v>
      </c>
      <c r="K1762" s="701">
        <f t="shared" si="466"/>
        <v>790347</v>
      </c>
      <c r="L1762" s="52" t="s">
        <v>167</v>
      </c>
      <c r="M1762" s="896" t="s">
        <v>165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52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50"/>
    </row>
    <row r="1763" spans="1:27" s="808" customFormat="1" ht="15.75" customHeight="1">
      <c r="A1763" s="893" t="str">
        <f>IF(B1763&lt;&gt;"",IF(AND(B1763&gt;=_TM1,B1763&lt;=_TM2,OR(TH!L1763="1111",TH!M1763="1111")),TH!D1763,""),"")</f>
        <v/>
      </c>
      <c r="B1763" s="700">
        <f t="shared" si="464"/>
        <v>12</v>
      </c>
      <c r="C1763" s="833">
        <f t="shared" si="465"/>
        <v>41628</v>
      </c>
      <c r="D1763" s="833" t="s">
        <v>1293</v>
      </c>
      <c r="E1763" s="48">
        <v>41628</v>
      </c>
      <c r="F1763" s="49" t="s">
        <v>842</v>
      </c>
      <c r="G1763" s="49" t="s">
        <v>1035</v>
      </c>
      <c r="H1763" s="837" t="s">
        <v>1289</v>
      </c>
      <c r="I1763" s="254">
        <v>102</v>
      </c>
      <c r="J1763" s="254">
        <v>9178.7843097397508</v>
      </c>
      <c r="K1763" s="701">
        <f t="shared" si="466"/>
        <v>936236</v>
      </c>
      <c r="L1763" s="52" t="s">
        <v>167</v>
      </c>
      <c r="M1763" s="896" t="s">
        <v>165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52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50"/>
    </row>
    <row r="1764" spans="1:27" s="808" customFormat="1" ht="15.75" customHeight="1">
      <c r="A1764" s="893" t="str">
        <f>IF(B1764&lt;&gt;"",IF(AND(B1764&gt;=_TM1,B1764&lt;=_TM2,OR(TH!L1764="1111",TH!M1764="1111")),TH!D1764,""),"")</f>
        <v/>
      </c>
      <c r="B1764" s="700">
        <f t="shared" si="464"/>
        <v>12</v>
      </c>
      <c r="C1764" s="833">
        <f t="shared" si="465"/>
        <v>41631</v>
      </c>
      <c r="D1764" s="833" t="s">
        <v>1293</v>
      </c>
      <c r="E1764" s="48">
        <v>41631</v>
      </c>
      <c r="F1764" s="49" t="s">
        <v>1154</v>
      </c>
      <c r="G1764" s="49" t="s">
        <v>1037</v>
      </c>
      <c r="H1764" s="837" t="s">
        <v>1289</v>
      </c>
      <c r="I1764" s="254">
        <v>1520</v>
      </c>
      <c r="J1764" s="254">
        <v>4320.5744026190087</v>
      </c>
      <c r="K1764" s="701">
        <f t="shared" si="466"/>
        <v>6567273</v>
      </c>
      <c r="L1764" s="52" t="s">
        <v>167</v>
      </c>
      <c r="M1764" s="896" t="s">
        <v>165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52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50"/>
    </row>
    <row r="1765" spans="1:27" s="808" customFormat="1" ht="15.75" customHeight="1">
      <c r="A1765" s="893" t="str">
        <f>IF(B1765&lt;&gt;"",IF(AND(B1765&gt;=_TM1,B1765&lt;=_TM2,OR(TH!L1765="1111",TH!M1765="1111")),TH!D1765,""),"")</f>
        <v/>
      </c>
      <c r="B1765" s="700">
        <f t="shared" si="464"/>
        <v>12</v>
      </c>
      <c r="C1765" s="833">
        <f t="shared" si="465"/>
        <v>41633</v>
      </c>
      <c r="D1765" s="833" t="s">
        <v>1293</v>
      </c>
      <c r="E1765" s="48">
        <v>41633</v>
      </c>
      <c r="F1765" s="49" t="s">
        <v>729</v>
      </c>
      <c r="G1765" s="49" t="s">
        <v>1038</v>
      </c>
      <c r="H1765" s="837" t="s">
        <v>1289</v>
      </c>
      <c r="I1765" s="254">
        <v>980</v>
      </c>
      <c r="J1765" s="254">
        <v>7841.449375766163</v>
      </c>
      <c r="K1765" s="701">
        <f t="shared" si="466"/>
        <v>7684620</v>
      </c>
      <c r="L1765" s="52" t="s">
        <v>167</v>
      </c>
      <c r="M1765" s="896" t="s">
        <v>165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52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50"/>
    </row>
    <row r="1766" spans="1:27" s="808" customFormat="1" ht="15.75" customHeight="1">
      <c r="A1766" s="893" t="str">
        <f>IF(B1766&lt;&gt;"",IF(AND(B1766&gt;=_TM1,B1766&lt;=_TM2,OR(TH!L1766="1111",TH!M1766="1111")),TH!D1766,""),"")</f>
        <v/>
      </c>
      <c r="B1766" s="700">
        <f t="shared" si="464"/>
        <v>12</v>
      </c>
      <c r="C1766" s="833">
        <f t="shared" si="465"/>
        <v>41635</v>
      </c>
      <c r="D1766" s="833" t="s">
        <v>1293</v>
      </c>
      <c r="E1766" s="48">
        <v>41635</v>
      </c>
      <c r="F1766" s="49" t="s">
        <v>875</v>
      </c>
      <c r="G1766" s="49" t="s">
        <v>1039</v>
      </c>
      <c r="H1766" s="837" t="s">
        <v>1289</v>
      </c>
      <c r="I1766" s="254">
        <v>60</v>
      </c>
      <c r="J1766" s="254">
        <v>37446.156858759357</v>
      </c>
      <c r="K1766" s="701">
        <f t="shared" si="466"/>
        <v>2246769</v>
      </c>
      <c r="L1766" s="52" t="s">
        <v>167</v>
      </c>
      <c r="M1766" s="896" t="s">
        <v>165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52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50"/>
    </row>
    <row r="1767" spans="1:27" s="808" customFormat="1" ht="15.75" customHeight="1">
      <c r="A1767" s="893" t="str">
        <f>IF(B1767&lt;&gt;"",IF(AND(B1767&gt;=_TM1,B1767&lt;=_TM2,OR(TH!L1767="1111",TH!M1767="1111")),TH!D1767,""),"")</f>
        <v/>
      </c>
      <c r="B1767" s="700">
        <f t="shared" si="464"/>
        <v>12</v>
      </c>
      <c r="C1767" s="833">
        <f t="shared" si="465"/>
        <v>41635</v>
      </c>
      <c r="D1767" s="833" t="s">
        <v>1293</v>
      </c>
      <c r="E1767" s="48">
        <v>41635</v>
      </c>
      <c r="F1767" s="49" t="s">
        <v>878</v>
      </c>
      <c r="G1767" s="49" t="s">
        <v>1039</v>
      </c>
      <c r="H1767" s="837" t="s">
        <v>1289</v>
      </c>
      <c r="I1767" s="254">
        <v>10</v>
      </c>
      <c r="J1767" s="254">
        <v>39909.490192092693</v>
      </c>
      <c r="K1767" s="701">
        <f t="shared" si="466"/>
        <v>399095</v>
      </c>
      <c r="L1767" s="52" t="s">
        <v>167</v>
      </c>
      <c r="M1767" s="896" t="s">
        <v>165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52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50"/>
    </row>
    <row r="1768" spans="1:27" s="808" customFormat="1" ht="15.75" customHeight="1">
      <c r="A1768" s="893" t="str">
        <f>IF(B1768&lt;&gt;"",IF(AND(B1768&gt;=_TM1,B1768&lt;=_TM2,OR(TH!L1768="1111",TH!M1768="1111")),TH!D1768,""),"")</f>
        <v/>
      </c>
      <c r="B1768" s="700">
        <f t="shared" ref="B1768:B1831" si="467">IF(C1768&lt;&gt;"",MONTH(C1768),"")</f>
        <v>12</v>
      </c>
      <c r="C1768" s="833">
        <f t="shared" si="465"/>
        <v>41635</v>
      </c>
      <c r="D1768" s="833" t="s">
        <v>1293</v>
      </c>
      <c r="E1768" s="48">
        <v>41635</v>
      </c>
      <c r="F1768" s="49" t="s">
        <v>1018</v>
      </c>
      <c r="G1768" s="49" t="s">
        <v>1039</v>
      </c>
      <c r="H1768" s="837" t="s">
        <v>1289</v>
      </c>
      <c r="I1768" s="254">
        <v>20</v>
      </c>
      <c r="J1768" s="254">
        <v>39909.490192092693</v>
      </c>
      <c r="K1768" s="701">
        <f t="shared" si="466"/>
        <v>798190</v>
      </c>
      <c r="L1768" s="52" t="s">
        <v>167</v>
      </c>
      <c r="M1768" s="896" t="s">
        <v>165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52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50"/>
    </row>
    <row r="1769" spans="1:27" s="808" customFormat="1" ht="15.75" customHeight="1">
      <c r="A1769" s="893" t="str">
        <f>IF(B1769&lt;&gt;"",IF(AND(B1769&gt;=_TM1,B1769&lt;=_TM2,OR(TH!L1769="1111",TH!M1769="1111")),TH!D1769,""),"")</f>
        <v/>
      </c>
      <c r="B1769" s="700">
        <f t="shared" si="467"/>
        <v>12</v>
      </c>
      <c r="C1769" s="833">
        <f t="shared" si="465"/>
        <v>41635</v>
      </c>
      <c r="D1769" s="833" t="s">
        <v>1293</v>
      </c>
      <c r="E1769" s="48">
        <v>41635</v>
      </c>
      <c r="F1769" s="49" t="s">
        <v>1150</v>
      </c>
      <c r="G1769" s="49" t="s">
        <v>1040</v>
      </c>
      <c r="H1769" s="837" t="s">
        <v>1289</v>
      </c>
      <c r="I1769" s="254">
        <v>2295</v>
      </c>
      <c r="J1769" s="254">
        <v>4037.8257040752628</v>
      </c>
      <c r="K1769" s="701">
        <f t="shared" si="466"/>
        <v>9266810</v>
      </c>
      <c r="L1769" s="52" t="s">
        <v>167</v>
      </c>
      <c r="M1769" s="896" t="s">
        <v>165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52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50"/>
    </row>
    <row r="1770" spans="1:27" s="808" customFormat="1" ht="15.75" customHeight="1">
      <c r="A1770" s="893" t="str">
        <f>IF(B1770&lt;&gt;"",IF(AND(B1770&gt;=_TM1,B1770&lt;=_TM2,OR(TH!L1770="1111",TH!M1770="1111")),TH!D1770,""),"")</f>
        <v/>
      </c>
      <c r="B1770" s="700">
        <f t="shared" si="467"/>
        <v>12</v>
      </c>
      <c r="C1770" s="833">
        <f t="shared" si="465"/>
        <v>41636</v>
      </c>
      <c r="D1770" s="833" t="s">
        <v>1293</v>
      </c>
      <c r="E1770" s="48">
        <v>41636</v>
      </c>
      <c r="F1770" s="49" t="s">
        <v>1139</v>
      </c>
      <c r="G1770" s="49" t="s">
        <v>1041</v>
      </c>
      <c r="H1770" s="837" t="s">
        <v>1289</v>
      </c>
      <c r="I1770" s="254">
        <v>112</v>
      </c>
      <c r="J1770" s="254">
        <v>14719.168763521264</v>
      </c>
      <c r="K1770" s="701">
        <f t="shared" si="466"/>
        <v>1648547</v>
      </c>
      <c r="L1770" s="52" t="s">
        <v>167</v>
      </c>
      <c r="M1770" s="896" t="s">
        <v>165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52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50"/>
    </row>
    <row r="1771" spans="1:27" s="840" customFormat="1" ht="15.75" customHeight="1">
      <c r="A1771" s="902" t="str">
        <f>IF(B1771&lt;&gt;"",IF(AND(B1771&gt;=_TM1,B1771&lt;=_TM2,OR(TH!L1771="1111",TH!M1771="1111")),TH!D1771,""),"")</f>
        <v/>
      </c>
      <c r="B1771" s="838">
        <f t="shared" si="467"/>
        <v>1</v>
      </c>
      <c r="C1771" s="903">
        <f t="shared" si="465"/>
        <v>41276</v>
      </c>
      <c r="D1771" s="904" t="s">
        <v>487</v>
      </c>
      <c r="E1771" s="904">
        <v>41276</v>
      </c>
      <c r="F1771" s="905" t="s">
        <v>721</v>
      </c>
      <c r="G1771" s="905" t="s">
        <v>722</v>
      </c>
      <c r="H1771" s="906" t="s">
        <v>1290</v>
      </c>
      <c r="I1771" s="914">
        <v>905</v>
      </c>
      <c r="J1771" s="914">
        <v>5546.5167796569285</v>
      </c>
      <c r="K1771" s="835">
        <f t="shared" si="466"/>
        <v>5019598</v>
      </c>
      <c r="L1771" s="828" t="s">
        <v>173</v>
      </c>
      <c r="M1771" s="828" t="s">
        <v>167</v>
      </c>
      <c r="N1771" s="828" t="str">
        <f>IF(AND('331-CT'!$E$7=TH!H1771,OR(L1771="331",M1771="331")),"331",IF(AND(OR(L1771="131",M1771="131"),H1771='131-CT'!$E$7),"131",""))</f>
        <v/>
      </c>
      <c r="O1771" s="828" t="str">
        <f>IF(AND($B1771&gt;='111'!$N$11,$B1771&lt;='111'!$O$11,OR($L1771=$O$7,$M1771=$O$7)),"x","")</f>
        <v/>
      </c>
      <c r="P1771" s="828" t="str">
        <f>IF(AND($L1771=$O$7,$B1771&lt;'111'!$N$11),"x","")</f>
        <v/>
      </c>
      <c r="Q1771" s="828" t="str">
        <f>IF(AND($M1771=$O$7,$B1771&lt;'111'!$N$11),"x","")</f>
        <v/>
      </c>
      <c r="R1771" s="828" t="str">
        <f>IF(ISERROR(FIND('112'!$M$9,G1771,1)),"",IF((AND(FIND('112'!$M$9,G1771,1)&gt;=1,$B1771&gt;='112'!$N$8,$B1771&lt;='112'!$O$8,OR($L1771='112'!$I$6,$M1771='112'!$I$6))),"x",""))</f>
        <v/>
      </c>
      <c r="S1771" s="828" t="str">
        <f>IF(ISERROR(FIND('112'!$M$9,G1771,1)),"",IF((AND(LEFT(G1771,2)=LEFT('112'!$M$9,2),B1771&lt;'112'!$N$8,$L1771='112'!$I$6)),"x",""))</f>
        <v/>
      </c>
      <c r="T1771" s="828" t="str">
        <f>IF(ISERROR(FIND('112'!$M$9,G1771,1)),"",IF((AND(RIGHT(G1771,2)=RIGHT('112'!$M$9,2),B1771&lt;'112'!$N$8,$M1771='112'!$I$6)),"x",""))</f>
        <v/>
      </c>
      <c r="U1771" s="828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828" t="str">
        <f>IF(OR(TH!L1771=TH!$V$7,M1771=TH!$V$7),"x","")</f>
        <v/>
      </c>
      <c r="W1771" s="828" t="str">
        <f>IF(AND(B1771&gt;='IN-NX'!$P$3,B1771&lt;='IN-NX'!$Q$3,'IN-NX'!$D$7=D1771,OR(LEFT(L1771,2)="15",AND(LEFT(M1771,2)&lt;&gt;"15",LEFT(M1771,2)&lt;&gt;"33"))),"x","")</f>
        <v/>
      </c>
      <c r="X1771" s="828" t="str">
        <f>IF(AND(OR(LEFT(TH!L1771,2)="15",LEFT(TH!M1771,2)="15"),'152-CT'!$J$8=TH!F1771),"x","")</f>
        <v/>
      </c>
      <c r="Y1771" s="828" t="str">
        <f>IF(AND(OR(LEFT(TH!L1771,2)="15",LEFT(TH!M1771,2)="15"),TK!$E$7=TH!F1771),"x","")</f>
        <v/>
      </c>
      <c r="Z1771" s="828" t="str">
        <f>IF(AND(B1771&lt;=NKC!$N$8,B1771&gt;=NKC!$M$8),"x","")</f>
        <v/>
      </c>
      <c r="AA1771" s="910"/>
    </row>
    <row r="1772" spans="1:27" s="211" customFormat="1" ht="15.75" customHeight="1">
      <c r="A1772" s="204" t="str">
        <f>IF(B1772&lt;&gt;"",IF(AND(B1772&gt;=_TM1,B1772&lt;=_TM2,OR(TH!L1772="1111",TH!M1772="1111")),TH!D1772,""),"")</f>
        <v/>
      </c>
      <c r="B1772" s="36">
        <f t="shared" si="467"/>
        <v>1</v>
      </c>
      <c r="C1772" s="191">
        <f t="shared" si="465"/>
        <v>41276</v>
      </c>
      <c r="D1772" s="37" t="s">
        <v>487</v>
      </c>
      <c r="E1772" s="191">
        <v>41276</v>
      </c>
      <c r="F1772" s="192" t="s">
        <v>723</v>
      </c>
      <c r="G1772" s="487" t="s">
        <v>722</v>
      </c>
      <c r="H1772" s="7" t="s">
        <v>1290</v>
      </c>
      <c r="I1772" s="256">
        <v>305</v>
      </c>
      <c r="J1772" s="256">
        <v>5358.1209821748162</v>
      </c>
      <c r="K1772" s="602">
        <f t="shared" ref="K1772:K1835" si="468">ROUND(I1772*J1772,0)</f>
        <v>1634227</v>
      </c>
      <c r="L1772" s="39" t="s">
        <v>173</v>
      </c>
      <c r="M1772" s="39" t="s">
        <v>167</v>
      </c>
      <c r="N1772" s="39" t="str">
        <f>IF(AND('331-CT'!$E$7=TH!H1772,OR(L1772="331",M1772="331")),"331",IF(AND(OR(L1772="131",M1772="131"),H1772='131-CT'!$E$7),"131",""))</f>
        <v/>
      </c>
      <c r="O1772" s="39" t="str">
        <f>IF(AND($B1772&gt;='111'!$N$11,$B1772&lt;='111'!$O$11,OR($L1772=$O$7,$M1772=$O$7)),"x","")</f>
        <v/>
      </c>
      <c r="P1772" s="39" t="str">
        <f>IF(AND($L1772=$O$7,$B1772&lt;'111'!$N$11),"x","")</f>
        <v/>
      </c>
      <c r="Q1772" s="39" t="str">
        <f>IF(AND($M1772=$O$7,$B1772&lt;'111'!$N$11),"x","")</f>
        <v/>
      </c>
      <c r="R1772" s="39" t="str">
        <f>IF(ISERROR(FIND('112'!$M$9,G1772,1)),"",IF((AND(FIND('112'!$M$9,G1772,1)&gt;=1,$B1772&gt;='112'!$N$8,$B1772&lt;='112'!$O$8,OR($L1772='112'!$I$6,$M1772='112'!$I$6))),"x",""))</f>
        <v/>
      </c>
      <c r="S1772" s="39" t="str">
        <f>IF(ISERROR(FIND('112'!$M$9,G1772,1)),"",IF((AND(LEFT(G1772,2)=LEFT('112'!$M$9,2),B1772&lt;'112'!$N$8,$L1772='112'!$I$6)),"x",""))</f>
        <v/>
      </c>
      <c r="T1772" s="39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39" t="str">
        <f>IF(OR(TH!L1772=TH!$V$7,M1772=TH!$V$7),"x","")</f>
        <v/>
      </c>
      <c r="W1772" s="39" t="str">
        <f>IF(AND(B1772&gt;='IN-NX'!$P$3,B1772&lt;='IN-NX'!$Q$3,'IN-NX'!$D$7=D1772,OR(LEFT(L1772,2)="15",AND(LEFT(M1772,2)&lt;&gt;"15",LEFT(M1772,2)&lt;&gt;"33"))),"x","")</f>
        <v/>
      </c>
      <c r="X1772" s="39" t="str">
        <f>IF(AND(OR(LEFT(TH!L1772,2)="15",LEFT(TH!M1772,2)="15"),'152-CT'!$J$8=TH!F1772),"x","")</f>
        <v/>
      </c>
      <c r="Y1772" s="39" t="str">
        <f>IF(AND(OR(LEFT(TH!L1772,2)="15",LEFT(TH!M1772,2)="15"),TK!$E$7=TH!F1772),"x","")</f>
        <v/>
      </c>
      <c r="Z1772" s="39" t="str">
        <f>IF(AND(B1772&lt;=NKC!$N$8,B1772&gt;=NKC!$M$8),"x","")</f>
        <v/>
      </c>
      <c r="AA1772" s="883"/>
    </row>
    <row r="1773" spans="1:27" s="211" customFormat="1" ht="15.75" customHeight="1">
      <c r="A1773" s="204" t="str">
        <f>IF(B1773&lt;&gt;"",IF(AND(B1773&gt;=_TM1,B1773&lt;=_TM2,OR(TH!L1773="1111",TH!M1773="1111")),TH!D1773,""),"")</f>
        <v/>
      </c>
      <c r="B1773" s="36">
        <f t="shared" si="467"/>
        <v>1</v>
      </c>
      <c r="C1773" s="191">
        <f t="shared" si="465"/>
        <v>41282</v>
      </c>
      <c r="D1773" s="37" t="s">
        <v>487</v>
      </c>
      <c r="E1773" s="191">
        <v>41282</v>
      </c>
      <c r="F1773" s="192" t="s">
        <v>725</v>
      </c>
      <c r="G1773" s="487" t="s">
        <v>726</v>
      </c>
      <c r="H1773" s="7" t="s">
        <v>1290</v>
      </c>
      <c r="I1773" s="256">
        <v>480</v>
      </c>
      <c r="J1773" s="256">
        <v>10851.863810043669</v>
      </c>
      <c r="K1773" s="602">
        <f t="shared" si="468"/>
        <v>5208895</v>
      </c>
      <c r="L1773" s="39" t="s">
        <v>173</v>
      </c>
      <c r="M1773" s="39" t="s">
        <v>167</v>
      </c>
      <c r="N1773" s="39" t="str">
        <f>IF(AND('331-CT'!$E$7=TH!H1773,OR(L1773="331",M1773="331")),"331",IF(AND(OR(L1773="131",M1773="131"),H1773='131-CT'!$E$7),"131",""))</f>
        <v/>
      </c>
      <c r="O1773" s="39" t="str">
        <f>IF(AND($B1773&gt;='111'!$N$11,$B1773&lt;='111'!$O$11,OR($L1773=$O$7,$M1773=$O$7)),"x","")</f>
        <v/>
      </c>
      <c r="P1773" s="39" t="str">
        <f>IF(AND($L1773=$O$7,$B1773&lt;'111'!$N$11),"x","")</f>
        <v/>
      </c>
      <c r="Q1773" s="39" t="str">
        <f>IF(AND($M1773=$O$7,$B1773&lt;'111'!$N$11),"x","")</f>
        <v/>
      </c>
      <c r="R1773" s="39" t="str">
        <f>IF(ISERROR(FIND('112'!$M$9,G1773,1)),"",IF((AND(FIND('112'!$M$9,G1773,1)&gt;=1,$B1773&gt;='112'!$N$8,$B1773&lt;='112'!$O$8,OR($L1773='112'!$I$6,$M1773='112'!$I$6))),"x",""))</f>
        <v/>
      </c>
      <c r="S1773" s="39" t="str">
        <f>IF(ISERROR(FIND('112'!$M$9,G1773,1)),"",IF((AND(LEFT(G1773,2)=LEFT('112'!$M$9,2),B1773&lt;'112'!$N$8,$L1773='112'!$I$6)),"x",""))</f>
        <v/>
      </c>
      <c r="T1773" s="39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39" t="str">
        <f>IF(OR(TH!L1773=TH!$V$7,M1773=TH!$V$7),"x","")</f>
        <v/>
      </c>
      <c r="W1773" s="39" t="str">
        <f>IF(AND(B1773&gt;='IN-NX'!$P$3,B1773&lt;='IN-NX'!$Q$3,'IN-NX'!$D$7=D1773,OR(LEFT(L1773,2)="15",AND(LEFT(M1773,2)&lt;&gt;"15",LEFT(M1773,2)&lt;&gt;"33"))),"x","")</f>
        <v/>
      </c>
      <c r="X1773" s="39" t="str">
        <f>IF(AND(OR(LEFT(TH!L1773,2)="15",LEFT(TH!M1773,2)="15"),'152-CT'!$J$8=TH!F1773),"x","")</f>
        <v/>
      </c>
      <c r="Y1773" s="39" t="str">
        <f>IF(AND(OR(LEFT(TH!L1773,2)="15",LEFT(TH!M1773,2)="15"),TK!$E$7=TH!F1773),"x","")</f>
        <v/>
      </c>
      <c r="Z1773" s="39" t="str">
        <f>IF(AND(B1773&lt;=NKC!$N$8,B1773&gt;=NKC!$M$8),"x","")</f>
        <v/>
      </c>
      <c r="AA1773" s="883"/>
    </row>
    <row r="1774" spans="1:27" s="211" customFormat="1" ht="15.75" customHeight="1">
      <c r="A1774" s="204" t="str">
        <f>IF(B1774&lt;&gt;"",IF(AND(B1774&gt;=_TM1,B1774&lt;=_TM2,OR(TH!L1774="1111",TH!M1774="1111")),TH!D1774,""),"")</f>
        <v/>
      </c>
      <c r="B1774" s="36">
        <f t="shared" si="467"/>
        <v>1</v>
      </c>
      <c r="C1774" s="191">
        <f t="shared" si="465"/>
        <v>41282</v>
      </c>
      <c r="D1774" s="37" t="s">
        <v>487</v>
      </c>
      <c r="E1774" s="37">
        <v>41282</v>
      </c>
      <c r="F1774" s="40" t="s">
        <v>728</v>
      </c>
      <c r="G1774" s="40" t="s">
        <v>726</v>
      </c>
      <c r="H1774" s="7" t="s">
        <v>1290</v>
      </c>
      <c r="I1774" s="256">
        <v>199</v>
      </c>
      <c r="J1774" s="256">
        <v>6930.8791994909043</v>
      </c>
      <c r="K1774" s="602">
        <f t="shared" si="468"/>
        <v>1379245</v>
      </c>
      <c r="L1774" s="39" t="s">
        <v>173</v>
      </c>
      <c r="M1774" s="39" t="s">
        <v>167</v>
      </c>
      <c r="N1774" s="39" t="str">
        <f>IF(AND('331-CT'!$E$7=TH!H1774,OR(L1774="331",M1774="331")),"331",IF(AND(OR(L1774="131",M1774="131"),H1774='131-CT'!$E$7),"131",""))</f>
        <v/>
      </c>
      <c r="O1774" s="39" t="str">
        <f>IF(AND($B1774&gt;='111'!$N$11,$B1774&lt;='111'!$O$11,OR($L1774=$O$7,$M1774=$O$7)),"x","")</f>
        <v/>
      </c>
      <c r="P1774" s="39" t="str">
        <f>IF(AND($L1774=$O$7,$B1774&lt;'111'!$N$11),"x","")</f>
        <v/>
      </c>
      <c r="Q1774" s="39" t="str">
        <f>IF(AND($M1774=$O$7,$B1774&lt;'111'!$N$11),"x","")</f>
        <v/>
      </c>
      <c r="R1774" s="39" t="str">
        <f>IF(ISERROR(FIND('112'!$M$9,G1774,1)),"",IF((AND(FIND('112'!$M$9,G1774,1)&gt;=1,$B1774&gt;='112'!$N$8,$B1774&lt;='112'!$O$8,OR($L1774='112'!$I$6,$M1774='112'!$I$6))),"x",""))</f>
        <v/>
      </c>
      <c r="S1774" s="39" t="str">
        <f>IF(ISERROR(FIND('112'!$M$9,G1774,1)),"",IF((AND(LEFT(G1774,2)=LEFT('112'!$M$9,2),B1774&lt;'112'!$N$8,$L1774='112'!$I$6)),"x",""))</f>
        <v/>
      </c>
      <c r="T1774" s="39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39" t="str">
        <f>IF(OR(TH!L1774=TH!$V$7,M1774=TH!$V$7),"x","")</f>
        <v/>
      </c>
      <c r="W1774" s="39" t="str">
        <f>IF(AND(B1774&gt;='IN-NX'!$P$3,B1774&lt;='IN-NX'!$Q$3,'IN-NX'!$D$7=D1774,OR(LEFT(L1774,2)="15",AND(LEFT(M1774,2)&lt;&gt;"15",LEFT(M1774,2)&lt;&gt;"33"))),"x","")</f>
        <v/>
      </c>
      <c r="X1774" s="39" t="str">
        <f>IF(AND(OR(LEFT(TH!L1774,2)="15",LEFT(TH!M1774,2)="15"),'152-CT'!$J$8=TH!F1774),"x","")</f>
        <v/>
      </c>
      <c r="Y1774" s="39" t="str">
        <f>IF(AND(OR(LEFT(TH!L1774,2)="15",LEFT(TH!M1774,2)="15"),TK!$E$7=TH!F1774),"x","")</f>
        <v/>
      </c>
      <c r="Z1774" s="39" t="str">
        <f>IF(AND(B1774&lt;=NKC!$N$8,B1774&gt;=NKC!$M$8),"x","")</f>
        <v/>
      </c>
      <c r="AA1774" s="883"/>
    </row>
    <row r="1775" spans="1:27" s="211" customFormat="1" ht="15.75" customHeight="1">
      <c r="A1775" s="204" t="str">
        <f>IF(B1775&lt;&gt;"",IF(AND(B1775&gt;=_TM1,B1775&lt;=_TM2,OR(TH!L1775="1111",TH!M1775="1111")),TH!D1775,""),"")</f>
        <v/>
      </c>
      <c r="B1775" s="36">
        <f t="shared" si="467"/>
        <v>1</v>
      </c>
      <c r="C1775" s="191">
        <f t="shared" si="465"/>
        <v>41284</v>
      </c>
      <c r="D1775" s="37" t="s">
        <v>487</v>
      </c>
      <c r="E1775" s="37">
        <v>41284</v>
      </c>
      <c r="F1775" s="40" t="s">
        <v>729</v>
      </c>
      <c r="G1775" s="40" t="s">
        <v>730</v>
      </c>
      <c r="H1775" s="7" t="s">
        <v>1290</v>
      </c>
      <c r="I1775" s="256">
        <v>992</v>
      </c>
      <c r="J1775" s="256">
        <v>8115.5835681081835</v>
      </c>
      <c r="K1775" s="602">
        <f t="shared" si="468"/>
        <v>8050659</v>
      </c>
      <c r="L1775" s="39" t="s">
        <v>173</v>
      </c>
      <c r="M1775" s="39" t="s">
        <v>167</v>
      </c>
      <c r="N1775" s="39" t="str">
        <f>IF(AND('331-CT'!$E$7=TH!H1775,OR(L1775="331",M1775="331")),"331",IF(AND(OR(L1775="131",M1775="131"),H1775='131-CT'!$E$7),"131",""))</f>
        <v/>
      </c>
      <c r="O1775" s="39" t="str">
        <f>IF(AND($B1775&gt;='111'!$N$11,$B1775&lt;='111'!$O$11,OR($L1775=$O$7,$M1775=$O$7)),"x","")</f>
        <v/>
      </c>
      <c r="P1775" s="39" t="str">
        <f>IF(AND($L1775=$O$7,$B1775&lt;'111'!$N$11),"x","")</f>
        <v/>
      </c>
      <c r="Q1775" s="39" t="str">
        <f>IF(AND($M1775=$O$7,$B1775&lt;'111'!$N$11),"x","")</f>
        <v/>
      </c>
      <c r="R1775" s="39" t="str">
        <f>IF(ISERROR(FIND('112'!$M$9,G1775,1)),"",IF((AND(FIND('112'!$M$9,G1775,1)&gt;=1,$B1775&gt;='112'!$N$8,$B1775&lt;='112'!$O$8,OR($L1775='112'!$I$6,$M1775='112'!$I$6))),"x",""))</f>
        <v/>
      </c>
      <c r="S1775" s="39" t="str">
        <f>IF(ISERROR(FIND('112'!$M$9,G1775,1)),"",IF((AND(LEFT(G1775,2)=LEFT('112'!$M$9,2),B1775&lt;'112'!$N$8,$L1775='112'!$I$6)),"x",""))</f>
        <v/>
      </c>
      <c r="T1775" s="39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39" t="str">
        <f>IF(OR(TH!L1775=TH!$V$7,M1775=TH!$V$7),"x","")</f>
        <v/>
      </c>
      <c r="W1775" s="39" t="str">
        <f>IF(AND(B1775&gt;='IN-NX'!$P$3,B1775&lt;='IN-NX'!$Q$3,'IN-NX'!$D$7=D1775,OR(LEFT(L1775,2)="15",AND(LEFT(M1775,2)&lt;&gt;"15",LEFT(M1775,2)&lt;&gt;"33"))),"x","")</f>
        <v/>
      </c>
      <c r="X1775" s="39" t="str">
        <f>IF(AND(OR(LEFT(TH!L1775,2)="15",LEFT(TH!M1775,2)="15"),'152-CT'!$J$8=TH!F1775),"x","")</f>
        <v/>
      </c>
      <c r="Y1775" s="39" t="str">
        <f>IF(AND(OR(LEFT(TH!L1775,2)="15",LEFT(TH!M1775,2)="15"),TK!$E$7=TH!F1775),"x","")</f>
        <v/>
      </c>
      <c r="Z1775" s="39" t="str">
        <f>IF(AND(B1775&lt;=NKC!$N$8,B1775&gt;=NKC!$M$8),"x","")</f>
        <v/>
      </c>
      <c r="AA1775" s="883"/>
    </row>
    <row r="1776" spans="1:27" s="211" customFormat="1" ht="15.75" customHeight="1">
      <c r="A1776" s="204" t="str">
        <f>IF(B1776&lt;&gt;"",IF(AND(B1776&gt;=_TM1,B1776&lt;=_TM2,OR(TH!L1776="1111",TH!M1776="1111")),TH!D1776,""),"")</f>
        <v/>
      </c>
      <c r="B1776" s="36">
        <f t="shared" si="467"/>
        <v>1</v>
      </c>
      <c r="C1776" s="191">
        <f t="shared" si="465"/>
        <v>41285</v>
      </c>
      <c r="D1776" s="37" t="s">
        <v>487</v>
      </c>
      <c r="E1776" s="191">
        <v>41285</v>
      </c>
      <c r="F1776" s="189" t="s">
        <v>731</v>
      </c>
      <c r="G1776" s="604" t="s">
        <v>732</v>
      </c>
      <c r="H1776" s="7" t="s">
        <v>1290</v>
      </c>
      <c r="I1776" s="256">
        <v>202</v>
      </c>
      <c r="J1776" s="256">
        <v>6854.9052704397072</v>
      </c>
      <c r="K1776" s="602">
        <f t="shared" si="468"/>
        <v>1384691</v>
      </c>
      <c r="L1776" s="39" t="s">
        <v>173</v>
      </c>
      <c r="M1776" s="39" t="s">
        <v>167</v>
      </c>
      <c r="N1776" s="39" t="str">
        <f>IF(AND('331-CT'!$E$7=TH!H1776,OR(L1776="331",M1776="331")),"331",IF(AND(OR(L1776="131",M1776="131"),H1776='131-CT'!$E$7),"131",""))</f>
        <v/>
      </c>
      <c r="O1776" s="39" t="str">
        <f>IF(AND($B1776&gt;='111'!$N$11,$B1776&lt;='111'!$O$11,OR($L1776=$O$7,$M1776=$O$7)),"x","")</f>
        <v/>
      </c>
      <c r="P1776" s="39" t="str">
        <f>IF(AND($L1776=$O$7,$B1776&lt;'111'!$N$11),"x","")</f>
        <v/>
      </c>
      <c r="Q1776" s="39" t="str">
        <f>IF(AND($M1776=$O$7,$B1776&lt;'111'!$N$11),"x","")</f>
        <v/>
      </c>
      <c r="R1776" s="39" t="str">
        <f>IF(ISERROR(FIND('112'!$M$9,G1776,1)),"",IF((AND(FIND('112'!$M$9,G1776,1)&gt;=1,$B1776&gt;='112'!$N$8,$B1776&lt;='112'!$O$8,OR($L1776='112'!$I$6,$M1776='112'!$I$6))),"x",""))</f>
        <v/>
      </c>
      <c r="S1776" s="39" t="str">
        <f>IF(ISERROR(FIND('112'!$M$9,G1776,1)),"",IF((AND(LEFT(G1776,2)=LEFT('112'!$M$9,2),B1776&lt;'112'!$N$8,$L1776='112'!$I$6)),"x",""))</f>
        <v/>
      </c>
      <c r="T1776" s="39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39" t="str">
        <f>IF(OR(TH!L1776=TH!$V$7,M1776=TH!$V$7),"x","")</f>
        <v/>
      </c>
      <c r="W1776" s="39" t="str">
        <f>IF(AND(B1776&gt;='IN-NX'!$P$3,B1776&lt;='IN-NX'!$Q$3,'IN-NX'!$D$7=D1776,OR(LEFT(L1776,2)="15",AND(LEFT(M1776,2)&lt;&gt;"15",LEFT(M1776,2)&lt;&gt;"33"))),"x","")</f>
        <v/>
      </c>
      <c r="X1776" s="39" t="str">
        <f>IF(AND(OR(LEFT(TH!L1776,2)="15",LEFT(TH!M1776,2)="15"),'152-CT'!$J$8=TH!F1776),"x","")</f>
        <v/>
      </c>
      <c r="Y1776" s="39" t="str">
        <f>IF(AND(OR(LEFT(TH!L1776,2)="15",LEFT(TH!M1776,2)="15"),TK!$E$7=TH!F1776),"x","")</f>
        <v/>
      </c>
      <c r="Z1776" s="39" t="str">
        <f>IF(AND(B1776&lt;=NKC!$N$8,B1776&gt;=NKC!$M$8),"x","")</f>
        <v/>
      </c>
      <c r="AA1776" s="883"/>
    </row>
    <row r="1777" spans="1:27" s="211" customFormat="1" ht="15.75" customHeight="1">
      <c r="A1777" s="204" t="str">
        <f>IF(B1777&lt;&gt;"",IF(AND(B1777&gt;=_TM1,B1777&lt;=_TM2,OR(TH!L1777="1111",TH!M1777="1111")),TH!D1777,""),"")</f>
        <v/>
      </c>
      <c r="B1777" s="36">
        <f t="shared" si="467"/>
        <v>1</v>
      </c>
      <c r="C1777" s="191">
        <f t="shared" si="465"/>
        <v>41285</v>
      </c>
      <c r="D1777" s="37" t="s">
        <v>487</v>
      </c>
      <c r="E1777" s="191">
        <v>41285</v>
      </c>
      <c r="F1777" s="192" t="s">
        <v>733</v>
      </c>
      <c r="G1777" s="487" t="s">
        <v>732</v>
      </c>
      <c r="H1777" s="7" t="s">
        <v>1290</v>
      </c>
      <c r="I1777" s="256">
        <v>204</v>
      </c>
      <c r="J1777" s="256">
        <v>8096.6738590632767</v>
      </c>
      <c r="K1777" s="602">
        <f t="shared" si="468"/>
        <v>1651721</v>
      </c>
      <c r="L1777" s="39" t="s">
        <v>173</v>
      </c>
      <c r="M1777" s="39" t="s">
        <v>167</v>
      </c>
      <c r="N1777" s="39" t="str">
        <f>IF(AND('331-CT'!$E$7=TH!H1777,OR(L1777="331",M1777="331")),"331",IF(AND(OR(L1777="131",M1777="131"),H1777='131-CT'!$E$7),"131",""))</f>
        <v/>
      </c>
      <c r="O1777" s="39" t="str">
        <f>IF(AND($B1777&gt;='111'!$N$11,$B1777&lt;='111'!$O$11,OR($L1777=$O$7,$M1777=$O$7)),"x","")</f>
        <v/>
      </c>
      <c r="P1777" s="39" t="str">
        <f>IF(AND($L1777=$O$7,$B1777&lt;'111'!$N$11),"x","")</f>
        <v/>
      </c>
      <c r="Q1777" s="39" t="str">
        <f>IF(AND($M1777=$O$7,$B1777&lt;'111'!$N$11),"x","")</f>
        <v/>
      </c>
      <c r="R1777" s="39" t="str">
        <f>IF(ISERROR(FIND('112'!$M$9,G1777,1)),"",IF((AND(FIND('112'!$M$9,G1777,1)&gt;=1,$B1777&gt;='112'!$N$8,$B1777&lt;='112'!$O$8,OR($L1777='112'!$I$6,$M1777='112'!$I$6))),"x",""))</f>
        <v/>
      </c>
      <c r="S1777" s="39" t="str">
        <f>IF(ISERROR(FIND('112'!$M$9,G1777,1)),"",IF((AND(LEFT(G1777,2)=LEFT('112'!$M$9,2),B1777&lt;'112'!$N$8,$L1777='112'!$I$6)),"x",""))</f>
        <v/>
      </c>
      <c r="T1777" s="39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39" t="str">
        <f>IF(OR(TH!L1777=TH!$V$7,M1777=TH!$V$7),"x","")</f>
        <v/>
      </c>
      <c r="W1777" s="39" t="str">
        <f>IF(AND(B1777&gt;='IN-NX'!$P$3,B1777&lt;='IN-NX'!$Q$3,'IN-NX'!$D$7=D1777,OR(LEFT(L1777,2)="15",AND(LEFT(M1777,2)&lt;&gt;"15",LEFT(M1777,2)&lt;&gt;"33"))),"x","")</f>
        <v/>
      </c>
      <c r="X1777" s="39" t="str">
        <f>IF(AND(OR(LEFT(TH!L1777,2)="15",LEFT(TH!M1777,2)="15"),'152-CT'!$J$8=TH!F1777),"x","")</f>
        <v/>
      </c>
      <c r="Y1777" s="39" t="str">
        <f>IF(AND(OR(LEFT(TH!L1777,2)="15",LEFT(TH!M1777,2)="15"),TK!$E$7=TH!F1777),"x","")</f>
        <v/>
      </c>
      <c r="Z1777" s="39" t="str">
        <f>IF(AND(B1777&lt;=NKC!$N$8,B1777&gt;=NKC!$M$8),"x","")</f>
        <v/>
      </c>
      <c r="AA1777" s="883"/>
    </row>
    <row r="1778" spans="1:27" s="211" customFormat="1" ht="15.75" customHeight="1">
      <c r="A1778" s="204" t="str">
        <f>IF(B1778&lt;&gt;"",IF(AND(B1778&gt;=_TM1,B1778&lt;=_TM2,OR(TH!L1778="1111",TH!M1778="1111")),TH!D1778,""),"")</f>
        <v/>
      </c>
      <c r="B1778" s="36">
        <f t="shared" si="467"/>
        <v>1</v>
      </c>
      <c r="C1778" s="191">
        <f t="shared" si="465"/>
        <v>41285</v>
      </c>
      <c r="D1778" s="37" t="s">
        <v>487</v>
      </c>
      <c r="E1778" s="191">
        <v>41285</v>
      </c>
      <c r="F1778" s="192" t="s">
        <v>734</v>
      </c>
      <c r="G1778" s="487" t="s">
        <v>732</v>
      </c>
      <c r="H1778" s="7" t="s">
        <v>1290</v>
      </c>
      <c r="I1778" s="256">
        <v>510</v>
      </c>
      <c r="J1778" s="256">
        <v>1920.0228786711191</v>
      </c>
      <c r="K1778" s="602">
        <f t="shared" si="468"/>
        <v>979212</v>
      </c>
      <c r="L1778" s="39" t="s">
        <v>173</v>
      </c>
      <c r="M1778" s="39" t="s">
        <v>167</v>
      </c>
      <c r="N1778" s="39" t="str">
        <f>IF(AND('331-CT'!$E$7=TH!H1778,OR(L1778="331",M1778="331")),"331",IF(AND(OR(L1778="131",M1778="131"),H1778='131-CT'!$E$7),"131",""))</f>
        <v/>
      </c>
      <c r="O1778" s="39" t="str">
        <f>IF(AND($B1778&gt;='111'!$N$11,$B1778&lt;='111'!$O$11,OR($L1778=$O$7,$M1778=$O$7)),"x","")</f>
        <v/>
      </c>
      <c r="P1778" s="39" t="str">
        <f>IF(AND($L1778=$O$7,$B1778&lt;'111'!$N$11),"x","")</f>
        <v/>
      </c>
      <c r="Q1778" s="39" t="str">
        <f>IF(AND($M1778=$O$7,$B1778&lt;'111'!$N$11),"x","")</f>
        <v/>
      </c>
      <c r="R1778" s="39" t="str">
        <f>IF(ISERROR(FIND('112'!$M$9,G1778,1)),"",IF((AND(FIND('112'!$M$9,G1778,1)&gt;=1,$B1778&gt;='112'!$N$8,$B1778&lt;='112'!$O$8,OR($L1778='112'!$I$6,$M1778='112'!$I$6))),"x",""))</f>
        <v/>
      </c>
      <c r="S1778" s="39" t="str">
        <f>IF(ISERROR(FIND('112'!$M$9,G1778,1)),"",IF((AND(LEFT(G1778,2)=LEFT('112'!$M$9,2),B1778&lt;'112'!$N$8,$L1778='112'!$I$6)),"x",""))</f>
        <v/>
      </c>
      <c r="T1778" s="39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39" t="str">
        <f>IF(OR(TH!L1778=TH!$V$7,M1778=TH!$V$7),"x","")</f>
        <v/>
      </c>
      <c r="W1778" s="39" t="str">
        <f>IF(AND(B1778&gt;='IN-NX'!$P$3,B1778&lt;='IN-NX'!$Q$3,'IN-NX'!$D$7=D1778,OR(LEFT(L1778,2)="15",AND(LEFT(M1778,2)&lt;&gt;"15",LEFT(M1778,2)&lt;&gt;"33"))),"x","")</f>
        <v/>
      </c>
      <c r="X1778" s="39" t="str">
        <f>IF(AND(OR(LEFT(TH!L1778,2)="15",LEFT(TH!M1778,2)="15"),'152-CT'!$J$8=TH!F1778),"x","")</f>
        <v/>
      </c>
      <c r="Y1778" s="39" t="str">
        <f>IF(AND(OR(LEFT(TH!L1778,2)="15",LEFT(TH!M1778,2)="15"),TK!$E$7=TH!F1778),"x","")</f>
        <v/>
      </c>
      <c r="Z1778" s="39" t="str">
        <f>IF(AND(B1778&lt;=NKC!$N$8,B1778&gt;=NKC!$M$8),"x","")</f>
        <v/>
      </c>
      <c r="AA1778" s="883"/>
    </row>
    <row r="1779" spans="1:27" s="211" customFormat="1" ht="15.75" customHeight="1">
      <c r="A1779" s="204" t="str">
        <f>IF(B1779&lt;&gt;"",IF(AND(B1779&gt;=_TM1,B1779&lt;=_TM2,OR(TH!L1779="1111",TH!M1779="1111")),TH!D1779,""),"")</f>
        <v/>
      </c>
      <c r="B1779" s="36">
        <f t="shared" si="467"/>
        <v>1</v>
      </c>
      <c r="C1779" s="191">
        <f t="shared" si="465"/>
        <v>41285</v>
      </c>
      <c r="D1779" s="37" t="s">
        <v>487</v>
      </c>
      <c r="E1779" s="191">
        <v>41285</v>
      </c>
      <c r="F1779" s="189" t="s">
        <v>735</v>
      </c>
      <c r="G1779" s="604" t="s">
        <v>732</v>
      </c>
      <c r="H1779" s="7" t="s">
        <v>1290</v>
      </c>
      <c r="I1779" s="256">
        <v>420</v>
      </c>
      <c r="J1779" s="256">
        <v>1942.4632148055728</v>
      </c>
      <c r="K1779" s="602">
        <f t="shared" si="468"/>
        <v>815835</v>
      </c>
      <c r="L1779" s="39" t="s">
        <v>173</v>
      </c>
      <c r="M1779" s="39" t="s">
        <v>167</v>
      </c>
      <c r="N1779" s="39" t="str">
        <f>IF(AND('331-CT'!$E$7=TH!H1779,OR(L1779="331",M1779="331")),"331",IF(AND(OR(L1779="131",M1779="131"),H1779='131-CT'!$E$7),"131",""))</f>
        <v/>
      </c>
      <c r="O1779" s="39" t="str">
        <f>IF(AND($B1779&gt;='111'!$N$11,$B1779&lt;='111'!$O$11,OR($L1779=$O$7,$M1779=$O$7)),"x","")</f>
        <v/>
      </c>
      <c r="P1779" s="39" t="str">
        <f>IF(AND($L1779=$O$7,$B1779&lt;'111'!$N$11),"x","")</f>
        <v/>
      </c>
      <c r="Q1779" s="39" t="str">
        <f>IF(AND($M1779=$O$7,$B1779&lt;'111'!$N$11),"x","")</f>
        <v/>
      </c>
      <c r="R1779" s="39" t="str">
        <f>IF(ISERROR(FIND('112'!$M$9,G1779,1)),"",IF((AND(FIND('112'!$M$9,G1779,1)&gt;=1,$B1779&gt;='112'!$N$8,$B1779&lt;='112'!$O$8,OR($L1779='112'!$I$6,$M1779='112'!$I$6))),"x",""))</f>
        <v/>
      </c>
      <c r="S1779" s="39" t="str">
        <f>IF(ISERROR(FIND('112'!$M$9,G1779,1)),"",IF((AND(LEFT(G1779,2)=LEFT('112'!$M$9,2),B1779&lt;'112'!$N$8,$L1779='112'!$I$6)),"x",""))</f>
        <v/>
      </c>
      <c r="T1779" s="39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39" t="str">
        <f>IF(OR(TH!L1779=TH!$V$7,M1779=TH!$V$7),"x","")</f>
        <v/>
      </c>
      <c r="W1779" s="39" t="str">
        <f>IF(AND(B1779&gt;='IN-NX'!$P$3,B1779&lt;='IN-NX'!$Q$3,'IN-NX'!$D$7=D1779,OR(LEFT(L1779,2)="15",AND(LEFT(M1779,2)&lt;&gt;"15",LEFT(M1779,2)&lt;&gt;"33"))),"x","")</f>
        <v/>
      </c>
      <c r="X1779" s="39" t="str">
        <f>IF(AND(OR(LEFT(TH!L1779,2)="15",LEFT(TH!M1779,2)="15"),'152-CT'!$J$8=TH!F1779),"x","")</f>
        <v/>
      </c>
      <c r="Y1779" s="39" t="str">
        <f>IF(AND(OR(LEFT(TH!L1779,2)="15",LEFT(TH!M1779,2)="15"),TK!$E$7=TH!F1779),"x","")</f>
        <v/>
      </c>
      <c r="Z1779" s="39" t="str">
        <f>IF(AND(B1779&lt;=NKC!$N$8,B1779&gt;=NKC!$M$8),"x","")</f>
        <v/>
      </c>
      <c r="AA1779" s="883"/>
    </row>
    <row r="1780" spans="1:27" s="211" customFormat="1" ht="15.75" customHeight="1">
      <c r="A1780" s="204" t="str">
        <f>IF(B1780&lt;&gt;"",IF(AND(B1780&gt;=_TM1,B1780&lt;=_TM2,OR(TH!L1780="1111",TH!M1780="1111")),TH!D1780,""),"")</f>
        <v/>
      </c>
      <c r="B1780" s="36">
        <f t="shared" si="467"/>
        <v>1</v>
      </c>
      <c r="C1780" s="191">
        <f t="shared" si="465"/>
        <v>41285</v>
      </c>
      <c r="D1780" s="37" t="s">
        <v>487</v>
      </c>
      <c r="E1780" s="191">
        <v>41285</v>
      </c>
      <c r="F1780" s="189" t="s">
        <v>736</v>
      </c>
      <c r="G1780" s="604" t="s">
        <v>732</v>
      </c>
      <c r="H1780" s="7" t="s">
        <v>1290</v>
      </c>
      <c r="I1780" s="256">
        <v>200</v>
      </c>
      <c r="J1780" s="256">
        <v>2082.3413100436678</v>
      </c>
      <c r="K1780" s="602">
        <f t="shared" si="468"/>
        <v>416468</v>
      </c>
      <c r="L1780" s="39" t="s">
        <v>173</v>
      </c>
      <c r="M1780" s="39" t="s">
        <v>167</v>
      </c>
      <c r="N1780" s="39" t="str">
        <f>IF(AND('331-CT'!$E$7=TH!H1780,OR(L1780="331",M1780="331")),"331",IF(AND(OR(L1780="131",M1780="131"),H1780='131-CT'!$E$7),"131",""))</f>
        <v/>
      </c>
      <c r="O1780" s="39" t="str">
        <f>IF(AND($B1780&gt;='111'!$N$11,$B1780&lt;='111'!$O$11,OR($L1780=$O$7,$M1780=$O$7)),"x","")</f>
        <v/>
      </c>
      <c r="P1780" s="39" t="str">
        <f>IF(AND($L1780=$O$7,$B1780&lt;'111'!$N$11),"x","")</f>
        <v/>
      </c>
      <c r="Q1780" s="39" t="str">
        <f>IF(AND($M1780=$O$7,$B1780&lt;'111'!$N$11),"x","")</f>
        <v/>
      </c>
      <c r="R1780" s="39" t="str">
        <f>IF(ISERROR(FIND('112'!$M$9,G1780,1)),"",IF((AND(FIND('112'!$M$9,G1780,1)&gt;=1,$B1780&gt;='112'!$N$8,$B1780&lt;='112'!$O$8,OR($L1780='112'!$I$6,$M1780='112'!$I$6))),"x",""))</f>
        <v/>
      </c>
      <c r="S1780" s="39" t="str">
        <f>IF(ISERROR(FIND('112'!$M$9,G1780,1)),"",IF((AND(LEFT(G1780,2)=LEFT('112'!$M$9,2),B1780&lt;'112'!$N$8,$L1780='112'!$I$6)),"x",""))</f>
        <v/>
      </c>
      <c r="T1780" s="39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39" t="str">
        <f>IF(OR(TH!L1780=TH!$V$7,M1780=TH!$V$7),"x","")</f>
        <v/>
      </c>
      <c r="W1780" s="39" t="str">
        <f>IF(AND(B1780&gt;='IN-NX'!$P$3,B1780&lt;='IN-NX'!$Q$3,'IN-NX'!$D$7=D1780,OR(LEFT(L1780,2)="15",AND(LEFT(M1780,2)&lt;&gt;"15",LEFT(M1780,2)&lt;&gt;"33"))),"x","")</f>
        <v/>
      </c>
      <c r="X1780" s="39" t="str">
        <f>IF(AND(OR(LEFT(TH!L1780,2)="15",LEFT(TH!M1780,2)="15"),'152-CT'!$J$8=TH!F1780),"x","")</f>
        <v/>
      </c>
      <c r="Y1780" s="39" t="str">
        <f>IF(AND(OR(LEFT(TH!L1780,2)="15",LEFT(TH!M1780,2)="15"),TK!$E$7=TH!F1780),"x","")</f>
        <v/>
      </c>
      <c r="Z1780" s="39" t="str">
        <f>IF(AND(B1780&lt;=NKC!$N$8,B1780&gt;=NKC!$M$8),"x","")</f>
        <v/>
      </c>
      <c r="AA1780" s="883"/>
    </row>
    <row r="1781" spans="1:27" s="211" customFormat="1" ht="15.75" customHeight="1">
      <c r="A1781" s="204" t="str">
        <f>IF(B1781&lt;&gt;"",IF(AND(B1781&gt;=_TM1,B1781&lt;=_TM2,OR(TH!L1781="1111",TH!M1781="1111")),TH!D1781,""),"")</f>
        <v/>
      </c>
      <c r="B1781" s="36">
        <f t="shared" si="467"/>
        <v>1</v>
      </c>
      <c r="C1781" s="191">
        <f t="shared" si="465"/>
        <v>41285</v>
      </c>
      <c r="D1781" s="37" t="s">
        <v>487</v>
      </c>
      <c r="E1781" s="773">
        <v>41285</v>
      </c>
      <c r="F1781" s="40" t="s">
        <v>737</v>
      </c>
      <c r="G1781" s="40" t="s">
        <v>732</v>
      </c>
      <c r="H1781" s="7" t="s">
        <v>1290</v>
      </c>
      <c r="I1781" s="256">
        <v>420</v>
      </c>
      <c r="J1781" s="256">
        <v>1942.4632148055728</v>
      </c>
      <c r="K1781" s="602">
        <f t="shared" si="468"/>
        <v>815835</v>
      </c>
      <c r="L1781" s="39" t="s">
        <v>173</v>
      </c>
      <c r="M1781" s="39" t="s">
        <v>167</v>
      </c>
      <c r="N1781" s="39" t="str">
        <f>IF(AND('331-CT'!$E$7=TH!H1781,OR(L1781="331",M1781="331")),"331",IF(AND(OR(L1781="131",M1781="131"),H1781='131-CT'!$E$7),"131",""))</f>
        <v/>
      </c>
      <c r="O1781" s="39" t="str">
        <f>IF(AND($B1781&gt;='111'!$N$11,$B1781&lt;='111'!$O$11,OR($L1781=$O$7,$M1781=$O$7)),"x","")</f>
        <v/>
      </c>
      <c r="P1781" s="39" t="str">
        <f>IF(AND($L1781=$O$7,$B1781&lt;'111'!$N$11),"x","")</f>
        <v/>
      </c>
      <c r="Q1781" s="39" t="str">
        <f>IF(AND($M1781=$O$7,$B1781&lt;'111'!$N$11),"x","")</f>
        <v/>
      </c>
      <c r="R1781" s="39" t="str">
        <f>IF(ISERROR(FIND('112'!$M$9,G1781,1)),"",IF((AND(FIND('112'!$M$9,G1781,1)&gt;=1,$B1781&gt;='112'!$N$8,$B1781&lt;='112'!$O$8,OR($L1781='112'!$I$6,$M1781='112'!$I$6))),"x",""))</f>
        <v/>
      </c>
      <c r="S1781" s="39" t="str">
        <f>IF(ISERROR(FIND('112'!$M$9,G1781,1)),"",IF((AND(LEFT(G1781,2)=LEFT('112'!$M$9,2),B1781&lt;'112'!$N$8,$L1781='112'!$I$6)),"x",""))</f>
        <v/>
      </c>
      <c r="T1781" s="39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39" t="str">
        <f>IF(OR(TH!L1781=TH!$V$7,M1781=TH!$V$7),"x","")</f>
        <v/>
      </c>
      <c r="W1781" s="39" t="str">
        <f>IF(AND(B1781&gt;='IN-NX'!$P$3,B1781&lt;='IN-NX'!$Q$3,'IN-NX'!$D$7=D1781,OR(LEFT(L1781,2)="15",AND(LEFT(M1781,2)&lt;&gt;"15",LEFT(M1781,2)&lt;&gt;"33"))),"x","")</f>
        <v/>
      </c>
      <c r="X1781" s="39" t="str">
        <f>IF(AND(OR(LEFT(TH!L1781,2)="15",LEFT(TH!M1781,2)="15"),'152-CT'!$J$8=TH!F1781),"x","")</f>
        <v/>
      </c>
      <c r="Y1781" s="39" t="str">
        <f>IF(AND(OR(LEFT(TH!L1781,2)="15",LEFT(TH!M1781,2)="15"),TK!$E$7=TH!F1781),"x","")</f>
        <v/>
      </c>
      <c r="Z1781" s="39" t="str">
        <f>IF(AND(B1781&lt;=NKC!$N$8,B1781&gt;=NKC!$M$8),"x","")</f>
        <v/>
      </c>
      <c r="AA1781" s="883"/>
    </row>
    <row r="1782" spans="1:27" s="211" customFormat="1" ht="15.75" customHeight="1">
      <c r="A1782" s="204" t="str">
        <f>IF(B1782&lt;&gt;"",IF(AND(B1782&gt;=_TM1,B1782&lt;=_TM2,OR(TH!L1782="1111",TH!M1782="1111")),TH!D1782,""),"")</f>
        <v/>
      </c>
      <c r="B1782" s="36">
        <f t="shared" si="467"/>
        <v>1</v>
      </c>
      <c r="C1782" s="191">
        <f t="shared" si="465"/>
        <v>41285</v>
      </c>
      <c r="D1782" s="37" t="s">
        <v>487</v>
      </c>
      <c r="E1782" s="795">
        <v>41285</v>
      </c>
      <c r="F1782" s="192" t="s">
        <v>738</v>
      </c>
      <c r="G1782" s="487" t="s">
        <v>732</v>
      </c>
      <c r="H1782" s="7" t="s">
        <v>1290</v>
      </c>
      <c r="I1782" s="256">
        <v>52</v>
      </c>
      <c r="J1782" s="256">
        <v>10538.378233120591</v>
      </c>
      <c r="K1782" s="602">
        <f t="shared" si="468"/>
        <v>547996</v>
      </c>
      <c r="L1782" s="39" t="s">
        <v>173</v>
      </c>
      <c r="M1782" s="39" t="s">
        <v>167</v>
      </c>
      <c r="N1782" s="39" t="str">
        <f>IF(AND('331-CT'!$E$7=TH!H1782,OR(L1782="331",M1782="331")),"331",IF(AND(OR(L1782="131",M1782="131"),H1782='131-CT'!$E$7),"131",""))</f>
        <v/>
      </c>
      <c r="O1782" s="39" t="str">
        <f>IF(AND($B1782&gt;='111'!$N$11,$B1782&lt;='111'!$O$11,OR($L1782=$O$7,$M1782=$O$7)),"x","")</f>
        <v/>
      </c>
      <c r="P1782" s="39" t="str">
        <f>IF(AND($L1782=$O$7,$B1782&lt;'111'!$N$11),"x","")</f>
        <v/>
      </c>
      <c r="Q1782" s="39" t="str">
        <f>IF(AND($M1782=$O$7,$B1782&lt;'111'!$N$11),"x","")</f>
        <v/>
      </c>
      <c r="R1782" s="39" t="str">
        <f>IF(ISERROR(FIND('112'!$M$9,G1782,1)),"",IF((AND(FIND('112'!$M$9,G1782,1)&gt;=1,$B1782&gt;='112'!$N$8,$B1782&lt;='112'!$O$8,OR($L1782='112'!$I$6,$M1782='112'!$I$6))),"x",""))</f>
        <v/>
      </c>
      <c r="S1782" s="39" t="str">
        <f>IF(ISERROR(FIND('112'!$M$9,G1782,1)),"",IF((AND(LEFT(G1782,2)=LEFT('112'!$M$9,2),B1782&lt;'112'!$N$8,$L1782='112'!$I$6)),"x",""))</f>
        <v/>
      </c>
      <c r="T1782" s="39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39" t="str">
        <f>IF(OR(TH!L1782=TH!$V$7,M1782=TH!$V$7),"x","")</f>
        <v/>
      </c>
      <c r="W1782" s="39" t="str">
        <f>IF(AND(B1782&gt;='IN-NX'!$P$3,B1782&lt;='IN-NX'!$Q$3,'IN-NX'!$D$7=D1782,OR(LEFT(L1782,2)="15",AND(LEFT(M1782,2)&lt;&gt;"15",LEFT(M1782,2)&lt;&gt;"33"))),"x","")</f>
        <v/>
      </c>
      <c r="X1782" s="39" t="str">
        <f>IF(AND(OR(LEFT(TH!L1782,2)="15",LEFT(TH!M1782,2)="15"),'152-CT'!$J$8=TH!F1782),"x","")</f>
        <v/>
      </c>
      <c r="Y1782" s="39" t="str">
        <f>IF(AND(OR(LEFT(TH!L1782,2)="15",LEFT(TH!M1782,2)="15"),TK!$E$7=TH!F1782),"x","")</f>
        <v/>
      </c>
      <c r="Z1782" s="39" t="str">
        <f>IF(AND(B1782&lt;=NKC!$N$8,B1782&gt;=NKC!$M$8),"x","")</f>
        <v/>
      </c>
      <c r="AA1782" s="883"/>
    </row>
    <row r="1783" spans="1:27" s="211" customFormat="1" ht="15.75" customHeight="1">
      <c r="A1783" s="204" t="str">
        <f>IF(B1783&lt;&gt;"",IF(AND(B1783&gt;=_TM1,B1783&lt;=_TM2,OR(TH!L1783="1111",TH!M1783="1111")),TH!D1783,""),"")</f>
        <v/>
      </c>
      <c r="B1783" s="36">
        <f t="shared" si="467"/>
        <v>1</v>
      </c>
      <c r="C1783" s="191">
        <f t="shared" si="465"/>
        <v>41288</v>
      </c>
      <c r="D1783" s="37" t="s">
        <v>487</v>
      </c>
      <c r="E1783" s="795">
        <v>41288</v>
      </c>
      <c r="F1783" s="192" t="s">
        <v>739</v>
      </c>
      <c r="G1783" s="487" t="s">
        <v>740</v>
      </c>
      <c r="H1783" s="7" t="s">
        <v>1290</v>
      </c>
      <c r="I1783" s="256">
        <v>820</v>
      </c>
      <c r="J1783" s="256">
        <v>7334.2037490680577</v>
      </c>
      <c r="K1783" s="602">
        <f t="shared" si="468"/>
        <v>6014047</v>
      </c>
      <c r="L1783" s="39" t="s">
        <v>173</v>
      </c>
      <c r="M1783" s="39" t="s">
        <v>167</v>
      </c>
      <c r="N1783" s="39" t="str">
        <f>IF(AND('331-CT'!$E$7=TH!H1783,OR(L1783="331",M1783="331")),"331",IF(AND(OR(L1783="131",M1783="131"),H1783='131-CT'!$E$7),"131",""))</f>
        <v/>
      </c>
      <c r="O1783" s="39" t="str">
        <f>IF(AND($B1783&gt;='111'!$N$11,$B1783&lt;='111'!$O$11,OR($L1783=$O$7,$M1783=$O$7)),"x","")</f>
        <v/>
      </c>
      <c r="P1783" s="39" t="str">
        <f>IF(AND($L1783=$O$7,$B1783&lt;'111'!$N$11),"x","")</f>
        <v/>
      </c>
      <c r="Q1783" s="39" t="str">
        <f>IF(AND($M1783=$O$7,$B1783&lt;'111'!$N$11),"x","")</f>
        <v/>
      </c>
      <c r="R1783" s="39" t="str">
        <f>IF(ISERROR(FIND('112'!$M$9,G1783,1)),"",IF((AND(FIND('112'!$M$9,G1783,1)&gt;=1,$B1783&gt;='112'!$N$8,$B1783&lt;='112'!$O$8,OR($L1783='112'!$I$6,$M1783='112'!$I$6))),"x",""))</f>
        <v/>
      </c>
      <c r="S1783" s="39" t="str">
        <f>IF(ISERROR(FIND('112'!$M$9,G1783,1)),"",IF((AND(LEFT(G1783,2)=LEFT('112'!$M$9,2),B1783&lt;'112'!$N$8,$L1783='112'!$I$6)),"x",""))</f>
        <v/>
      </c>
      <c r="T1783" s="39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39" t="str">
        <f>IF(OR(TH!L1783=TH!$V$7,M1783=TH!$V$7),"x","")</f>
        <v/>
      </c>
      <c r="W1783" s="39" t="str">
        <f>IF(AND(B1783&gt;='IN-NX'!$P$3,B1783&lt;='IN-NX'!$Q$3,'IN-NX'!$D$7=D1783,OR(LEFT(L1783,2)="15",AND(LEFT(M1783,2)&lt;&gt;"15",LEFT(M1783,2)&lt;&gt;"33"))),"x","")</f>
        <v/>
      </c>
      <c r="X1783" s="39" t="str">
        <f>IF(AND(OR(LEFT(TH!L1783,2)="15",LEFT(TH!M1783,2)="15"),'152-CT'!$J$8=TH!F1783),"x","")</f>
        <v/>
      </c>
      <c r="Y1783" s="39" t="str">
        <f>IF(AND(OR(LEFT(TH!L1783,2)="15",LEFT(TH!M1783,2)="15"),TK!$E$7=TH!F1783),"x","")</f>
        <v/>
      </c>
      <c r="Z1783" s="39" t="str">
        <f>IF(AND(B1783&lt;=NKC!$N$8,B1783&gt;=NKC!$M$8),"x","")</f>
        <v/>
      </c>
      <c r="AA1783" s="883"/>
    </row>
    <row r="1784" spans="1:27" s="211" customFormat="1" ht="15.75" customHeight="1">
      <c r="A1784" s="204" t="str">
        <f>IF(B1784&lt;&gt;"",IF(AND(B1784&gt;=_TM1,B1784&lt;=_TM2,OR(TH!L1784="1111",TH!M1784="1111")),TH!D1784,""),"")</f>
        <v/>
      </c>
      <c r="B1784" s="36">
        <f t="shared" si="467"/>
        <v>1</v>
      </c>
      <c r="C1784" s="191">
        <f t="shared" si="465"/>
        <v>41290</v>
      </c>
      <c r="D1784" s="37" t="s">
        <v>487</v>
      </c>
      <c r="E1784" s="191">
        <v>41290</v>
      </c>
      <c r="F1784" s="297" t="s">
        <v>742</v>
      </c>
      <c r="G1784" s="487" t="s">
        <v>743</v>
      </c>
      <c r="H1784" s="7" t="s">
        <v>1290</v>
      </c>
      <c r="I1784" s="256">
        <v>274</v>
      </c>
      <c r="J1784" s="256">
        <v>24927.345105664106</v>
      </c>
      <c r="K1784" s="602">
        <f t="shared" si="468"/>
        <v>6830093</v>
      </c>
      <c r="L1784" s="39" t="s">
        <v>173</v>
      </c>
      <c r="M1784" s="39" t="s">
        <v>167</v>
      </c>
      <c r="N1784" s="39" t="str">
        <f>IF(AND('331-CT'!$E$7=TH!H1784,OR(L1784="331",M1784="331")),"331",IF(AND(OR(L1784="131",M1784="131"),H1784='131-CT'!$E$7),"131",""))</f>
        <v/>
      </c>
      <c r="O1784" s="39" t="str">
        <f>IF(AND($B1784&gt;='111'!$N$11,$B1784&lt;='111'!$O$11,OR($L1784=$O$7,$M1784=$O$7)),"x","")</f>
        <v/>
      </c>
      <c r="P1784" s="39" t="str">
        <f>IF(AND($L1784=$O$7,$B1784&lt;'111'!$N$11),"x","")</f>
        <v/>
      </c>
      <c r="Q1784" s="39" t="str">
        <f>IF(AND($M1784=$O$7,$B1784&lt;'111'!$N$11),"x","")</f>
        <v/>
      </c>
      <c r="R1784" s="39" t="str">
        <f>IF(ISERROR(FIND('112'!$M$9,G1784,1)),"",IF((AND(FIND('112'!$M$9,G1784,1)&gt;=1,$B1784&gt;='112'!$N$8,$B1784&lt;='112'!$O$8,OR($L1784='112'!$I$6,$M1784='112'!$I$6))),"x",""))</f>
        <v/>
      </c>
      <c r="S1784" s="39" t="str">
        <f>IF(ISERROR(FIND('112'!$M$9,G1784,1)),"",IF((AND(LEFT(G1784,2)=LEFT('112'!$M$9,2),B1784&lt;'112'!$N$8,$L1784='112'!$I$6)),"x",""))</f>
        <v/>
      </c>
      <c r="T1784" s="39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39" t="str">
        <f>IF(OR(TH!L1784=TH!$V$7,M1784=TH!$V$7),"x","")</f>
        <v/>
      </c>
      <c r="W1784" s="39" t="str">
        <f>IF(AND(B1784&gt;='IN-NX'!$P$3,B1784&lt;='IN-NX'!$Q$3,'IN-NX'!$D$7=D1784,OR(LEFT(L1784,2)="15",AND(LEFT(M1784,2)&lt;&gt;"15",LEFT(M1784,2)&lt;&gt;"33"))),"x","")</f>
        <v/>
      </c>
      <c r="X1784" s="39" t="str">
        <f>IF(AND(OR(LEFT(TH!L1784,2)="15",LEFT(TH!M1784,2)="15"),'152-CT'!$J$8=TH!F1784),"x","")</f>
        <v/>
      </c>
      <c r="Y1784" s="39" t="str">
        <f>IF(AND(OR(LEFT(TH!L1784,2)="15",LEFT(TH!M1784,2)="15"),TK!$E$7=TH!F1784),"x","")</f>
        <v/>
      </c>
      <c r="Z1784" s="39" t="str">
        <f>IF(AND(B1784&lt;=NKC!$N$8,B1784&gt;=NKC!$M$8),"x","")</f>
        <v/>
      </c>
      <c r="AA1784" s="883"/>
    </row>
    <row r="1785" spans="1:27" s="211" customFormat="1" ht="15.75" customHeight="1">
      <c r="A1785" s="204" t="str">
        <f>IF(B1785&lt;&gt;"",IF(AND(B1785&gt;=_TM1,B1785&lt;=_TM2,OR(TH!L1785="1111",TH!M1785="1111")),TH!D1785,""),"")</f>
        <v/>
      </c>
      <c r="B1785" s="36">
        <f t="shared" si="467"/>
        <v>1</v>
      </c>
      <c r="C1785" s="191">
        <f t="shared" si="465"/>
        <v>41292</v>
      </c>
      <c r="D1785" s="37" t="s">
        <v>487</v>
      </c>
      <c r="E1785" s="191">
        <v>41292</v>
      </c>
      <c r="F1785" s="297" t="s">
        <v>745</v>
      </c>
      <c r="G1785" s="487" t="s">
        <v>746</v>
      </c>
      <c r="H1785" s="7" t="s">
        <v>1290</v>
      </c>
      <c r="I1785" s="256">
        <v>113</v>
      </c>
      <c r="J1785" s="256">
        <v>26518.310159601184</v>
      </c>
      <c r="K1785" s="602">
        <f t="shared" si="468"/>
        <v>2996569</v>
      </c>
      <c r="L1785" s="39" t="s">
        <v>173</v>
      </c>
      <c r="M1785" s="39" t="s">
        <v>167</v>
      </c>
      <c r="N1785" s="39" t="str">
        <f>IF(AND('331-CT'!$E$7=TH!H1785,OR(L1785="331",M1785="331")),"331",IF(AND(OR(L1785="131",M1785="131"),H1785='131-CT'!$E$7),"131",""))</f>
        <v/>
      </c>
      <c r="O1785" s="39" t="str">
        <f>IF(AND($B1785&gt;='111'!$N$11,$B1785&lt;='111'!$O$11,OR($L1785=$O$7,$M1785=$O$7)),"x","")</f>
        <v/>
      </c>
      <c r="P1785" s="39" t="str">
        <f>IF(AND($L1785=$O$7,$B1785&lt;'111'!$N$11),"x","")</f>
        <v/>
      </c>
      <c r="Q1785" s="39" t="str">
        <f>IF(AND($M1785=$O$7,$B1785&lt;'111'!$N$11),"x","")</f>
        <v/>
      </c>
      <c r="R1785" s="39" t="str">
        <f>IF(ISERROR(FIND('112'!$M$9,G1785,1)),"",IF((AND(FIND('112'!$M$9,G1785,1)&gt;=1,$B1785&gt;='112'!$N$8,$B1785&lt;='112'!$O$8,OR($L1785='112'!$I$6,$M1785='112'!$I$6))),"x",""))</f>
        <v/>
      </c>
      <c r="S1785" s="39" t="str">
        <f>IF(ISERROR(FIND('112'!$M$9,G1785,1)),"",IF((AND(LEFT(G1785,2)=LEFT('112'!$M$9,2),B1785&lt;'112'!$N$8,$L1785='112'!$I$6)),"x",""))</f>
        <v/>
      </c>
      <c r="T1785" s="39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39" t="str">
        <f>IF(OR(TH!L1785=TH!$V$7,M1785=TH!$V$7),"x","")</f>
        <v/>
      </c>
      <c r="W1785" s="39" t="str">
        <f>IF(AND(B1785&gt;='IN-NX'!$P$3,B1785&lt;='IN-NX'!$Q$3,'IN-NX'!$D$7=D1785,OR(LEFT(L1785,2)="15",AND(LEFT(M1785,2)&lt;&gt;"15",LEFT(M1785,2)&lt;&gt;"33"))),"x","")</f>
        <v/>
      </c>
      <c r="X1785" s="39" t="str">
        <f>IF(AND(OR(LEFT(TH!L1785,2)="15",LEFT(TH!M1785,2)="15"),'152-CT'!$J$8=TH!F1785),"x","")</f>
        <v/>
      </c>
      <c r="Y1785" s="39" t="str">
        <f>IF(AND(OR(LEFT(TH!L1785,2)="15",LEFT(TH!M1785,2)="15"),TK!$E$7=TH!F1785),"x","")</f>
        <v/>
      </c>
      <c r="Z1785" s="39" t="str">
        <f>IF(AND(B1785&lt;=NKC!$N$8,B1785&gt;=NKC!$M$8),"x","")</f>
        <v/>
      </c>
      <c r="AA1785" s="883"/>
    </row>
    <row r="1786" spans="1:27" s="211" customFormat="1" ht="15.75" customHeight="1">
      <c r="A1786" s="204" t="str">
        <f>IF(B1786&lt;&gt;"",IF(AND(B1786&gt;=_TM1,B1786&lt;=_TM2,OR(TH!L1786="1111",TH!M1786="1111")),TH!D1786,""),"")</f>
        <v/>
      </c>
      <c r="B1786" s="36">
        <f t="shared" si="467"/>
        <v>1</v>
      </c>
      <c r="C1786" s="191">
        <f t="shared" si="465"/>
        <v>41292</v>
      </c>
      <c r="D1786" s="37" t="s">
        <v>487</v>
      </c>
      <c r="E1786" s="184">
        <v>41292</v>
      </c>
      <c r="F1786" s="189" t="s">
        <v>747</v>
      </c>
      <c r="G1786" s="604" t="s">
        <v>748</v>
      </c>
      <c r="H1786" s="7" t="s">
        <v>1290</v>
      </c>
      <c r="I1786" s="256">
        <v>1319</v>
      </c>
      <c r="J1786" s="256">
        <v>5210.9040393840787</v>
      </c>
      <c r="K1786" s="602">
        <f t="shared" si="468"/>
        <v>6873182</v>
      </c>
      <c r="L1786" s="39" t="s">
        <v>173</v>
      </c>
      <c r="M1786" s="39" t="s">
        <v>167</v>
      </c>
      <c r="N1786" s="39" t="str">
        <f>IF(AND('331-CT'!$E$7=TH!H1786,OR(L1786="331",M1786="331")),"331",IF(AND(OR(L1786="131",M1786="131"),H1786='131-CT'!$E$7),"131",""))</f>
        <v/>
      </c>
      <c r="O1786" s="39" t="str">
        <f>IF(AND($B1786&gt;='111'!$N$11,$B1786&lt;='111'!$O$11,OR($L1786=$O$7,$M1786=$O$7)),"x","")</f>
        <v/>
      </c>
      <c r="P1786" s="39" t="str">
        <f>IF(AND($L1786=$O$7,$B1786&lt;'111'!$N$11),"x","")</f>
        <v/>
      </c>
      <c r="Q1786" s="39" t="str">
        <f>IF(AND($M1786=$O$7,$B1786&lt;'111'!$N$11),"x","")</f>
        <v/>
      </c>
      <c r="R1786" s="39" t="str">
        <f>IF(ISERROR(FIND('112'!$M$9,G1786,1)),"",IF((AND(FIND('112'!$M$9,G1786,1)&gt;=1,$B1786&gt;='112'!$N$8,$B1786&lt;='112'!$O$8,OR($L1786='112'!$I$6,$M1786='112'!$I$6))),"x",""))</f>
        <v/>
      </c>
      <c r="S1786" s="39" t="str">
        <f>IF(ISERROR(FIND('112'!$M$9,G1786,1)),"",IF((AND(LEFT(G1786,2)=LEFT('112'!$M$9,2),B1786&lt;'112'!$N$8,$L1786='112'!$I$6)),"x",""))</f>
        <v/>
      </c>
      <c r="T1786" s="39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39" t="str">
        <f>IF(OR(TH!L1786=TH!$V$7,M1786=TH!$V$7),"x","")</f>
        <v/>
      </c>
      <c r="W1786" s="39" t="str">
        <f>IF(AND(B1786&gt;='IN-NX'!$P$3,B1786&lt;='IN-NX'!$Q$3,'IN-NX'!$D$7=D1786,OR(LEFT(L1786,2)="15",AND(LEFT(M1786,2)&lt;&gt;"15",LEFT(M1786,2)&lt;&gt;"33"))),"x","")</f>
        <v/>
      </c>
      <c r="X1786" s="39" t="str">
        <f>IF(AND(OR(LEFT(TH!L1786,2)="15",LEFT(TH!M1786,2)="15"),'152-CT'!$J$8=TH!F1786),"x","")</f>
        <v/>
      </c>
      <c r="Y1786" s="39" t="str">
        <f>IF(AND(OR(LEFT(TH!L1786,2)="15",LEFT(TH!M1786,2)="15"),TK!$E$7=TH!F1786),"x","")</f>
        <v/>
      </c>
      <c r="Z1786" s="39" t="str">
        <f>IF(AND(B1786&lt;=NKC!$N$8,B1786&gt;=NKC!$M$8),"x","")</f>
        <v/>
      </c>
      <c r="AA1786" s="883"/>
    </row>
    <row r="1787" spans="1:27" s="211" customFormat="1" ht="15.75" customHeight="1">
      <c r="A1787" s="204" t="str">
        <f>IF(B1787&lt;&gt;"",IF(AND(B1787&gt;=_TM1,B1787&lt;=_TM2,OR(TH!L1787="1111",TH!M1787="1111")),TH!D1787,""),"")</f>
        <v/>
      </c>
      <c r="B1787" s="36">
        <f t="shared" si="467"/>
        <v>1</v>
      </c>
      <c r="C1787" s="191">
        <f t="shared" si="465"/>
        <v>41292</v>
      </c>
      <c r="D1787" s="37" t="s">
        <v>487</v>
      </c>
      <c r="E1787" s="773">
        <v>41292</v>
      </c>
      <c r="F1787" s="189" t="s">
        <v>749</v>
      </c>
      <c r="G1787" s="40" t="s">
        <v>748</v>
      </c>
      <c r="H1787" s="7" t="s">
        <v>1290</v>
      </c>
      <c r="I1787" s="256">
        <v>306</v>
      </c>
      <c r="J1787" s="256">
        <v>5700.5954276907269</v>
      </c>
      <c r="K1787" s="602">
        <f t="shared" si="468"/>
        <v>1744382</v>
      </c>
      <c r="L1787" s="39" t="s">
        <v>173</v>
      </c>
      <c r="M1787" s="39" t="s">
        <v>167</v>
      </c>
      <c r="N1787" s="39" t="str">
        <f>IF(AND('331-CT'!$E$7=TH!H1787,OR(L1787="331",M1787="331")),"331",IF(AND(OR(L1787="131",M1787="131"),H1787='131-CT'!$E$7),"131",""))</f>
        <v/>
      </c>
      <c r="O1787" s="39" t="str">
        <f>IF(AND($B1787&gt;='111'!$N$11,$B1787&lt;='111'!$O$11,OR($L1787=$O$7,$M1787=$O$7)),"x","")</f>
        <v/>
      </c>
      <c r="P1787" s="39" t="str">
        <f>IF(AND($L1787=$O$7,$B1787&lt;'111'!$N$11),"x","")</f>
        <v/>
      </c>
      <c r="Q1787" s="39" t="str">
        <f>IF(AND($M1787=$O$7,$B1787&lt;'111'!$N$11),"x","")</f>
        <v/>
      </c>
      <c r="R1787" s="39" t="str">
        <f>IF(ISERROR(FIND('112'!$M$9,G1787,1)),"",IF((AND(FIND('112'!$M$9,G1787,1)&gt;=1,$B1787&gt;='112'!$N$8,$B1787&lt;='112'!$O$8,OR($L1787='112'!$I$6,$M1787='112'!$I$6))),"x",""))</f>
        <v/>
      </c>
      <c r="S1787" s="39" t="str">
        <f>IF(ISERROR(FIND('112'!$M$9,G1787,1)),"",IF((AND(LEFT(G1787,2)=LEFT('112'!$M$9,2),B1787&lt;'112'!$N$8,$L1787='112'!$I$6)),"x",""))</f>
        <v/>
      </c>
      <c r="T1787" s="39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39" t="str">
        <f>IF(OR(TH!L1787=TH!$V$7,M1787=TH!$V$7),"x","")</f>
        <v/>
      </c>
      <c r="W1787" s="39" t="str">
        <f>IF(AND(B1787&gt;='IN-NX'!$P$3,B1787&lt;='IN-NX'!$Q$3,'IN-NX'!$D$7=D1787,OR(LEFT(L1787,2)="15",AND(LEFT(M1787,2)&lt;&gt;"15",LEFT(M1787,2)&lt;&gt;"33"))),"x","")</f>
        <v/>
      </c>
      <c r="X1787" s="39" t="str">
        <f>IF(AND(OR(LEFT(TH!L1787,2)="15",LEFT(TH!M1787,2)="15"),'152-CT'!$J$8=TH!F1787),"x","")</f>
        <v/>
      </c>
      <c r="Y1787" s="39" t="str">
        <f>IF(AND(OR(LEFT(TH!L1787,2)="15",LEFT(TH!M1787,2)="15"),TK!$E$7=TH!F1787),"x","")</f>
        <v/>
      </c>
      <c r="Z1787" s="39" t="str">
        <f>IF(AND(B1787&lt;=NKC!$N$8,B1787&gt;=NKC!$M$8),"x","")</f>
        <v/>
      </c>
      <c r="AA1787" s="883"/>
    </row>
    <row r="1788" spans="1:27" s="211" customFormat="1" ht="15.75" customHeight="1">
      <c r="A1788" s="204" t="str">
        <f>IF(B1788&lt;&gt;"",IF(AND(B1788&gt;=_TM1,B1788&lt;=_TM2,OR(TH!L1788="1111",TH!M1788="1111")),TH!D1788,""),"")</f>
        <v/>
      </c>
      <c r="B1788" s="36">
        <f t="shared" si="467"/>
        <v>1</v>
      </c>
      <c r="C1788" s="191">
        <f t="shared" si="465"/>
        <v>41293</v>
      </c>
      <c r="D1788" s="37" t="s">
        <v>487</v>
      </c>
      <c r="E1788" s="773">
        <v>41293</v>
      </c>
      <c r="F1788" s="40" t="s">
        <v>750</v>
      </c>
      <c r="G1788" s="40" t="s">
        <v>751</v>
      </c>
      <c r="H1788" s="7" t="s">
        <v>1290</v>
      </c>
      <c r="I1788" s="256">
        <v>294</v>
      </c>
      <c r="J1788" s="256">
        <v>13653.852330451831</v>
      </c>
      <c r="K1788" s="602">
        <f t="shared" si="468"/>
        <v>4014233</v>
      </c>
      <c r="L1788" s="39" t="s">
        <v>173</v>
      </c>
      <c r="M1788" s="39" t="s">
        <v>167</v>
      </c>
      <c r="N1788" s="39" t="str">
        <f>IF(AND('331-CT'!$E$7=TH!H1788,OR(L1788="331",M1788="331")),"331",IF(AND(OR(L1788="131",M1788="131"),H1788='131-CT'!$E$7),"131",""))</f>
        <v/>
      </c>
      <c r="O1788" s="39" t="str">
        <f>IF(AND($B1788&gt;='111'!$N$11,$B1788&lt;='111'!$O$11,OR($L1788=$O$7,$M1788=$O$7)),"x","")</f>
        <v/>
      </c>
      <c r="P1788" s="39" t="str">
        <f>IF(AND($L1788=$O$7,$B1788&lt;'111'!$N$11),"x","")</f>
        <v/>
      </c>
      <c r="Q1788" s="39" t="str">
        <f>IF(AND($M1788=$O$7,$B1788&lt;'111'!$N$11),"x","")</f>
        <v/>
      </c>
      <c r="R1788" s="39" t="str">
        <f>IF(ISERROR(FIND('112'!$M$9,G1788,1)),"",IF((AND(FIND('112'!$M$9,G1788,1)&gt;=1,$B1788&gt;='112'!$N$8,$B1788&lt;='112'!$O$8,OR($L1788='112'!$I$6,$M1788='112'!$I$6))),"x",""))</f>
        <v/>
      </c>
      <c r="S1788" s="39" t="str">
        <f>IF(ISERROR(FIND('112'!$M$9,G1788,1)),"",IF((AND(LEFT(G1788,2)=LEFT('112'!$M$9,2),B1788&lt;'112'!$N$8,$L1788='112'!$I$6)),"x",""))</f>
        <v/>
      </c>
      <c r="T1788" s="39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39" t="str">
        <f>IF(OR(TH!L1788=TH!$V$7,M1788=TH!$V$7),"x","")</f>
        <v/>
      </c>
      <c r="W1788" s="39" t="str">
        <f>IF(AND(B1788&gt;='IN-NX'!$P$3,B1788&lt;='IN-NX'!$Q$3,'IN-NX'!$D$7=D1788,OR(LEFT(L1788,2)="15",AND(LEFT(M1788,2)&lt;&gt;"15",LEFT(M1788,2)&lt;&gt;"33"))),"x","")</f>
        <v/>
      </c>
      <c r="X1788" s="39" t="str">
        <f>IF(AND(OR(LEFT(TH!L1788,2)="15",LEFT(TH!M1788,2)="15"),'152-CT'!$J$8=TH!F1788),"x","")</f>
        <v/>
      </c>
      <c r="Y1788" s="39" t="str">
        <f>IF(AND(OR(LEFT(TH!L1788,2)="15",LEFT(TH!M1788,2)="15"),TK!$E$7=TH!F1788),"x","")</f>
        <v/>
      </c>
      <c r="Z1788" s="39" t="str">
        <f>IF(AND(B1788&lt;=NKC!$N$8,B1788&gt;=NKC!$M$8),"x","")</f>
        <v/>
      </c>
      <c r="AA1788" s="883"/>
    </row>
    <row r="1789" spans="1:27" s="211" customFormat="1" ht="15.75" customHeight="1">
      <c r="A1789" s="204" t="str">
        <f>IF(B1789&lt;&gt;"",IF(AND(B1789&gt;=_TM1,B1789&lt;=_TM2,OR(TH!L1789="1111",TH!M1789="1111")),TH!D1789,""),"")</f>
        <v/>
      </c>
      <c r="B1789" s="36">
        <f t="shared" si="467"/>
        <v>1</v>
      </c>
      <c r="C1789" s="191">
        <f t="shared" si="465"/>
        <v>41293</v>
      </c>
      <c r="D1789" s="37" t="s">
        <v>487</v>
      </c>
      <c r="E1789" s="773">
        <v>41293</v>
      </c>
      <c r="F1789" s="189" t="s">
        <v>752</v>
      </c>
      <c r="G1789" s="40" t="s">
        <v>751</v>
      </c>
      <c r="H1789" s="7" t="s">
        <v>1290</v>
      </c>
      <c r="I1789" s="256">
        <v>100</v>
      </c>
      <c r="J1789" s="256">
        <v>8598.3013100436692</v>
      </c>
      <c r="K1789" s="602">
        <f t="shared" si="468"/>
        <v>859830</v>
      </c>
      <c r="L1789" s="39" t="s">
        <v>173</v>
      </c>
      <c r="M1789" s="39" t="s">
        <v>167</v>
      </c>
      <c r="N1789" s="39" t="str">
        <f>IF(AND('331-CT'!$E$7=TH!H1789,OR(L1789="331",M1789="331")),"331",IF(AND(OR(L1789="131",M1789="131"),H1789='131-CT'!$E$7),"131",""))</f>
        <v/>
      </c>
      <c r="O1789" s="39" t="str">
        <f>IF(AND($B1789&gt;='111'!$N$11,$B1789&lt;='111'!$O$11,OR($L1789=$O$7,$M1789=$O$7)),"x","")</f>
        <v/>
      </c>
      <c r="P1789" s="39" t="str">
        <f>IF(AND($L1789=$O$7,$B1789&lt;'111'!$N$11),"x","")</f>
        <v/>
      </c>
      <c r="Q1789" s="39" t="str">
        <f>IF(AND($M1789=$O$7,$B1789&lt;'111'!$N$11),"x","")</f>
        <v/>
      </c>
      <c r="R1789" s="39" t="str">
        <f>IF(ISERROR(FIND('112'!$M$9,G1789,1)),"",IF((AND(FIND('112'!$M$9,G1789,1)&gt;=1,$B1789&gt;='112'!$N$8,$B1789&lt;='112'!$O$8,OR($L1789='112'!$I$6,$M1789='112'!$I$6))),"x",""))</f>
        <v/>
      </c>
      <c r="S1789" s="39" t="str">
        <f>IF(ISERROR(FIND('112'!$M$9,G1789,1)),"",IF((AND(LEFT(G1789,2)=LEFT('112'!$M$9,2),B1789&lt;'112'!$N$8,$L1789='112'!$I$6)),"x",""))</f>
        <v/>
      </c>
      <c r="T1789" s="39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39" t="str">
        <f>IF(OR(TH!L1789=TH!$V$7,M1789=TH!$V$7),"x","")</f>
        <v/>
      </c>
      <c r="W1789" s="39" t="str">
        <f>IF(AND(B1789&gt;='IN-NX'!$P$3,B1789&lt;='IN-NX'!$Q$3,'IN-NX'!$D$7=D1789,OR(LEFT(L1789,2)="15",AND(LEFT(M1789,2)&lt;&gt;"15",LEFT(M1789,2)&lt;&gt;"33"))),"x","")</f>
        <v/>
      </c>
      <c r="X1789" s="39" t="str">
        <f>IF(AND(OR(LEFT(TH!L1789,2)="15",LEFT(TH!M1789,2)="15"),'152-CT'!$J$8=TH!F1789),"x","")</f>
        <v/>
      </c>
      <c r="Y1789" s="39" t="str">
        <f>IF(AND(OR(LEFT(TH!L1789,2)="15",LEFT(TH!M1789,2)="15"),TK!$E$7=TH!F1789),"x","")</f>
        <v/>
      </c>
      <c r="Z1789" s="39" t="str">
        <f>IF(AND(B1789&lt;=NKC!$N$8,B1789&gt;=NKC!$M$8),"x","")</f>
        <v/>
      </c>
      <c r="AA1789" s="883"/>
    </row>
    <row r="1790" spans="1:27" s="211" customFormat="1" ht="15.75" customHeight="1">
      <c r="A1790" s="204" t="str">
        <f>IF(B1790&lt;&gt;"",IF(AND(B1790&gt;=_TM1,B1790&lt;=_TM2,OR(TH!L1790="1111",TH!M1790="1111")),TH!D1790,""),"")</f>
        <v/>
      </c>
      <c r="B1790" s="36">
        <f t="shared" si="467"/>
        <v>1</v>
      </c>
      <c r="C1790" s="191">
        <f t="shared" si="465"/>
        <v>41293</v>
      </c>
      <c r="D1790" s="37" t="s">
        <v>487</v>
      </c>
      <c r="E1790" s="773">
        <v>41293</v>
      </c>
      <c r="F1790" s="40" t="s">
        <v>753</v>
      </c>
      <c r="G1790" s="40" t="s">
        <v>751</v>
      </c>
      <c r="H1790" s="7" t="s">
        <v>1290</v>
      </c>
      <c r="I1790" s="256">
        <v>494</v>
      </c>
      <c r="J1790" s="256">
        <v>13088.287140003185</v>
      </c>
      <c r="K1790" s="602">
        <f t="shared" si="468"/>
        <v>6465614</v>
      </c>
      <c r="L1790" s="39" t="s">
        <v>173</v>
      </c>
      <c r="M1790" s="39" t="s">
        <v>167</v>
      </c>
      <c r="N1790" s="39" t="str">
        <f>IF(AND('331-CT'!$E$7=TH!H1790,OR(L1790="331",M1790="331")),"331",IF(AND(OR(L1790="131",M1790="131"),H1790='131-CT'!$E$7),"131",""))</f>
        <v/>
      </c>
      <c r="O1790" s="39" t="str">
        <f>IF(AND($B1790&gt;='111'!$N$11,$B1790&lt;='111'!$O$11,OR($L1790=$O$7,$M1790=$O$7)),"x","")</f>
        <v/>
      </c>
      <c r="P1790" s="39" t="str">
        <f>IF(AND($L1790=$O$7,$B1790&lt;'111'!$N$11),"x","")</f>
        <v/>
      </c>
      <c r="Q1790" s="39" t="str">
        <f>IF(AND($M1790=$O$7,$B1790&lt;'111'!$N$11),"x","")</f>
        <v/>
      </c>
      <c r="R1790" s="39" t="str">
        <f>IF(ISERROR(FIND('112'!$M$9,G1790,1)),"",IF((AND(FIND('112'!$M$9,G1790,1)&gt;=1,$B1790&gt;='112'!$N$8,$B1790&lt;='112'!$O$8,OR($L1790='112'!$I$6,$M1790='112'!$I$6))),"x",""))</f>
        <v/>
      </c>
      <c r="S1790" s="39" t="str">
        <f>IF(ISERROR(FIND('112'!$M$9,G1790,1)),"",IF((AND(LEFT(G1790,2)=LEFT('112'!$M$9,2),B1790&lt;'112'!$N$8,$L1790='112'!$I$6)),"x",""))</f>
        <v/>
      </c>
      <c r="T1790" s="39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39" t="str">
        <f>IF(OR(TH!L1790=TH!$V$7,M1790=TH!$V$7),"x","")</f>
        <v/>
      </c>
      <c r="W1790" s="39" t="str">
        <f>IF(AND(B1790&gt;='IN-NX'!$P$3,B1790&lt;='IN-NX'!$Q$3,'IN-NX'!$D$7=D1790,OR(LEFT(L1790,2)="15",AND(LEFT(M1790,2)&lt;&gt;"15",LEFT(M1790,2)&lt;&gt;"33"))),"x","")</f>
        <v/>
      </c>
      <c r="X1790" s="39" t="str">
        <f>IF(AND(OR(LEFT(TH!L1790,2)="15",LEFT(TH!M1790,2)="15"),'152-CT'!$J$8=TH!F1790),"x","")</f>
        <v/>
      </c>
      <c r="Y1790" s="39" t="str">
        <f>IF(AND(OR(LEFT(TH!L1790,2)="15",LEFT(TH!M1790,2)="15"),TK!$E$7=TH!F1790),"x","")</f>
        <v/>
      </c>
      <c r="Z1790" s="39" t="str">
        <f>IF(AND(B1790&lt;=NKC!$N$8,B1790&gt;=NKC!$M$8),"x","")</f>
        <v/>
      </c>
      <c r="AA1790" s="883"/>
    </row>
    <row r="1791" spans="1:27" s="211" customFormat="1" ht="15.75" customHeight="1">
      <c r="A1791" s="204" t="str">
        <f>IF(B1791&lt;&gt;"",IF(AND(B1791&gt;=_TM1,B1791&lt;=_TM2,OR(TH!L1791="1111",TH!M1791="1111")),TH!D1791,""),"")</f>
        <v/>
      </c>
      <c r="B1791" s="36">
        <f t="shared" si="467"/>
        <v>1</v>
      </c>
      <c r="C1791" s="191">
        <f t="shared" si="465"/>
        <v>41293</v>
      </c>
      <c r="D1791" s="37" t="s">
        <v>487</v>
      </c>
      <c r="E1791" s="773">
        <v>41293</v>
      </c>
      <c r="F1791" s="189" t="s">
        <v>754</v>
      </c>
      <c r="G1791" s="40" t="s">
        <v>751</v>
      </c>
      <c r="H1791" s="7" t="s">
        <v>1290</v>
      </c>
      <c r="I1791" s="256">
        <v>284</v>
      </c>
      <c r="J1791" s="256">
        <v>12697.695676240852</v>
      </c>
      <c r="K1791" s="602">
        <f t="shared" si="468"/>
        <v>3606146</v>
      </c>
      <c r="L1791" s="39" t="s">
        <v>173</v>
      </c>
      <c r="M1791" s="39" t="s">
        <v>167</v>
      </c>
      <c r="N1791" s="39" t="str">
        <f>IF(AND('331-CT'!$E$7=TH!H1791,OR(L1791="331",M1791="331")),"331",IF(AND(OR(L1791="131",M1791="131"),H1791='131-CT'!$E$7),"131",""))</f>
        <v/>
      </c>
      <c r="O1791" s="39" t="str">
        <f>IF(AND($B1791&gt;='111'!$N$11,$B1791&lt;='111'!$O$11,OR($L1791=$O$7,$M1791=$O$7)),"x","")</f>
        <v/>
      </c>
      <c r="P1791" s="39" t="str">
        <f>IF(AND($L1791=$O$7,$B1791&lt;'111'!$N$11),"x","")</f>
        <v/>
      </c>
      <c r="Q1791" s="39" t="str">
        <f>IF(AND($M1791=$O$7,$B1791&lt;'111'!$N$11),"x","")</f>
        <v/>
      </c>
      <c r="R1791" s="39" t="str">
        <f>IF(ISERROR(FIND('112'!$M$9,G1791,1)),"",IF((AND(FIND('112'!$M$9,G1791,1)&gt;=1,$B1791&gt;='112'!$N$8,$B1791&lt;='112'!$O$8,OR($L1791='112'!$I$6,$M1791='112'!$I$6))),"x",""))</f>
        <v/>
      </c>
      <c r="S1791" s="39" t="str">
        <f>IF(ISERROR(FIND('112'!$M$9,G1791,1)),"",IF((AND(LEFT(G1791,2)=LEFT('112'!$M$9,2),B1791&lt;'112'!$N$8,$L1791='112'!$I$6)),"x",""))</f>
        <v/>
      </c>
      <c r="T1791" s="39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39" t="str">
        <f>IF(OR(TH!L1791=TH!$V$7,M1791=TH!$V$7),"x","")</f>
        <v/>
      </c>
      <c r="W1791" s="39" t="str">
        <f>IF(AND(B1791&gt;='IN-NX'!$P$3,B1791&lt;='IN-NX'!$Q$3,'IN-NX'!$D$7=D1791,OR(LEFT(L1791,2)="15",AND(LEFT(M1791,2)&lt;&gt;"15",LEFT(M1791,2)&lt;&gt;"33"))),"x","")</f>
        <v/>
      </c>
      <c r="X1791" s="39" t="str">
        <f>IF(AND(OR(LEFT(TH!L1791,2)="15",LEFT(TH!M1791,2)="15"),'152-CT'!$J$8=TH!F1791),"x","")</f>
        <v/>
      </c>
      <c r="Y1791" s="39" t="str">
        <f>IF(AND(OR(LEFT(TH!L1791,2)="15",LEFT(TH!M1791,2)="15"),TK!$E$7=TH!F1791),"x","")</f>
        <v/>
      </c>
      <c r="Z1791" s="39" t="str">
        <f>IF(AND(B1791&lt;=NKC!$N$8,B1791&gt;=NKC!$M$8),"x","")</f>
        <v/>
      </c>
      <c r="AA1791" s="883"/>
    </row>
    <row r="1792" spans="1:27" s="211" customFormat="1" ht="15.75" customHeight="1">
      <c r="A1792" s="204" t="str">
        <f>IF(B1792&lt;&gt;"",IF(AND(B1792&gt;=_TM1,B1792&lt;=_TM2,OR(TH!L1792="1111",TH!M1792="1111")),TH!D1792,""),"")</f>
        <v/>
      </c>
      <c r="B1792" s="36">
        <f t="shared" si="467"/>
        <v>1</v>
      </c>
      <c r="C1792" s="191">
        <f t="shared" si="465"/>
        <v>41297</v>
      </c>
      <c r="D1792" s="37" t="s">
        <v>487</v>
      </c>
      <c r="E1792" s="773">
        <v>41297</v>
      </c>
      <c r="F1792" s="189" t="s">
        <v>755</v>
      </c>
      <c r="G1792" s="40" t="s">
        <v>756</v>
      </c>
      <c r="H1792" s="7" t="s">
        <v>1290</v>
      </c>
      <c r="I1792" s="256">
        <v>707</v>
      </c>
      <c r="J1792" s="256">
        <v>7225.6619889687045</v>
      </c>
      <c r="K1792" s="602">
        <f t="shared" si="468"/>
        <v>5108543</v>
      </c>
      <c r="L1792" s="39" t="s">
        <v>173</v>
      </c>
      <c r="M1792" s="39" t="s">
        <v>167</v>
      </c>
      <c r="N1792" s="39" t="str">
        <f>IF(AND('331-CT'!$E$7=TH!H1792,OR(L1792="331",M1792="331")),"331",IF(AND(OR(L1792="131",M1792="131"),H1792='131-CT'!$E$7),"131",""))</f>
        <v/>
      </c>
      <c r="O1792" s="39" t="str">
        <f>IF(AND($B1792&gt;='111'!$N$11,$B1792&lt;='111'!$O$11,OR($L1792=$O$7,$M1792=$O$7)),"x","")</f>
        <v/>
      </c>
      <c r="P1792" s="39" t="str">
        <f>IF(AND($L1792=$O$7,$B1792&lt;'111'!$N$11),"x","")</f>
        <v/>
      </c>
      <c r="Q1792" s="39" t="str">
        <f>IF(AND($M1792=$O$7,$B1792&lt;'111'!$N$11),"x","")</f>
        <v/>
      </c>
      <c r="R1792" s="39" t="str">
        <f>IF(ISERROR(FIND('112'!$M$9,G1792,1)),"",IF((AND(FIND('112'!$M$9,G1792,1)&gt;=1,$B1792&gt;='112'!$N$8,$B1792&lt;='112'!$O$8,OR($L1792='112'!$I$6,$M1792='112'!$I$6))),"x",""))</f>
        <v/>
      </c>
      <c r="S1792" s="39" t="str">
        <f>IF(ISERROR(FIND('112'!$M$9,G1792,1)),"",IF((AND(LEFT(G1792,2)=LEFT('112'!$M$9,2),B1792&lt;'112'!$N$8,$L1792='112'!$I$6)),"x",""))</f>
        <v/>
      </c>
      <c r="T1792" s="39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39" t="str">
        <f>IF(OR(TH!L1792=TH!$V$7,M1792=TH!$V$7),"x","")</f>
        <v/>
      </c>
      <c r="W1792" s="39" t="str">
        <f>IF(AND(B1792&gt;='IN-NX'!$P$3,B1792&lt;='IN-NX'!$Q$3,'IN-NX'!$D$7=D1792,OR(LEFT(L1792,2)="15",AND(LEFT(M1792,2)&lt;&gt;"15",LEFT(M1792,2)&lt;&gt;"33"))),"x","")</f>
        <v/>
      </c>
      <c r="X1792" s="39" t="str">
        <f>IF(AND(OR(LEFT(TH!L1792,2)="15",LEFT(TH!M1792,2)="15"),'152-CT'!$J$8=TH!F1792),"x","")</f>
        <v/>
      </c>
      <c r="Y1792" s="39" t="str">
        <f>IF(AND(OR(LEFT(TH!L1792,2)="15",LEFT(TH!M1792,2)="15"),TK!$E$7=TH!F1792),"x","")</f>
        <v/>
      </c>
      <c r="Z1792" s="39" t="str">
        <f>IF(AND(B1792&lt;=NKC!$N$8,B1792&gt;=NKC!$M$8),"x","")</f>
        <v/>
      </c>
      <c r="AA1792" s="883"/>
    </row>
    <row r="1793" spans="1:27" s="211" customFormat="1" ht="15.75" customHeight="1">
      <c r="A1793" s="204" t="str">
        <f>IF(B1793&lt;&gt;"",IF(AND(B1793&gt;=_TM1,B1793&lt;=_TM2,OR(TH!L1793="1111",TH!M1793="1111")),TH!D1793,""),"")</f>
        <v/>
      </c>
      <c r="B1793" s="36">
        <f t="shared" si="467"/>
        <v>1</v>
      </c>
      <c r="C1793" s="191">
        <f t="shared" si="465"/>
        <v>41303</v>
      </c>
      <c r="D1793" s="37" t="s">
        <v>487</v>
      </c>
      <c r="E1793" s="773">
        <v>41303</v>
      </c>
      <c r="F1793" s="189" t="s">
        <v>739</v>
      </c>
      <c r="G1793" s="40" t="s">
        <v>757</v>
      </c>
      <c r="H1793" s="7" t="s">
        <v>1290</v>
      </c>
      <c r="I1793" s="256">
        <v>593</v>
      </c>
      <c r="J1793" s="256">
        <v>7448.1006355074123</v>
      </c>
      <c r="K1793" s="602">
        <f t="shared" si="468"/>
        <v>4416724</v>
      </c>
      <c r="L1793" s="39" t="s">
        <v>173</v>
      </c>
      <c r="M1793" s="39" t="s">
        <v>167</v>
      </c>
      <c r="N1793" s="39" t="str">
        <f>IF(AND('331-CT'!$E$7=TH!H1793,OR(L1793="331",M1793="331")),"331",IF(AND(OR(L1793="131",M1793="131"),H1793='131-CT'!$E$7),"131",""))</f>
        <v/>
      </c>
      <c r="O1793" s="39" t="str">
        <f>IF(AND($B1793&gt;='111'!$N$11,$B1793&lt;='111'!$O$11,OR($L1793=$O$7,$M1793=$O$7)),"x","")</f>
        <v/>
      </c>
      <c r="P1793" s="39" t="str">
        <f>IF(AND($L1793=$O$7,$B1793&lt;'111'!$N$11),"x","")</f>
        <v/>
      </c>
      <c r="Q1793" s="39" t="str">
        <f>IF(AND($M1793=$O$7,$B1793&lt;'111'!$N$11),"x","")</f>
        <v/>
      </c>
      <c r="R1793" s="39" t="str">
        <f>IF(ISERROR(FIND('112'!$M$9,G1793,1)),"",IF((AND(FIND('112'!$M$9,G1793,1)&gt;=1,$B1793&gt;='112'!$N$8,$B1793&lt;='112'!$O$8,OR($L1793='112'!$I$6,$M1793='112'!$I$6))),"x",""))</f>
        <v/>
      </c>
      <c r="S1793" s="39" t="str">
        <f>IF(ISERROR(FIND('112'!$M$9,G1793,1)),"",IF((AND(LEFT(G1793,2)=LEFT('112'!$M$9,2),B1793&lt;'112'!$N$8,$L1793='112'!$I$6)),"x",""))</f>
        <v/>
      </c>
      <c r="T1793" s="39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39" t="str">
        <f>IF(OR(TH!L1793=TH!$V$7,M1793=TH!$V$7),"x","")</f>
        <v/>
      </c>
      <c r="W1793" s="39" t="str">
        <f>IF(AND(B1793&gt;='IN-NX'!$P$3,B1793&lt;='IN-NX'!$Q$3,'IN-NX'!$D$7=D1793,OR(LEFT(L1793,2)="15",AND(LEFT(M1793,2)&lt;&gt;"15",LEFT(M1793,2)&lt;&gt;"33"))),"x","")</f>
        <v/>
      </c>
      <c r="X1793" s="39" t="str">
        <f>IF(AND(OR(LEFT(TH!L1793,2)="15",LEFT(TH!M1793,2)="15"),'152-CT'!$J$8=TH!F1793),"x","")</f>
        <v/>
      </c>
      <c r="Y1793" s="39" t="str">
        <f>IF(AND(OR(LEFT(TH!L1793,2)="15",LEFT(TH!M1793,2)="15"),TK!$E$7=TH!F1793),"x","")</f>
        <v/>
      </c>
      <c r="Z1793" s="39" t="str">
        <f>IF(AND(B1793&lt;=NKC!$N$8,B1793&gt;=NKC!$M$8),"x","")</f>
        <v/>
      </c>
      <c r="AA1793" s="883"/>
    </row>
    <row r="1794" spans="1:27" s="211" customFormat="1" ht="15.75" customHeight="1">
      <c r="A1794" s="204" t="str">
        <f>IF(B1794&lt;&gt;"",IF(AND(B1794&gt;=_TM1,B1794&lt;=_TM2,OR(TH!L1794="1111",TH!M1794="1111")),TH!D1794,""),"")</f>
        <v/>
      </c>
      <c r="B1794" s="36">
        <f t="shared" si="467"/>
        <v>1</v>
      </c>
      <c r="C1794" s="191">
        <f t="shared" si="465"/>
        <v>41303</v>
      </c>
      <c r="D1794" s="37" t="s">
        <v>487</v>
      </c>
      <c r="E1794" s="773">
        <v>41303</v>
      </c>
      <c r="F1794" s="189" t="s">
        <v>758</v>
      </c>
      <c r="G1794" s="40" t="s">
        <v>757</v>
      </c>
      <c r="H1794" s="7" t="s">
        <v>1290</v>
      </c>
      <c r="I1794" s="256">
        <v>398</v>
      </c>
      <c r="J1794" s="256">
        <v>7546.2058326567339</v>
      </c>
      <c r="K1794" s="602">
        <f t="shared" si="468"/>
        <v>3003390</v>
      </c>
      <c r="L1794" s="39" t="s">
        <v>173</v>
      </c>
      <c r="M1794" s="39" t="s">
        <v>167</v>
      </c>
      <c r="N1794" s="39" t="str">
        <f>IF(AND('331-CT'!$E$7=TH!H1794,OR(L1794="331",M1794="331")),"331",IF(AND(OR(L1794="131",M1794="131"),H1794='131-CT'!$E$7),"131",""))</f>
        <v/>
      </c>
      <c r="O1794" s="39" t="str">
        <f>IF(AND($B1794&gt;='111'!$N$11,$B1794&lt;='111'!$O$11,OR($L1794=$O$7,$M1794=$O$7)),"x","")</f>
        <v/>
      </c>
      <c r="P1794" s="39" t="str">
        <f>IF(AND($L1794=$O$7,$B1794&lt;'111'!$N$11),"x","")</f>
        <v/>
      </c>
      <c r="Q1794" s="39" t="str">
        <f>IF(AND($M1794=$O$7,$B1794&lt;'111'!$N$11),"x","")</f>
        <v/>
      </c>
      <c r="R1794" s="39" t="str">
        <f>IF(ISERROR(FIND('112'!$M$9,G1794,1)),"",IF((AND(FIND('112'!$M$9,G1794,1)&gt;=1,$B1794&gt;='112'!$N$8,$B1794&lt;='112'!$O$8,OR($L1794='112'!$I$6,$M1794='112'!$I$6))),"x",""))</f>
        <v/>
      </c>
      <c r="S1794" s="39" t="str">
        <f>IF(ISERROR(FIND('112'!$M$9,G1794,1)),"",IF((AND(LEFT(G1794,2)=LEFT('112'!$M$9,2),B1794&lt;'112'!$N$8,$L1794='112'!$I$6)),"x",""))</f>
        <v/>
      </c>
      <c r="T1794" s="39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39" t="str">
        <f>IF(OR(TH!L1794=TH!$V$7,M1794=TH!$V$7),"x","")</f>
        <v/>
      </c>
      <c r="W1794" s="39" t="str">
        <f>IF(AND(B1794&gt;='IN-NX'!$P$3,B1794&lt;='IN-NX'!$Q$3,'IN-NX'!$D$7=D1794,OR(LEFT(L1794,2)="15",AND(LEFT(M1794,2)&lt;&gt;"15",LEFT(M1794,2)&lt;&gt;"33"))),"x","")</f>
        <v/>
      </c>
      <c r="X1794" s="39" t="str">
        <f>IF(AND(OR(LEFT(TH!L1794,2)="15",LEFT(TH!M1794,2)="15"),'152-CT'!$J$8=TH!F1794),"x","")</f>
        <v/>
      </c>
      <c r="Y1794" s="39" t="str">
        <f>IF(AND(OR(LEFT(TH!L1794,2)="15",LEFT(TH!M1794,2)="15"),TK!$E$7=TH!F1794),"x","")</f>
        <v/>
      </c>
      <c r="Z1794" s="39" t="str">
        <f>IF(AND(B1794&lt;=NKC!$N$8,B1794&gt;=NKC!$M$8),"x","")</f>
        <v/>
      </c>
      <c r="AA1794" s="883"/>
    </row>
    <row r="1795" spans="1:27" s="211" customFormat="1" ht="15.75" customHeight="1">
      <c r="A1795" s="204" t="str">
        <f>IF(B1795&lt;&gt;"",IF(AND(B1795&gt;=_TM1,B1795&lt;=_TM2,OR(TH!L1795="1111",TH!M1795="1111")),TH!D1795,""),"")</f>
        <v/>
      </c>
      <c r="B1795" s="36">
        <f t="shared" si="467"/>
        <v>1</v>
      </c>
      <c r="C1795" s="191">
        <f t="shared" si="465"/>
        <v>41303</v>
      </c>
      <c r="D1795" s="37" t="s">
        <v>487</v>
      </c>
      <c r="E1795" s="773">
        <v>41303</v>
      </c>
      <c r="F1795" s="189" t="s">
        <v>750</v>
      </c>
      <c r="G1795" s="40" t="s">
        <v>759</v>
      </c>
      <c r="H1795" s="7" t="s">
        <v>1290</v>
      </c>
      <c r="I1795" s="256">
        <v>410</v>
      </c>
      <c r="J1795" s="256">
        <v>13214.962285653424</v>
      </c>
      <c r="K1795" s="602">
        <f t="shared" si="468"/>
        <v>5418135</v>
      </c>
      <c r="L1795" s="39" t="s">
        <v>173</v>
      </c>
      <c r="M1795" s="39" t="s">
        <v>167</v>
      </c>
      <c r="N1795" s="39" t="str">
        <f>IF(AND('331-CT'!$E$7=TH!H1795,OR(L1795="331",M1795="331")),"331",IF(AND(OR(L1795="131",M1795="131"),H1795='131-CT'!$E$7),"131",""))</f>
        <v/>
      </c>
      <c r="O1795" s="39" t="str">
        <f>IF(AND($B1795&gt;='111'!$N$11,$B1795&lt;='111'!$O$11,OR($L1795=$O$7,$M1795=$O$7)),"x","")</f>
        <v/>
      </c>
      <c r="P1795" s="39" t="str">
        <f>IF(AND($L1795=$O$7,$B1795&lt;'111'!$N$11),"x","")</f>
        <v/>
      </c>
      <c r="Q1795" s="39" t="str">
        <f>IF(AND($M1795=$O$7,$B1795&lt;'111'!$N$11),"x","")</f>
        <v/>
      </c>
      <c r="R1795" s="39" t="str">
        <f>IF(ISERROR(FIND('112'!$M$9,G1795,1)),"",IF((AND(FIND('112'!$M$9,G1795,1)&gt;=1,$B1795&gt;='112'!$N$8,$B1795&lt;='112'!$O$8,OR($L1795='112'!$I$6,$M1795='112'!$I$6))),"x",""))</f>
        <v/>
      </c>
      <c r="S1795" s="39" t="str">
        <f>IF(ISERROR(FIND('112'!$M$9,G1795,1)),"",IF((AND(LEFT(G1795,2)=LEFT('112'!$M$9,2),B1795&lt;'112'!$N$8,$L1795='112'!$I$6)),"x",""))</f>
        <v/>
      </c>
      <c r="T1795" s="39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39" t="str">
        <f>IF(OR(TH!L1795=TH!$V$7,M1795=TH!$V$7),"x","")</f>
        <v/>
      </c>
      <c r="W1795" s="39" t="str">
        <f>IF(AND(B1795&gt;='IN-NX'!$P$3,B1795&lt;='IN-NX'!$Q$3,'IN-NX'!$D$7=D1795,OR(LEFT(L1795,2)="15",AND(LEFT(M1795,2)&lt;&gt;"15",LEFT(M1795,2)&lt;&gt;"33"))),"x","")</f>
        <v/>
      </c>
      <c r="X1795" s="39" t="str">
        <f>IF(AND(OR(LEFT(TH!L1795,2)="15",LEFT(TH!M1795,2)="15"),'152-CT'!$J$8=TH!F1795),"x","")</f>
        <v/>
      </c>
      <c r="Y1795" s="39" t="str">
        <f>IF(AND(OR(LEFT(TH!L1795,2)="15",LEFT(TH!M1795,2)="15"),TK!$E$7=TH!F1795),"x","")</f>
        <v/>
      </c>
      <c r="Z1795" s="39" t="str">
        <f>IF(AND(B1795&lt;=NKC!$N$8,B1795&gt;=NKC!$M$8),"x","")</f>
        <v/>
      </c>
      <c r="AA1795" s="883"/>
    </row>
    <row r="1796" spans="1:27" s="211" customFormat="1" ht="15.75" customHeight="1">
      <c r="A1796" s="204" t="str">
        <f>IF(B1796&lt;&gt;"",IF(AND(B1796&gt;=_TM1,B1796&lt;=_TM2,OR(TH!L1796="1111",TH!M1796="1111")),TH!D1796,""),"")</f>
        <v/>
      </c>
      <c r="B1796" s="36">
        <f t="shared" si="467"/>
        <v>1</v>
      </c>
      <c r="C1796" s="191">
        <f t="shared" si="465"/>
        <v>41303</v>
      </c>
      <c r="D1796" s="37" t="s">
        <v>487</v>
      </c>
      <c r="E1796" s="191">
        <v>41303</v>
      </c>
      <c r="F1796" s="192" t="s">
        <v>755</v>
      </c>
      <c r="G1796" s="487" t="s">
        <v>760</v>
      </c>
      <c r="H1796" s="7" t="s">
        <v>1290</v>
      </c>
      <c r="I1796" s="256">
        <v>1106</v>
      </c>
      <c r="J1796" s="256">
        <v>7222.2859393384251</v>
      </c>
      <c r="K1796" s="602">
        <f t="shared" si="468"/>
        <v>7987848</v>
      </c>
      <c r="L1796" s="39" t="s">
        <v>173</v>
      </c>
      <c r="M1796" s="39" t="s">
        <v>167</v>
      </c>
      <c r="N1796" s="39" t="str">
        <f>IF(AND('331-CT'!$E$7=TH!H1796,OR(L1796="331",M1796="331")),"331",IF(AND(OR(L1796="131",M1796="131"),H1796='131-CT'!$E$7),"131",""))</f>
        <v/>
      </c>
      <c r="O1796" s="39" t="str">
        <f>IF(AND($B1796&gt;='111'!$N$11,$B1796&lt;='111'!$O$11,OR($L1796=$O$7,$M1796=$O$7)),"x","")</f>
        <v/>
      </c>
      <c r="P1796" s="39" t="str">
        <f>IF(AND($L1796=$O$7,$B1796&lt;'111'!$N$11),"x","")</f>
        <v/>
      </c>
      <c r="Q1796" s="39" t="str">
        <f>IF(AND($M1796=$O$7,$B1796&lt;'111'!$N$11),"x","")</f>
        <v/>
      </c>
      <c r="R1796" s="39" t="str">
        <f>IF(ISERROR(FIND('112'!$M$9,G1796,1)),"",IF((AND(FIND('112'!$M$9,G1796,1)&gt;=1,$B1796&gt;='112'!$N$8,$B1796&lt;='112'!$O$8,OR($L1796='112'!$I$6,$M1796='112'!$I$6))),"x",""))</f>
        <v/>
      </c>
      <c r="S1796" s="39" t="str">
        <f>IF(ISERROR(FIND('112'!$M$9,G1796,1)),"",IF((AND(LEFT(G1796,2)=LEFT('112'!$M$9,2),B1796&lt;'112'!$N$8,$L1796='112'!$I$6)),"x",""))</f>
        <v/>
      </c>
      <c r="T1796" s="39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39" t="str">
        <f>IF(OR(TH!L1796=TH!$V$7,M1796=TH!$V$7),"x","")</f>
        <v/>
      </c>
      <c r="W1796" s="39" t="str">
        <f>IF(AND(B1796&gt;='IN-NX'!$P$3,B1796&lt;='IN-NX'!$Q$3,'IN-NX'!$D$7=D1796,OR(LEFT(L1796,2)="15",AND(LEFT(M1796,2)&lt;&gt;"15",LEFT(M1796,2)&lt;&gt;"33"))),"x","")</f>
        <v/>
      </c>
      <c r="X1796" s="39" t="str">
        <f>IF(AND(OR(LEFT(TH!L1796,2)="15",LEFT(TH!M1796,2)="15"),'152-CT'!$J$8=TH!F1796),"x","")</f>
        <v/>
      </c>
      <c r="Y1796" s="39" t="str">
        <f>IF(AND(OR(LEFT(TH!L1796,2)="15",LEFT(TH!M1796,2)="15"),TK!$E$7=TH!F1796),"x","")</f>
        <v/>
      </c>
      <c r="Z1796" s="39" t="str">
        <f>IF(AND(B1796&lt;=NKC!$N$8,B1796&gt;=NKC!$M$8),"x","")</f>
        <v/>
      </c>
      <c r="AA1796" s="883"/>
    </row>
    <row r="1797" spans="1:27" s="211" customFormat="1" ht="15.75" customHeight="1">
      <c r="A1797" s="204" t="str">
        <f>IF(B1797&lt;&gt;"",IF(AND(B1797&gt;=_TM1,B1797&lt;=_TM2,OR(TH!L1797="1111",TH!M1797="1111")),TH!D1797,""),"")</f>
        <v/>
      </c>
      <c r="B1797" s="36">
        <f t="shared" si="467"/>
        <v>1</v>
      </c>
      <c r="C1797" s="191">
        <f t="shared" si="465"/>
        <v>41305</v>
      </c>
      <c r="D1797" s="37" t="s">
        <v>487</v>
      </c>
      <c r="E1797" s="191">
        <v>41305</v>
      </c>
      <c r="F1797" s="192" t="s">
        <v>729</v>
      </c>
      <c r="G1797" s="487" t="s">
        <v>761</v>
      </c>
      <c r="H1797" s="7" t="s">
        <v>1290</v>
      </c>
      <c r="I1797" s="256">
        <v>1693</v>
      </c>
      <c r="J1797" s="256">
        <v>8011.9167855309679</v>
      </c>
      <c r="K1797" s="602">
        <f t="shared" si="468"/>
        <v>13564175</v>
      </c>
      <c r="L1797" s="39" t="s">
        <v>173</v>
      </c>
      <c r="M1797" s="39" t="s">
        <v>167</v>
      </c>
      <c r="N1797" s="39" t="str">
        <f>IF(AND('331-CT'!$E$7=TH!H1797,OR(L1797="331",M1797="331")),"331",IF(AND(OR(L1797="131",M1797="131"),H1797='131-CT'!$E$7),"131",""))</f>
        <v/>
      </c>
      <c r="O1797" s="39" t="str">
        <f>IF(AND($B1797&gt;='111'!$N$11,$B1797&lt;='111'!$O$11,OR($L1797=$O$7,$M1797=$O$7)),"x","")</f>
        <v/>
      </c>
      <c r="P1797" s="39" t="str">
        <f>IF(AND($L1797=$O$7,$B1797&lt;'111'!$N$11),"x","")</f>
        <v/>
      </c>
      <c r="Q1797" s="39" t="str">
        <f>IF(AND($M1797=$O$7,$B1797&lt;'111'!$N$11),"x","")</f>
        <v/>
      </c>
      <c r="R1797" s="39" t="str">
        <f>IF(ISERROR(FIND('112'!$M$9,G1797,1)),"",IF((AND(FIND('112'!$M$9,G1797,1)&gt;=1,$B1797&gt;='112'!$N$8,$B1797&lt;='112'!$O$8,OR($L1797='112'!$I$6,$M1797='112'!$I$6))),"x",""))</f>
        <v/>
      </c>
      <c r="S1797" s="39" t="str">
        <f>IF(ISERROR(FIND('112'!$M$9,G1797,1)),"",IF((AND(LEFT(G1797,2)=LEFT('112'!$M$9,2),B1797&lt;'112'!$N$8,$L1797='112'!$I$6)),"x",""))</f>
        <v/>
      </c>
      <c r="T1797" s="39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39" t="str">
        <f>IF(OR(TH!L1797=TH!$V$7,M1797=TH!$V$7),"x","")</f>
        <v/>
      </c>
      <c r="W1797" s="39" t="str">
        <f>IF(AND(B1797&gt;='IN-NX'!$P$3,B1797&lt;='IN-NX'!$Q$3,'IN-NX'!$D$7=D1797,OR(LEFT(L1797,2)="15",AND(LEFT(M1797,2)&lt;&gt;"15",LEFT(M1797,2)&lt;&gt;"33"))),"x","")</f>
        <v/>
      </c>
      <c r="X1797" s="39" t="str">
        <f>IF(AND(OR(LEFT(TH!L1797,2)="15",LEFT(TH!M1797,2)="15"),'152-CT'!$J$8=TH!F1797),"x","")</f>
        <v/>
      </c>
      <c r="Y1797" s="39" t="str">
        <f>IF(AND(OR(LEFT(TH!L1797,2)="15",LEFT(TH!M1797,2)="15"),TK!$E$7=TH!F1797),"x","")</f>
        <v/>
      </c>
      <c r="Z1797" s="39" t="str">
        <f>IF(AND(B1797&lt;=NKC!$N$8,B1797&gt;=NKC!$M$8),"x","")</f>
        <v/>
      </c>
      <c r="AA1797" s="883"/>
    </row>
    <row r="1798" spans="1:27" s="211" customFormat="1" ht="15.75" customHeight="1">
      <c r="A1798" s="204" t="str">
        <f>IF(B1798&lt;&gt;"",IF(AND(B1798&gt;=_TM1,B1798&lt;=_TM2,OR(TH!L1798="1111",TH!M1798="1111")),TH!D1798,""),"")</f>
        <v/>
      </c>
      <c r="B1798" s="36">
        <f t="shared" si="467"/>
        <v>1</v>
      </c>
      <c r="C1798" s="191">
        <f t="shared" si="465"/>
        <v>41305</v>
      </c>
      <c r="D1798" s="37" t="s">
        <v>487</v>
      </c>
      <c r="E1798" s="773">
        <v>41305</v>
      </c>
      <c r="F1798" s="40" t="s">
        <v>762</v>
      </c>
      <c r="G1798" s="40" t="s">
        <v>763</v>
      </c>
      <c r="H1798" s="7" t="s">
        <v>1290</v>
      </c>
      <c r="I1798" s="256">
        <v>466</v>
      </c>
      <c r="J1798" s="256">
        <v>21416.116760687448</v>
      </c>
      <c r="K1798" s="602">
        <f t="shared" si="468"/>
        <v>9979910</v>
      </c>
      <c r="L1798" s="39" t="s">
        <v>173</v>
      </c>
      <c r="M1798" s="39" t="s">
        <v>167</v>
      </c>
      <c r="N1798" s="39" t="str">
        <f>IF(AND('331-CT'!$E$7=TH!H1798,OR(L1798="331",M1798="331")),"331",IF(AND(OR(L1798="131",M1798="131"),H1798='131-CT'!$E$7),"131",""))</f>
        <v/>
      </c>
      <c r="O1798" s="39" t="str">
        <f>IF(AND($B1798&gt;='111'!$N$11,$B1798&lt;='111'!$O$11,OR($L1798=$O$7,$M1798=$O$7)),"x","")</f>
        <v/>
      </c>
      <c r="P1798" s="39" t="str">
        <f>IF(AND($L1798=$O$7,$B1798&lt;'111'!$N$11),"x","")</f>
        <v/>
      </c>
      <c r="Q1798" s="39" t="str">
        <f>IF(AND($M1798=$O$7,$B1798&lt;'111'!$N$11),"x","")</f>
        <v/>
      </c>
      <c r="R1798" s="39" t="str">
        <f>IF(ISERROR(FIND('112'!$M$9,G1798,1)),"",IF((AND(FIND('112'!$M$9,G1798,1)&gt;=1,$B1798&gt;='112'!$N$8,$B1798&lt;='112'!$O$8,OR($L1798='112'!$I$6,$M1798='112'!$I$6))),"x",""))</f>
        <v/>
      </c>
      <c r="S1798" s="39" t="str">
        <f>IF(ISERROR(FIND('112'!$M$9,G1798,1)),"",IF((AND(LEFT(G1798,2)=LEFT('112'!$M$9,2),B1798&lt;'112'!$N$8,$L1798='112'!$I$6)),"x",""))</f>
        <v/>
      </c>
      <c r="T1798" s="39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39" t="str">
        <f>IF(OR(TH!L1798=TH!$V$7,M1798=TH!$V$7),"x","")</f>
        <v/>
      </c>
      <c r="W1798" s="39" t="str">
        <f>IF(AND(B1798&gt;='IN-NX'!$P$3,B1798&lt;='IN-NX'!$Q$3,'IN-NX'!$D$7=D1798,OR(LEFT(L1798,2)="15",AND(LEFT(M1798,2)&lt;&gt;"15",LEFT(M1798,2)&lt;&gt;"33"))),"x","")</f>
        <v/>
      </c>
      <c r="X1798" s="39" t="str">
        <f>IF(AND(OR(LEFT(TH!L1798,2)="15",LEFT(TH!M1798,2)="15"),'152-CT'!$J$8=TH!F1798),"x","")</f>
        <v/>
      </c>
      <c r="Y1798" s="39" t="str">
        <f>IF(AND(OR(LEFT(TH!L1798,2)="15",LEFT(TH!M1798,2)="15"),TK!$E$7=TH!F1798),"x","")</f>
        <v/>
      </c>
      <c r="Z1798" s="39" t="str">
        <f>IF(AND(B1798&lt;=NKC!$N$8,B1798&gt;=NKC!$M$8),"x","")</f>
        <v/>
      </c>
      <c r="AA1798" s="883"/>
    </row>
    <row r="1799" spans="1:27" s="211" customFormat="1" ht="15.75" customHeight="1">
      <c r="A1799" s="204" t="str">
        <f>IF(B1799&lt;&gt;"",IF(AND(B1799&gt;=_TM1,B1799&lt;=_TM2,OR(TH!L1799="1111",TH!M1799="1111")),TH!D1799,""),"")</f>
        <v/>
      </c>
      <c r="B1799" s="36">
        <f t="shared" si="467"/>
        <v>2</v>
      </c>
      <c r="C1799" s="191">
        <f t="shared" si="465"/>
        <v>41328</v>
      </c>
      <c r="D1799" s="37" t="s">
        <v>487</v>
      </c>
      <c r="E1799" s="773">
        <v>41328</v>
      </c>
      <c r="F1799" s="189" t="s">
        <v>764</v>
      </c>
      <c r="G1799" s="40" t="s">
        <v>765</v>
      </c>
      <c r="H1799" s="7" t="s">
        <v>1290</v>
      </c>
      <c r="I1799" s="256">
        <v>610</v>
      </c>
      <c r="J1799" s="256">
        <v>7278.6439329944869</v>
      </c>
      <c r="K1799" s="602">
        <f t="shared" si="468"/>
        <v>4439973</v>
      </c>
      <c r="L1799" s="39" t="s">
        <v>173</v>
      </c>
      <c r="M1799" s="39" t="s">
        <v>167</v>
      </c>
      <c r="N1799" s="39" t="str">
        <f>IF(AND('331-CT'!$E$7=TH!H1799,OR(L1799="331",M1799="331")),"331",IF(AND(OR(L1799="131",M1799="131"),H1799='131-CT'!$E$7),"131",""))</f>
        <v/>
      </c>
      <c r="O1799" s="39" t="str">
        <f>IF(AND($B1799&gt;='111'!$N$11,$B1799&lt;='111'!$O$11,OR($L1799=$O$7,$M1799=$O$7)),"x","")</f>
        <v/>
      </c>
      <c r="P1799" s="39" t="str">
        <f>IF(AND($L1799=$O$7,$B1799&lt;'111'!$N$11),"x","")</f>
        <v/>
      </c>
      <c r="Q1799" s="39" t="str">
        <f>IF(AND($M1799=$O$7,$B1799&lt;'111'!$N$11),"x","")</f>
        <v/>
      </c>
      <c r="R1799" s="39" t="str">
        <f>IF(ISERROR(FIND('112'!$M$9,G1799,1)),"",IF((AND(FIND('112'!$M$9,G1799,1)&gt;=1,$B1799&gt;='112'!$N$8,$B1799&lt;='112'!$O$8,OR($L1799='112'!$I$6,$M1799='112'!$I$6))),"x",""))</f>
        <v/>
      </c>
      <c r="S1799" s="39" t="str">
        <f>IF(ISERROR(FIND('112'!$M$9,G1799,1)),"",IF((AND(LEFT(G1799,2)=LEFT('112'!$M$9,2),B1799&lt;'112'!$N$8,$L1799='112'!$I$6)),"x",""))</f>
        <v/>
      </c>
      <c r="T1799" s="39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39" t="str">
        <f>IF(OR(TH!L1799=TH!$V$7,M1799=TH!$V$7),"x","")</f>
        <v/>
      </c>
      <c r="W1799" s="39" t="str">
        <f>IF(AND(B1799&gt;='IN-NX'!$P$3,B1799&lt;='IN-NX'!$Q$3,'IN-NX'!$D$7=D1799,OR(LEFT(L1799,2)="15",AND(LEFT(M1799,2)&lt;&gt;"15",LEFT(M1799,2)&lt;&gt;"33"))),"x","")</f>
        <v/>
      </c>
      <c r="X1799" s="39" t="str">
        <f>IF(AND(OR(LEFT(TH!L1799,2)="15",LEFT(TH!M1799,2)="15"),'152-CT'!$J$8=TH!F1799),"x","")</f>
        <v/>
      </c>
      <c r="Y1799" s="39" t="str">
        <f>IF(AND(OR(LEFT(TH!L1799,2)="15",LEFT(TH!M1799,2)="15"),TK!$E$7=TH!F1799),"x","")</f>
        <v/>
      </c>
      <c r="Z1799" s="39" t="str">
        <f>IF(AND(B1799&lt;=NKC!$N$8,B1799&gt;=NKC!$M$8),"x","")</f>
        <v/>
      </c>
      <c r="AA1799" s="883"/>
    </row>
    <row r="1800" spans="1:27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467"/>
        <v>3</v>
      </c>
      <c r="C1800" s="191">
        <f t="shared" si="465"/>
        <v>41337</v>
      </c>
      <c r="D1800" s="37" t="s">
        <v>487</v>
      </c>
      <c r="E1800" s="773">
        <v>41337</v>
      </c>
      <c r="F1800" s="189" t="s">
        <v>766</v>
      </c>
      <c r="G1800" s="40" t="s">
        <v>767</v>
      </c>
      <c r="H1800" s="7" t="s">
        <v>1290</v>
      </c>
      <c r="I1800" s="256">
        <v>620</v>
      </c>
      <c r="J1800" s="256">
        <v>9716.4626003662488</v>
      </c>
      <c r="K1800" s="602">
        <f t="shared" si="468"/>
        <v>6024207</v>
      </c>
      <c r="L1800" s="39" t="s">
        <v>173</v>
      </c>
      <c r="M1800" s="39" t="s">
        <v>167</v>
      </c>
      <c r="N1800" s="39" t="str">
        <f>IF(AND('331-CT'!$E$7=TH!H1800,OR(L1800="331",M1800="331")),"331",IF(AND(OR(L1800="131",M1800="131"),H1800='131-CT'!$E$7),"131",""))</f>
        <v/>
      </c>
      <c r="O1800" s="39" t="str">
        <f>IF(AND($B1800&gt;='111'!$N$11,$B1800&lt;='111'!$O$11,OR($L1800=$O$7,$M1800=$O$7)),"x","")</f>
        <v/>
      </c>
      <c r="P1800" s="39" t="str">
        <f>IF(AND($L1800=$O$7,$B1800&lt;'111'!$N$11),"x","")</f>
        <v/>
      </c>
      <c r="Q1800" s="39" t="str">
        <f>IF(AND($M1800=$O$7,$B1800&lt;'111'!$N$11),"x","")</f>
        <v/>
      </c>
      <c r="R1800" s="39" t="str">
        <f>IF(ISERROR(FIND('112'!$M$9,G1800,1)),"",IF((AND(FIND('112'!$M$9,G1800,1)&gt;=1,$B1800&gt;='112'!$N$8,$B1800&lt;='112'!$O$8,OR($L1800='112'!$I$6,$M1800='112'!$I$6))),"x",""))</f>
        <v/>
      </c>
      <c r="S1800" s="39" t="str">
        <f>IF(ISERROR(FIND('112'!$M$9,G1800,1)),"",IF((AND(LEFT(G1800,2)=LEFT('112'!$M$9,2),B1800&lt;'112'!$N$8,$L1800='112'!$I$6)),"x",""))</f>
        <v/>
      </c>
      <c r="T1800" s="39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39" t="str">
        <f>IF(OR(TH!L1800=TH!$V$7,M1800=TH!$V$7),"x","")</f>
        <v/>
      </c>
      <c r="W1800" s="39" t="str">
        <f>IF(AND(B1800&gt;='IN-NX'!$P$3,B1800&lt;='IN-NX'!$Q$3,'IN-NX'!$D$7=D1800,OR(LEFT(L1800,2)="15",AND(LEFT(M1800,2)&lt;&gt;"15",LEFT(M1800,2)&lt;&gt;"33"))),"x","")</f>
        <v/>
      </c>
      <c r="X1800" s="39" t="str">
        <f>IF(AND(OR(LEFT(TH!L1800,2)="15",LEFT(TH!M1800,2)="15"),'152-CT'!$J$8=TH!F1800),"x","")</f>
        <v/>
      </c>
      <c r="Y1800" s="39" t="str">
        <f>IF(AND(OR(LEFT(TH!L1800,2)="15",LEFT(TH!M1800,2)="15"),TK!$E$7=TH!F1800),"x","")</f>
        <v/>
      </c>
      <c r="Z1800" s="39" t="str">
        <f>IF(AND(B1800&lt;=NKC!$N$8,B1800&gt;=NKC!$M$8),"x","")</f>
        <v/>
      </c>
      <c r="AA1800" s="883"/>
    </row>
    <row r="1801" spans="1:27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467"/>
        <v>3</v>
      </c>
      <c r="C1801" s="191">
        <f t="shared" si="465"/>
        <v>41337</v>
      </c>
      <c r="D1801" s="37" t="s">
        <v>487</v>
      </c>
      <c r="E1801" s="773">
        <v>41337</v>
      </c>
      <c r="F1801" s="189" t="s">
        <v>747</v>
      </c>
      <c r="G1801" s="40" t="s">
        <v>768</v>
      </c>
      <c r="H1801" s="7" t="s">
        <v>1290</v>
      </c>
      <c r="I1801" s="256">
        <v>1963</v>
      </c>
      <c r="J1801" s="256">
        <v>5237.7159814649622</v>
      </c>
      <c r="K1801" s="602">
        <f t="shared" si="468"/>
        <v>10281636</v>
      </c>
      <c r="L1801" s="39" t="s">
        <v>173</v>
      </c>
      <c r="M1801" s="39" t="s">
        <v>167</v>
      </c>
      <c r="N1801" s="39" t="str">
        <f>IF(AND('331-CT'!$E$7=TH!H1801,OR(L1801="331",M1801="331")),"331",IF(AND(OR(L1801="131",M1801="131"),H1801='131-CT'!$E$7),"131",""))</f>
        <v/>
      </c>
      <c r="O1801" s="39" t="str">
        <f>IF(AND($B1801&gt;='111'!$N$11,$B1801&lt;='111'!$O$11,OR($L1801=$O$7,$M1801=$O$7)),"x","")</f>
        <v/>
      </c>
      <c r="P1801" s="39" t="str">
        <f>IF(AND($L1801=$O$7,$B1801&lt;'111'!$N$11),"x","")</f>
        <v/>
      </c>
      <c r="Q1801" s="39" t="str">
        <f>IF(AND($M1801=$O$7,$B1801&lt;'111'!$N$11),"x","")</f>
        <v/>
      </c>
      <c r="R1801" s="39" t="str">
        <f>IF(ISERROR(FIND('112'!$M$9,G1801,1)),"",IF((AND(FIND('112'!$M$9,G1801,1)&gt;=1,$B1801&gt;='112'!$N$8,$B1801&lt;='112'!$O$8,OR($L1801='112'!$I$6,$M1801='112'!$I$6))),"x",""))</f>
        <v/>
      </c>
      <c r="S1801" s="39" t="str">
        <f>IF(ISERROR(FIND('112'!$M$9,G1801,1)),"",IF((AND(LEFT(G1801,2)=LEFT('112'!$M$9,2),B1801&lt;'112'!$N$8,$L1801='112'!$I$6)),"x",""))</f>
        <v/>
      </c>
      <c r="T1801" s="39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39" t="str">
        <f>IF(OR(TH!L1801=TH!$V$7,M1801=TH!$V$7),"x","")</f>
        <v/>
      </c>
      <c r="W1801" s="39" t="str">
        <f>IF(AND(B1801&gt;='IN-NX'!$P$3,B1801&lt;='IN-NX'!$Q$3,'IN-NX'!$D$7=D1801,OR(LEFT(L1801,2)="15",AND(LEFT(M1801,2)&lt;&gt;"15",LEFT(M1801,2)&lt;&gt;"33"))),"x","")</f>
        <v/>
      </c>
      <c r="X1801" s="39" t="str">
        <f>IF(AND(OR(LEFT(TH!L1801,2)="15",LEFT(TH!M1801,2)="15"),'152-CT'!$J$8=TH!F1801),"x","")</f>
        <v/>
      </c>
      <c r="Y1801" s="39" t="str">
        <f>IF(AND(OR(LEFT(TH!L1801,2)="15",LEFT(TH!M1801,2)="15"),TK!$E$7=TH!F1801),"x","")</f>
        <v/>
      </c>
      <c r="Z1801" s="39" t="str">
        <f>IF(AND(B1801&lt;=NKC!$N$8,B1801&gt;=NKC!$M$8),"x","")</f>
        <v/>
      </c>
      <c r="AA1801" s="883"/>
    </row>
    <row r="1802" spans="1:27" s="211" customFormat="1" ht="15.75" customHeight="1">
      <c r="A1802" s="204" t="str">
        <f>IF(B1802&lt;&gt;"",IF(AND(B1802&gt;=_TM1,B1802&lt;=_TM2,OR(TH!L1802="1111",TH!M1802="1111")),TH!D1802,""),"")</f>
        <v/>
      </c>
      <c r="B1802" s="36">
        <f t="shared" si="467"/>
        <v>3</v>
      </c>
      <c r="C1802" s="191">
        <f t="shared" si="465"/>
        <v>41337</v>
      </c>
      <c r="D1802" s="37" t="s">
        <v>487</v>
      </c>
      <c r="E1802" s="773">
        <v>41337</v>
      </c>
      <c r="F1802" s="189" t="s">
        <v>723</v>
      </c>
      <c r="G1802" s="40" t="s">
        <v>768</v>
      </c>
      <c r="H1802" s="7" t="s">
        <v>1290</v>
      </c>
      <c r="I1802" s="256">
        <v>559</v>
      </c>
      <c r="J1802" s="256">
        <v>4627.0723297216655</v>
      </c>
      <c r="K1802" s="602">
        <f t="shared" si="468"/>
        <v>2586533</v>
      </c>
      <c r="L1802" s="39" t="s">
        <v>173</v>
      </c>
      <c r="M1802" s="39" t="s">
        <v>167</v>
      </c>
      <c r="N1802" s="39" t="str">
        <f>IF(AND('331-CT'!$E$7=TH!H1802,OR(L1802="331",M1802="331")),"331",IF(AND(OR(L1802="131",M1802="131"),H1802='131-CT'!$E$7),"131",""))</f>
        <v/>
      </c>
      <c r="O1802" s="39" t="str">
        <f>IF(AND($B1802&gt;='111'!$N$11,$B1802&lt;='111'!$O$11,OR($L1802=$O$7,$M1802=$O$7)),"x","")</f>
        <v/>
      </c>
      <c r="P1802" s="39" t="str">
        <f>IF(AND($L1802=$O$7,$B1802&lt;'111'!$N$11),"x","")</f>
        <v/>
      </c>
      <c r="Q1802" s="39" t="str">
        <f>IF(AND($M1802=$O$7,$B1802&lt;'111'!$N$11),"x","")</f>
        <v/>
      </c>
      <c r="R1802" s="39" t="str">
        <f>IF(ISERROR(FIND('112'!$M$9,G1802,1)),"",IF((AND(FIND('112'!$M$9,G1802,1)&gt;=1,$B1802&gt;='112'!$N$8,$B1802&lt;='112'!$O$8,OR($L1802='112'!$I$6,$M1802='112'!$I$6))),"x",""))</f>
        <v/>
      </c>
      <c r="S1802" s="39" t="str">
        <f>IF(ISERROR(FIND('112'!$M$9,G1802,1)),"",IF((AND(LEFT(G1802,2)=LEFT('112'!$M$9,2),B1802&lt;'112'!$N$8,$L1802='112'!$I$6)),"x",""))</f>
        <v/>
      </c>
      <c r="T1802" s="39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39" t="str">
        <f>IF(OR(TH!L1802=TH!$V$7,M1802=TH!$V$7),"x","")</f>
        <v/>
      </c>
      <c r="W1802" s="39" t="str">
        <f>IF(AND(B1802&gt;='IN-NX'!$P$3,B1802&lt;='IN-NX'!$Q$3,'IN-NX'!$D$7=D1802,OR(LEFT(L1802,2)="15",AND(LEFT(M1802,2)&lt;&gt;"15",LEFT(M1802,2)&lt;&gt;"33"))),"x","")</f>
        <v/>
      </c>
      <c r="X1802" s="39" t="str">
        <f>IF(AND(OR(LEFT(TH!L1802,2)="15",LEFT(TH!M1802,2)="15"),'152-CT'!$J$8=TH!F1802),"x","")</f>
        <v/>
      </c>
      <c r="Y1802" s="39" t="str">
        <f>IF(AND(OR(LEFT(TH!L1802,2)="15",LEFT(TH!M1802,2)="15"),TK!$E$7=TH!F1802),"x","")</f>
        <v/>
      </c>
      <c r="Z1802" s="39" t="str">
        <f>IF(AND(B1802&lt;=NKC!$N$8,B1802&gt;=NKC!$M$8),"x","")</f>
        <v/>
      </c>
      <c r="AA1802" s="883"/>
    </row>
    <row r="1803" spans="1:27" s="211" customFormat="1" ht="15.75" customHeight="1">
      <c r="A1803" s="204" t="str">
        <f>IF(B1803&lt;&gt;"",IF(AND(B1803&gt;=_TM1,B1803&lt;=_TM2,OR(TH!L1803="1111",TH!M1803="1111")),TH!D1803,""),"")</f>
        <v/>
      </c>
      <c r="B1803" s="36">
        <f t="shared" si="467"/>
        <v>3</v>
      </c>
      <c r="C1803" s="191">
        <f t="shared" si="465"/>
        <v>41337</v>
      </c>
      <c r="D1803" s="37" t="s">
        <v>487</v>
      </c>
      <c r="E1803" s="773">
        <v>41337</v>
      </c>
      <c r="F1803" s="189" t="s">
        <v>769</v>
      </c>
      <c r="G1803" s="40" t="s">
        <v>768</v>
      </c>
      <c r="H1803" s="7" t="s">
        <v>1290</v>
      </c>
      <c r="I1803" s="256">
        <v>617</v>
      </c>
      <c r="J1803" s="256">
        <v>9742.3677606109304</v>
      </c>
      <c r="K1803" s="602">
        <f t="shared" si="468"/>
        <v>6011041</v>
      </c>
      <c r="L1803" s="39" t="s">
        <v>173</v>
      </c>
      <c r="M1803" s="39" t="s">
        <v>167</v>
      </c>
      <c r="N1803" s="39" t="str">
        <f>IF(AND('331-CT'!$E$7=TH!H1803,OR(L1803="331",M1803="331")),"331",IF(AND(OR(L1803="131",M1803="131"),H1803='131-CT'!$E$7),"131",""))</f>
        <v/>
      </c>
      <c r="O1803" s="39" t="str">
        <f>IF(AND($B1803&gt;='111'!$N$11,$B1803&lt;='111'!$O$11,OR($L1803=$O$7,$M1803=$O$7)),"x","")</f>
        <v/>
      </c>
      <c r="P1803" s="39" t="str">
        <f>IF(AND($L1803=$O$7,$B1803&lt;'111'!$N$11),"x","")</f>
        <v/>
      </c>
      <c r="Q1803" s="39" t="str">
        <f>IF(AND($M1803=$O$7,$B1803&lt;'111'!$N$11),"x","")</f>
        <v/>
      </c>
      <c r="R1803" s="39" t="str">
        <f>IF(ISERROR(FIND('112'!$M$9,G1803,1)),"",IF((AND(FIND('112'!$M$9,G1803,1)&gt;=1,$B1803&gt;='112'!$N$8,$B1803&lt;='112'!$O$8,OR($L1803='112'!$I$6,$M1803='112'!$I$6))),"x",""))</f>
        <v/>
      </c>
      <c r="S1803" s="39" t="str">
        <f>IF(ISERROR(FIND('112'!$M$9,G1803,1)),"",IF((AND(LEFT(G1803,2)=LEFT('112'!$M$9,2),B1803&lt;'112'!$N$8,$L1803='112'!$I$6)),"x",""))</f>
        <v/>
      </c>
      <c r="T1803" s="39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39" t="str">
        <f>IF(OR(TH!L1803=TH!$V$7,M1803=TH!$V$7),"x","")</f>
        <v/>
      </c>
      <c r="W1803" s="39" t="str">
        <f>IF(AND(B1803&gt;='IN-NX'!$P$3,B1803&lt;='IN-NX'!$Q$3,'IN-NX'!$D$7=D1803,OR(LEFT(L1803,2)="15",AND(LEFT(M1803,2)&lt;&gt;"15",LEFT(M1803,2)&lt;&gt;"33"))),"x","")</f>
        <v/>
      </c>
      <c r="X1803" s="39" t="str">
        <f>IF(AND(OR(LEFT(TH!L1803,2)="15",LEFT(TH!M1803,2)="15"),'152-CT'!$J$8=TH!F1803),"x","")</f>
        <v/>
      </c>
      <c r="Y1803" s="39" t="str">
        <f>IF(AND(OR(LEFT(TH!L1803,2)="15",LEFT(TH!M1803,2)="15"),TK!$E$7=TH!F1803),"x","")</f>
        <v/>
      </c>
      <c r="Z1803" s="39" t="str">
        <f>IF(AND(B1803&lt;=NKC!$N$8,B1803&gt;=NKC!$M$8),"x","")</f>
        <v/>
      </c>
      <c r="AA1803" s="883"/>
    </row>
    <row r="1804" spans="1:27" s="211" customFormat="1" ht="15.75" customHeight="1">
      <c r="A1804" s="204" t="str">
        <f>IF(B1804&lt;&gt;"",IF(AND(B1804&gt;=_TM1,B1804&lt;=_TM2,OR(TH!L1804="1111",TH!M1804="1111")),TH!D1804,""),"")</f>
        <v/>
      </c>
      <c r="B1804" s="36">
        <f t="shared" si="467"/>
        <v>3</v>
      </c>
      <c r="C1804" s="191">
        <f t="shared" si="465"/>
        <v>41345</v>
      </c>
      <c r="D1804" s="37" t="s">
        <v>487</v>
      </c>
      <c r="E1804" s="773">
        <v>41345</v>
      </c>
      <c r="F1804" s="189" t="s">
        <v>1125</v>
      </c>
      <c r="G1804" s="40" t="s">
        <v>770</v>
      </c>
      <c r="H1804" s="7" t="s">
        <v>1290</v>
      </c>
      <c r="I1804" s="256">
        <v>310</v>
      </c>
      <c r="J1804" s="256">
        <v>11868.20453585012</v>
      </c>
      <c r="K1804" s="602">
        <f t="shared" si="468"/>
        <v>3679143</v>
      </c>
      <c r="L1804" s="39" t="s">
        <v>173</v>
      </c>
      <c r="M1804" s="39" t="s">
        <v>167</v>
      </c>
      <c r="N1804" s="39" t="str">
        <f>IF(AND('331-CT'!$E$7=TH!H1804,OR(L1804="331",M1804="331")),"331",IF(AND(OR(L1804="131",M1804="131"),H1804='131-CT'!$E$7),"131",""))</f>
        <v/>
      </c>
      <c r="O1804" s="39" t="str">
        <f>IF(AND($B1804&gt;='111'!$N$11,$B1804&lt;='111'!$O$11,OR($L1804=$O$7,$M1804=$O$7)),"x","")</f>
        <v/>
      </c>
      <c r="P1804" s="39" t="str">
        <f>IF(AND($L1804=$O$7,$B1804&lt;'111'!$N$11),"x","")</f>
        <v/>
      </c>
      <c r="Q1804" s="39" t="str">
        <f>IF(AND($M1804=$O$7,$B1804&lt;'111'!$N$11),"x","")</f>
        <v/>
      </c>
      <c r="R1804" s="39" t="str">
        <f>IF(ISERROR(FIND('112'!$M$9,G1804,1)),"",IF((AND(FIND('112'!$M$9,G1804,1)&gt;=1,$B1804&gt;='112'!$N$8,$B1804&lt;='112'!$O$8,OR($L1804='112'!$I$6,$M1804='112'!$I$6))),"x",""))</f>
        <v/>
      </c>
      <c r="S1804" s="39" t="str">
        <f>IF(ISERROR(FIND('112'!$M$9,G1804,1)),"",IF((AND(LEFT(G1804,2)=LEFT('112'!$M$9,2),B1804&lt;'112'!$N$8,$L1804='112'!$I$6)),"x",""))</f>
        <v/>
      </c>
      <c r="T1804" s="39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39" t="str">
        <f>IF(OR(TH!L1804=TH!$V$7,M1804=TH!$V$7),"x","")</f>
        <v/>
      </c>
      <c r="W1804" s="39" t="str">
        <f>IF(AND(B1804&gt;='IN-NX'!$P$3,B1804&lt;='IN-NX'!$Q$3,'IN-NX'!$D$7=D1804,OR(LEFT(L1804,2)="15",AND(LEFT(M1804,2)&lt;&gt;"15",LEFT(M1804,2)&lt;&gt;"33"))),"x","")</f>
        <v/>
      </c>
      <c r="X1804" s="39" t="str">
        <f>IF(AND(OR(LEFT(TH!L1804,2)="15",LEFT(TH!M1804,2)="15"),'152-CT'!$J$8=TH!F1804),"x","")</f>
        <v/>
      </c>
      <c r="Y1804" s="39" t="str">
        <f>IF(AND(OR(LEFT(TH!L1804,2)="15",LEFT(TH!M1804,2)="15"),TK!$E$7=TH!F1804),"x","")</f>
        <v/>
      </c>
      <c r="Z1804" s="39" t="str">
        <f>IF(AND(B1804&lt;=NKC!$N$8,B1804&gt;=NKC!$M$8),"x","")</f>
        <v/>
      </c>
      <c r="AA1804" s="883"/>
    </row>
    <row r="1805" spans="1:27" s="211" customFormat="1" ht="15.75" customHeight="1">
      <c r="A1805" s="204" t="str">
        <f>IF(B1805&lt;&gt;"",IF(AND(B1805&gt;=_TM1,B1805&lt;=_TM2,OR(TH!L1805="1111",TH!M1805="1111")),TH!D1805,""),"")</f>
        <v/>
      </c>
      <c r="B1805" s="36">
        <f t="shared" si="467"/>
        <v>3</v>
      </c>
      <c r="C1805" s="191">
        <f t="shared" si="465"/>
        <v>41345</v>
      </c>
      <c r="D1805" s="37" t="s">
        <v>487</v>
      </c>
      <c r="E1805" s="773">
        <v>41345</v>
      </c>
      <c r="F1805" s="189" t="s">
        <v>739</v>
      </c>
      <c r="G1805" s="40" t="s">
        <v>772</v>
      </c>
      <c r="H1805" s="7" t="s">
        <v>1290</v>
      </c>
      <c r="I1805" s="256">
        <v>500</v>
      </c>
      <c r="J1805" s="256">
        <v>7418.3013100436683</v>
      </c>
      <c r="K1805" s="602">
        <f t="shared" si="468"/>
        <v>3709151</v>
      </c>
      <c r="L1805" s="39" t="s">
        <v>173</v>
      </c>
      <c r="M1805" s="39" t="s">
        <v>167</v>
      </c>
      <c r="N1805" s="39" t="str">
        <f>IF(AND('331-CT'!$E$7=TH!H1805,OR(L1805="331",M1805="331")),"331",IF(AND(OR(L1805="131",M1805="131"),H1805='131-CT'!$E$7),"131",""))</f>
        <v/>
      </c>
      <c r="O1805" s="39" t="str">
        <f>IF(AND($B1805&gt;='111'!$N$11,$B1805&lt;='111'!$O$11,OR($L1805=$O$7,$M1805=$O$7)),"x","")</f>
        <v/>
      </c>
      <c r="P1805" s="39" t="str">
        <f>IF(AND($L1805=$O$7,$B1805&lt;'111'!$N$11),"x","")</f>
        <v/>
      </c>
      <c r="Q1805" s="39" t="str">
        <f>IF(AND($M1805=$O$7,$B1805&lt;'111'!$N$11),"x","")</f>
        <v/>
      </c>
      <c r="R1805" s="39" t="str">
        <f>IF(ISERROR(FIND('112'!$M$9,G1805,1)),"",IF((AND(FIND('112'!$M$9,G1805,1)&gt;=1,$B1805&gt;='112'!$N$8,$B1805&lt;='112'!$O$8,OR($L1805='112'!$I$6,$M1805='112'!$I$6))),"x",""))</f>
        <v/>
      </c>
      <c r="S1805" s="39" t="str">
        <f>IF(ISERROR(FIND('112'!$M$9,G1805,1)),"",IF((AND(LEFT(G1805,2)=LEFT('112'!$M$9,2),B1805&lt;'112'!$N$8,$L1805='112'!$I$6)),"x",""))</f>
        <v/>
      </c>
      <c r="T1805" s="39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39" t="str">
        <f>IF(OR(TH!L1805=TH!$V$7,M1805=TH!$V$7),"x","")</f>
        <v/>
      </c>
      <c r="W1805" s="39" t="str">
        <f>IF(AND(B1805&gt;='IN-NX'!$P$3,B1805&lt;='IN-NX'!$Q$3,'IN-NX'!$D$7=D1805,OR(LEFT(L1805,2)="15",AND(LEFT(M1805,2)&lt;&gt;"15",LEFT(M1805,2)&lt;&gt;"33"))),"x","")</f>
        <v/>
      </c>
      <c r="X1805" s="39" t="str">
        <f>IF(AND(OR(LEFT(TH!L1805,2)="15",LEFT(TH!M1805,2)="15"),'152-CT'!$J$8=TH!F1805),"x","")</f>
        <v/>
      </c>
      <c r="Y1805" s="39" t="str">
        <f>IF(AND(OR(LEFT(TH!L1805,2)="15",LEFT(TH!M1805,2)="15"),TK!$E$7=TH!F1805),"x","")</f>
        <v/>
      </c>
      <c r="Z1805" s="39" t="str">
        <f>IF(AND(B1805&lt;=NKC!$N$8,B1805&gt;=NKC!$M$8),"x","")</f>
        <v/>
      </c>
      <c r="AA1805" s="883"/>
    </row>
    <row r="1806" spans="1:27" s="211" customFormat="1" ht="15.75" customHeight="1">
      <c r="A1806" s="204" t="str">
        <f>IF(B1806&lt;&gt;"",IF(AND(B1806&gt;=_TM1,B1806&lt;=_TM2,OR(TH!L1806="1111",TH!M1806="1111")),TH!D1806,""),"")</f>
        <v/>
      </c>
      <c r="B1806" s="36">
        <f t="shared" si="467"/>
        <v>3</v>
      </c>
      <c r="C1806" s="191">
        <f t="shared" ref="C1806:C1869" si="469">E1806</f>
        <v>41345</v>
      </c>
      <c r="D1806" s="37" t="s">
        <v>487</v>
      </c>
      <c r="E1806" s="191">
        <v>41345</v>
      </c>
      <c r="F1806" s="192" t="s">
        <v>758</v>
      </c>
      <c r="G1806" s="487" t="s">
        <v>772</v>
      </c>
      <c r="H1806" s="7" t="s">
        <v>1290</v>
      </c>
      <c r="I1806" s="256">
        <v>300</v>
      </c>
      <c r="J1806" s="256">
        <v>9375.3013100436692</v>
      </c>
      <c r="K1806" s="602">
        <f t="shared" si="468"/>
        <v>2812590</v>
      </c>
      <c r="L1806" s="39" t="s">
        <v>173</v>
      </c>
      <c r="M1806" s="39" t="s">
        <v>167</v>
      </c>
      <c r="N1806" s="39" t="str">
        <f>IF(AND('331-CT'!$E$7=TH!H1806,OR(L1806="331",M1806="331")),"331",IF(AND(OR(L1806="131",M1806="131"),H1806='131-CT'!$E$7),"131",""))</f>
        <v/>
      </c>
      <c r="O1806" s="39" t="str">
        <f>IF(AND($B1806&gt;='111'!$N$11,$B1806&lt;='111'!$O$11,OR($L1806=$O$7,$M1806=$O$7)),"x","")</f>
        <v/>
      </c>
      <c r="P1806" s="39" t="str">
        <f>IF(AND($L1806=$O$7,$B1806&lt;'111'!$N$11),"x","")</f>
        <v/>
      </c>
      <c r="Q1806" s="39" t="str">
        <f>IF(AND($M1806=$O$7,$B1806&lt;'111'!$N$11),"x","")</f>
        <v/>
      </c>
      <c r="R1806" s="39" t="str">
        <f>IF(ISERROR(FIND('112'!$M$9,G1806,1)),"",IF((AND(FIND('112'!$M$9,G1806,1)&gt;=1,$B1806&gt;='112'!$N$8,$B1806&lt;='112'!$O$8,OR($L1806='112'!$I$6,$M1806='112'!$I$6))),"x",""))</f>
        <v/>
      </c>
      <c r="S1806" s="39" t="str">
        <f>IF(ISERROR(FIND('112'!$M$9,G1806,1)),"",IF((AND(LEFT(G1806,2)=LEFT('112'!$M$9,2),B1806&lt;'112'!$N$8,$L1806='112'!$I$6)),"x",""))</f>
        <v/>
      </c>
      <c r="T1806" s="39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39" t="str">
        <f>IF(OR(TH!L1806=TH!$V$7,M1806=TH!$V$7),"x","")</f>
        <v/>
      </c>
      <c r="W1806" s="39" t="str">
        <f>IF(AND(B1806&gt;='IN-NX'!$P$3,B1806&lt;='IN-NX'!$Q$3,'IN-NX'!$D$7=D1806,OR(LEFT(L1806,2)="15",AND(LEFT(M1806,2)&lt;&gt;"15",LEFT(M1806,2)&lt;&gt;"33"))),"x","")</f>
        <v/>
      </c>
      <c r="X1806" s="39" t="str">
        <f>IF(AND(OR(LEFT(TH!L1806,2)="15",LEFT(TH!M1806,2)="15"),'152-CT'!$J$8=TH!F1806),"x","")</f>
        <v/>
      </c>
      <c r="Y1806" s="39" t="str">
        <f>IF(AND(OR(LEFT(TH!L1806,2)="15",LEFT(TH!M1806,2)="15"),TK!$E$7=TH!F1806),"x","")</f>
        <v/>
      </c>
      <c r="Z1806" s="39" t="str">
        <f>IF(AND(B1806&lt;=NKC!$N$8,B1806&gt;=NKC!$M$8),"x","")</f>
        <v/>
      </c>
      <c r="AA1806" s="883"/>
    </row>
    <row r="1807" spans="1:27" s="211" customFormat="1" ht="15.75" customHeight="1">
      <c r="A1807" s="204" t="str">
        <f>IF(B1807&lt;&gt;"",IF(AND(B1807&gt;=_TM1,B1807&lt;=_TM2,OR(TH!L1807="1111",TH!M1807="1111")),TH!D1807,""),"")</f>
        <v/>
      </c>
      <c r="B1807" s="36">
        <f t="shared" si="467"/>
        <v>3</v>
      </c>
      <c r="C1807" s="191">
        <f t="shared" si="469"/>
        <v>41346</v>
      </c>
      <c r="D1807" s="37" t="s">
        <v>487</v>
      </c>
      <c r="E1807" s="191">
        <v>41346</v>
      </c>
      <c r="F1807" s="192" t="s">
        <v>773</v>
      </c>
      <c r="G1807" s="487" t="s">
        <v>494</v>
      </c>
      <c r="H1807" s="7" t="s">
        <v>1290</v>
      </c>
      <c r="I1807" s="256">
        <v>512</v>
      </c>
      <c r="J1807" s="256">
        <v>21992.438028793666</v>
      </c>
      <c r="K1807" s="602">
        <f t="shared" si="468"/>
        <v>11260128</v>
      </c>
      <c r="L1807" s="39" t="s">
        <v>173</v>
      </c>
      <c r="M1807" s="39" t="s">
        <v>167</v>
      </c>
      <c r="N1807" s="39" t="str">
        <f>IF(AND('331-CT'!$E$7=TH!H1807,OR(L1807="331",M1807="331")),"331",IF(AND(OR(L1807="131",M1807="131"),H1807='131-CT'!$E$7),"131",""))</f>
        <v/>
      </c>
      <c r="O1807" s="39" t="str">
        <f>IF(AND($B1807&gt;='111'!$N$11,$B1807&lt;='111'!$O$11,OR($L1807=$O$7,$M1807=$O$7)),"x","")</f>
        <v/>
      </c>
      <c r="P1807" s="39" t="str">
        <f>IF(AND($L1807=$O$7,$B1807&lt;'111'!$N$11),"x","")</f>
        <v/>
      </c>
      <c r="Q1807" s="39" t="str">
        <f>IF(AND($M1807=$O$7,$B1807&lt;'111'!$N$11),"x","")</f>
        <v/>
      </c>
      <c r="R1807" s="39" t="str">
        <f>IF(ISERROR(FIND('112'!$M$9,G1807,1)),"",IF((AND(FIND('112'!$M$9,G1807,1)&gt;=1,$B1807&gt;='112'!$N$8,$B1807&lt;='112'!$O$8,OR($L1807='112'!$I$6,$M1807='112'!$I$6))),"x",""))</f>
        <v/>
      </c>
      <c r="S1807" s="39" t="str">
        <f>IF(ISERROR(FIND('112'!$M$9,G1807,1)),"",IF((AND(LEFT(G1807,2)=LEFT('112'!$M$9,2),B1807&lt;'112'!$N$8,$L1807='112'!$I$6)),"x",""))</f>
        <v/>
      </c>
      <c r="T1807" s="39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39" t="str">
        <f>IF(OR(TH!L1807=TH!$V$7,M1807=TH!$V$7),"x","")</f>
        <v/>
      </c>
      <c r="W1807" s="39" t="str">
        <f>IF(AND(B1807&gt;='IN-NX'!$P$3,B1807&lt;='IN-NX'!$Q$3,'IN-NX'!$D$7=D1807,OR(LEFT(L1807,2)="15",AND(LEFT(M1807,2)&lt;&gt;"15",LEFT(M1807,2)&lt;&gt;"33"))),"x","")</f>
        <v/>
      </c>
      <c r="X1807" s="39" t="str">
        <f>IF(AND(OR(LEFT(TH!L1807,2)="15",LEFT(TH!M1807,2)="15"),'152-CT'!$J$8=TH!F1807),"x","")</f>
        <v/>
      </c>
      <c r="Y1807" s="39" t="str">
        <f>IF(AND(OR(LEFT(TH!L1807,2)="15",LEFT(TH!M1807,2)="15"),TK!$E$7=TH!F1807),"x","")</f>
        <v/>
      </c>
      <c r="Z1807" s="39" t="str">
        <f>IF(AND(B1807&lt;=NKC!$N$8,B1807&gt;=NKC!$M$8),"x","")</f>
        <v/>
      </c>
      <c r="AA1807" s="883"/>
    </row>
    <row r="1808" spans="1:27" s="211" customFormat="1" ht="15.75" customHeight="1">
      <c r="A1808" s="204" t="str">
        <f>IF(B1808&lt;&gt;"",IF(AND(B1808&gt;=_TM1,B1808&lt;=_TM2,OR(TH!L1808="1111",TH!M1808="1111")),TH!D1808,""),"")</f>
        <v/>
      </c>
      <c r="B1808" s="36">
        <f t="shared" si="467"/>
        <v>3</v>
      </c>
      <c r="C1808" s="191">
        <f t="shared" si="469"/>
        <v>41346</v>
      </c>
      <c r="D1808" s="37" t="s">
        <v>487</v>
      </c>
      <c r="E1808" s="191">
        <v>41346</v>
      </c>
      <c r="F1808" s="192" t="s">
        <v>1126</v>
      </c>
      <c r="G1808" s="487" t="s">
        <v>774</v>
      </c>
      <c r="H1808" s="7" t="s">
        <v>1290</v>
      </c>
      <c r="I1808" s="256">
        <v>500</v>
      </c>
      <c r="J1808" s="256">
        <v>11770.331310043668</v>
      </c>
      <c r="K1808" s="602">
        <f t="shared" si="468"/>
        <v>5885166</v>
      </c>
      <c r="L1808" s="39" t="s">
        <v>173</v>
      </c>
      <c r="M1808" s="39" t="s">
        <v>167</v>
      </c>
      <c r="N1808" s="39" t="str">
        <f>IF(AND('331-CT'!$E$7=TH!H1808,OR(L1808="331",M1808="331")),"331",IF(AND(OR(L1808="131",M1808="131"),H1808='131-CT'!$E$7),"131",""))</f>
        <v/>
      </c>
      <c r="O1808" s="39" t="str">
        <f>IF(AND($B1808&gt;='111'!$N$11,$B1808&lt;='111'!$O$11,OR($L1808=$O$7,$M1808=$O$7)),"x","")</f>
        <v/>
      </c>
      <c r="P1808" s="39" t="str">
        <f>IF(AND($L1808=$O$7,$B1808&lt;'111'!$N$11),"x","")</f>
        <v/>
      </c>
      <c r="Q1808" s="39" t="str">
        <f>IF(AND($M1808=$O$7,$B1808&lt;'111'!$N$11),"x","")</f>
        <v/>
      </c>
      <c r="R1808" s="39" t="str">
        <f>IF(ISERROR(FIND('112'!$M$9,G1808,1)),"",IF((AND(FIND('112'!$M$9,G1808,1)&gt;=1,$B1808&gt;='112'!$N$8,$B1808&lt;='112'!$O$8,OR($L1808='112'!$I$6,$M1808='112'!$I$6))),"x",""))</f>
        <v/>
      </c>
      <c r="S1808" s="39" t="str">
        <f>IF(ISERROR(FIND('112'!$M$9,G1808,1)),"",IF((AND(LEFT(G1808,2)=LEFT('112'!$M$9,2),B1808&lt;'112'!$N$8,$L1808='112'!$I$6)),"x",""))</f>
        <v/>
      </c>
      <c r="T1808" s="39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39" t="str">
        <f>IF(OR(TH!L1808=TH!$V$7,M1808=TH!$V$7),"x","")</f>
        <v/>
      </c>
      <c r="W1808" s="39" t="str">
        <f>IF(AND(B1808&gt;='IN-NX'!$P$3,B1808&lt;='IN-NX'!$Q$3,'IN-NX'!$D$7=D1808,OR(LEFT(L1808,2)="15",AND(LEFT(M1808,2)&lt;&gt;"15",LEFT(M1808,2)&lt;&gt;"33"))),"x","")</f>
        <v/>
      </c>
      <c r="X1808" s="39" t="str">
        <f>IF(AND(OR(LEFT(TH!L1808,2)="15",LEFT(TH!M1808,2)="15"),'152-CT'!$J$8=TH!F1808),"x","")</f>
        <v/>
      </c>
      <c r="Y1808" s="39" t="str">
        <f>IF(AND(OR(LEFT(TH!L1808,2)="15",LEFT(TH!M1808,2)="15"),TK!$E$7=TH!F1808),"x","")</f>
        <v/>
      </c>
      <c r="Z1808" s="39" t="str">
        <f>IF(AND(B1808&lt;=NKC!$N$8,B1808&gt;=NKC!$M$8),"x","")</f>
        <v/>
      </c>
      <c r="AA1808" s="883"/>
    </row>
    <row r="1809" spans="1:27" s="211" customFormat="1" ht="15.75" customHeight="1">
      <c r="A1809" s="204" t="str">
        <f>IF(B1809&lt;&gt;"",IF(AND(B1809&gt;=_TM1,B1809&lt;=_TM2,OR(TH!L1809="1111",TH!M1809="1111")),TH!D1809,""),"")</f>
        <v/>
      </c>
      <c r="B1809" s="36">
        <f t="shared" si="467"/>
        <v>3</v>
      </c>
      <c r="C1809" s="191">
        <f t="shared" si="469"/>
        <v>41351</v>
      </c>
      <c r="D1809" s="37" t="s">
        <v>487</v>
      </c>
      <c r="E1809" s="37">
        <v>41351</v>
      </c>
      <c r="F1809" s="40" t="s">
        <v>776</v>
      </c>
      <c r="G1809" s="40" t="s">
        <v>777</v>
      </c>
      <c r="H1809" s="7" t="s">
        <v>1290</v>
      </c>
      <c r="I1809" s="256">
        <v>105</v>
      </c>
      <c r="J1809" s="256">
        <v>24843.301310043666</v>
      </c>
      <c r="K1809" s="602">
        <f t="shared" si="468"/>
        <v>2608547</v>
      </c>
      <c r="L1809" s="39" t="s">
        <v>173</v>
      </c>
      <c r="M1809" s="39" t="s">
        <v>167</v>
      </c>
      <c r="N1809" s="39" t="str">
        <f>IF(AND('331-CT'!$E$7=TH!H1809,OR(L1809="331",M1809="331")),"331",IF(AND(OR(L1809="131",M1809="131"),H1809='131-CT'!$E$7),"131",""))</f>
        <v/>
      </c>
      <c r="O1809" s="39" t="str">
        <f>IF(AND($B1809&gt;='111'!$N$11,$B1809&lt;='111'!$O$11,OR($L1809=$O$7,$M1809=$O$7)),"x","")</f>
        <v/>
      </c>
      <c r="P1809" s="39" t="str">
        <f>IF(AND($L1809=$O$7,$B1809&lt;'111'!$N$11),"x","")</f>
        <v/>
      </c>
      <c r="Q1809" s="39" t="str">
        <f>IF(AND($M1809=$O$7,$B1809&lt;'111'!$N$11),"x","")</f>
        <v/>
      </c>
      <c r="R1809" s="39" t="str">
        <f>IF(ISERROR(FIND('112'!$M$9,G1809,1)),"",IF((AND(FIND('112'!$M$9,G1809,1)&gt;=1,$B1809&gt;='112'!$N$8,$B1809&lt;='112'!$O$8,OR($L1809='112'!$I$6,$M1809='112'!$I$6))),"x",""))</f>
        <v/>
      </c>
      <c r="S1809" s="39" t="str">
        <f>IF(ISERROR(FIND('112'!$M$9,G1809,1)),"",IF((AND(LEFT(G1809,2)=LEFT('112'!$M$9,2),B1809&lt;'112'!$N$8,$L1809='112'!$I$6)),"x",""))</f>
        <v/>
      </c>
      <c r="T1809" s="39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39" t="str">
        <f>IF(OR(TH!L1809=TH!$V$7,M1809=TH!$V$7),"x","")</f>
        <v/>
      </c>
      <c r="W1809" s="39" t="str">
        <f>IF(AND(B1809&gt;='IN-NX'!$P$3,B1809&lt;='IN-NX'!$Q$3,'IN-NX'!$D$7=D1809,OR(LEFT(L1809,2)="15",AND(LEFT(M1809,2)&lt;&gt;"15",LEFT(M1809,2)&lt;&gt;"33"))),"x","")</f>
        <v/>
      </c>
      <c r="X1809" s="39" t="str">
        <f>IF(AND(OR(LEFT(TH!L1809,2)="15",LEFT(TH!M1809,2)="15"),'152-CT'!$J$8=TH!F1809),"x","")</f>
        <v/>
      </c>
      <c r="Y1809" s="39" t="str">
        <f>IF(AND(OR(LEFT(TH!L1809,2)="15",LEFT(TH!M1809,2)="15"),TK!$E$7=TH!F1809),"x","")</f>
        <v/>
      </c>
      <c r="Z1809" s="39" t="str">
        <f>IF(AND(B1809&lt;=NKC!$N$8,B1809&gt;=NKC!$M$8),"x","")</f>
        <v/>
      </c>
      <c r="AA1809" s="883"/>
    </row>
    <row r="1810" spans="1:27" s="211" customFormat="1" ht="15.75" customHeight="1">
      <c r="A1810" s="204" t="str">
        <f>IF(B1810&lt;&gt;"",IF(AND(B1810&gt;=_TM1,B1810&lt;=_TM2,OR(TH!L1810="1111",TH!M1810="1111")),TH!D1810,""),"")</f>
        <v/>
      </c>
      <c r="B1810" s="36">
        <f t="shared" si="467"/>
        <v>3</v>
      </c>
      <c r="C1810" s="191">
        <f t="shared" si="469"/>
        <v>41359</v>
      </c>
      <c r="D1810" s="37" t="s">
        <v>487</v>
      </c>
      <c r="E1810" s="37">
        <v>41359</v>
      </c>
      <c r="F1810" s="40" t="s">
        <v>778</v>
      </c>
      <c r="G1810" s="40" t="s">
        <v>779</v>
      </c>
      <c r="H1810" s="7" t="s">
        <v>1290</v>
      </c>
      <c r="I1810" s="256">
        <v>513</v>
      </c>
      <c r="J1810" s="256">
        <v>16736.353941622612</v>
      </c>
      <c r="K1810" s="602">
        <f t="shared" si="468"/>
        <v>8585750</v>
      </c>
      <c r="L1810" s="39" t="s">
        <v>173</v>
      </c>
      <c r="M1810" s="39" t="s">
        <v>167</v>
      </c>
      <c r="N1810" s="39" t="str">
        <f>IF(AND('331-CT'!$E$7=TH!H1810,OR(L1810="331",M1810="331")),"331",IF(AND(OR(L1810="131",M1810="131"),H1810='131-CT'!$E$7),"131",""))</f>
        <v/>
      </c>
      <c r="O1810" s="39" t="str">
        <f>IF(AND($B1810&gt;='111'!$N$11,$B1810&lt;='111'!$O$11,OR($L1810=$O$7,$M1810=$O$7)),"x","")</f>
        <v/>
      </c>
      <c r="P1810" s="39" t="str">
        <f>IF(AND($L1810=$O$7,$B1810&lt;'111'!$N$11),"x","")</f>
        <v/>
      </c>
      <c r="Q1810" s="39" t="str">
        <f>IF(AND($M1810=$O$7,$B1810&lt;'111'!$N$11),"x","")</f>
        <v/>
      </c>
      <c r="R1810" s="39" t="str">
        <f>IF(ISERROR(FIND('112'!$M$9,G1810,1)),"",IF((AND(FIND('112'!$M$9,G1810,1)&gt;=1,$B1810&gt;='112'!$N$8,$B1810&lt;='112'!$O$8,OR($L1810='112'!$I$6,$M1810='112'!$I$6))),"x",""))</f>
        <v/>
      </c>
      <c r="S1810" s="39" t="str">
        <f>IF(ISERROR(FIND('112'!$M$9,G1810,1)),"",IF((AND(LEFT(G1810,2)=LEFT('112'!$M$9,2),B1810&lt;'112'!$N$8,$L1810='112'!$I$6)),"x",""))</f>
        <v/>
      </c>
      <c r="T1810" s="39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39" t="str">
        <f>IF(OR(TH!L1810=TH!$V$7,M1810=TH!$V$7),"x","")</f>
        <v/>
      </c>
      <c r="W1810" s="39" t="str">
        <f>IF(AND(B1810&gt;='IN-NX'!$P$3,B1810&lt;='IN-NX'!$Q$3,'IN-NX'!$D$7=D1810,OR(LEFT(L1810,2)="15",AND(LEFT(M1810,2)&lt;&gt;"15",LEFT(M1810,2)&lt;&gt;"33"))),"x","")</f>
        <v/>
      </c>
      <c r="X1810" s="39" t="str">
        <f>IF(AND(OR(LEFT(TH!L1810,2)="15",LEFT(TH!M1810,2)="15"),'152-CT'!$J$8=TH!F1810),"x","")</f>
        <v/>
      </c>
      <c r="Y1810" s="39" t="str">
        <f>IF(AND(OR(LEFT(TH!L1810,2)="15",LEFT(TH!M1810,2)="15"),TK!$E$7=TH!F1810),"x","")</f>
        <v/>
      </c>
      <c r="Z1810" s="39" t="str">
        <f>IF(AND(B1810&lt;=NKC!$N$8,B1810&gt;=NKC!$M$8),"x","")</f>
        <v/>
      </c>
      <c r="AA1810" s="883"/>
    </row>
    <row r="1811" spans="1:27" s="211" customFormat="1" ht="15.75" customHeight="1">
      <c r="A1811" s="204" t="str">
        <f>IF(B1811&lt;&gt;"",IF(AND(B1811&gt;=_TM1,B1811&lt;=_TM2,OR(TH!L1811="1111",TH!M1811="1111")),TH!D1811,""),"")</f>
        <v/>
      </c>
      <c r="B1811" s="36">
        <f t="shared" si="467"/>
        <v>3</v>
      </c>
      <c r="C1811" s="191">
        <f t="shared" si="469"/>
        <v>41359</v>
      </c>
      <c r="D1811" s="37" t="s">
        <v>487</v>
      </c>
      <c r="E1811" s="184">
        <v>41359</v>
      </c>
      <c r="F1811" s="189" t="s">
        <v>817</v>
      </c>
      <c r="G1811" s="604" t="s">
        <v>779</v>
      </c>
      <c r="H1811" s="7" t="s">
        <v>1290</v>
      </c>
      <c r="I1811" s="256">
        <v>1100</v>
      </c>
      <c r="J1811" s="256">
        <v>1917.3649464073044</v>
      </c>
      <c r="K1811" s="602">
        <f t="shared" si="468"/>
        <v>2109101</v>
      </c>
      <c r="L1811" s="39" t="s">
        <v>173</v>
      </c>
      <c r="M1811" s="39" t="s">
        <v>167</v>
      </c>
      <c r="N1811" s="39" t="str">
        <f>IF(AND('331-CT'!$E$7=TH!H1811,OR(L1811="331",M1811="331")),"331",IF(AND(OR(L1811="131",M1811="131"),H1811='131-CT'!$E$7),"131",""))</f>
        <v/>
      </c>
      <c r="O1811" s="39" t="str">
        <f>IF(AND($B1811&gt;='111'!$N$11,$B1811&lt;='111'!$O$11,OR($L1811=$O$7,$M1811=$O$7)),"x","")</f>
        <v/>
      </c>
      <c r="P1811" s="39" t="str">
        <f>IF(AND($L1811=$O$7,$B1811&lt;'111'!$N$11),"x","")</f>
        <v/>
      </c>
      <c r="Q1811" s="39" t="str">
        <f>IF(AND($M1811=$O$7,$B1811&lt;'111'!$N$11),"x","")</f>
        <v/>
      </c>
      <c r="R1811" s="39" t="str">
        <f>IF(ISERROR(FIND('112'!$M$9,G1811,1)),"",IF((AND(FIND('112'!$M$9,G1811,1)&gt;=1,$B1811&gt;='112'!$N$8,$B1811&lt;='112'!$O$8,OR($L1811='112'!$I$6,$M1811='112'!$I$6))),"x",""))</f>
        <v/>
      </c>
      <c r="S1811" s="39" t="str">
        <f>IF(ISERROR(FIND('112'!$M$9,G1811,1)),"",IF((AND(LEFT(G1811,2)=LEFT('112'!$M$9,2),B1811&lt;'112'!$N$8,$L1811='112'!$I$6)),"x",""))</f>
        <v/>
      </c>
      <c r="T1811" s="39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39" t="str">
        <f>IF(OR(TH!L1811=TH!$V$7,M1811=TH!$V$7),"x","")</f>
        <v/>
      </c>
      <c r="W1811" s="39" t="str">
        <f>IF(AND(B1811&gt;='IN-NX'!$P$3,B1811&lt;='IN-NX'!$Q$3,'IN-NX'!$D$7=D1811,OR(LEFT(L1811,2)="15",AND(LEFT(M1811,2)&lt;&gt;"15",LEFT(M1811,2)&lt;&gt;"33"))),"x","")</f>
        <v/>
      </c>
      <c r="X1811" s="39" t="str">
        <f>IF(AND(OR(LEFT(TH!L1811,2)="15",LEFT(TH!M1811,2)="15"),'152-CT'!$J$8=TH!F1811),"x","")</f>
        <v/>
      </c>
      <c r="Y1811" s="39" t="str">
        <f>IF(AND(OR(LEFT(TH!L1811,2)="15",LEFT(TH!M1811,2)="15"),TK!$E$7=TH!F1811),"x","")</f>
        <v/>
      </c>
      <c r="Z1811" s="39" t="str">
        <f>IF(AND(B1811&lt;=NKC!$N$8,B1811&gt;=NKC!$M$8),"x","")</f>
        <v/>
      </c>
      <c r="AA1811" s="883"/>
    </row>
    <row r="1812" spans="1:27" s="211" customFormat="1" ht="15.75" customHeight="1">
      <c r="A1812" s="204" t="str">
        <f>IF(B1812&lt;&gt;"",IF(AND(B1812&gt;=_TM1,B1812&lt;=_TM2,OR(TH!L1812="1111",TH!M1812="1111")),TH!D1812,""),"")</f>
        <v/>
      </c>
      <c r="B1812" s="36">
        <f t="shared" si="467"/>
        <v>3</v>
      </c>
      <c r="C1812" s="191">
        <f t="shared" si="469"/>
        <v>41361</v>
      </c>
      <c r="D1812" s="37" t="s">
        <v>487</v>
      </c>
      <c r="E1812" s="184">
        <v>41361</v>
      </c>
      <c r="F1812" s="189" t="s">
        <v>776</v>
      </c>
      <c r="G1812" s="604" t="s">
        <v>780</v>
      </c>
      <c r="H1812" s="7" t="s">
        <v>1290</v>
      </c>
      <c r="I1812" s="256">
        <v>60</v>
      </c>
      <c r="J1812" s="256">
        <v>24843.301310043666</v>
      </c>
      <c r="K1812" s="602">
        <f t="shared" si="468"/>
        <v>1490598</v>
      </c>
      <c r="L1812" s="39" t="s">
        <v>173</v>
      </c>
      <c r="M1812" s="39" t="s">
        <v>167</v>
      </c>
      <c r="N1812" s="39" t="str">
        <f>IF(AND('331-CT'!$E$7=TH!H1812,OR(L1812="331",M1812="331")),"331",IF(AND(OR(L1812="131",M1812="131"),H1812='131-CT'!$E$7),"131",""))</f>
        <v/>
      </c>
      <c r="O1812" s="39" t="str">
        <f>IF(AND($B1812&gt;='111'!$N$11,$B1812&lt;='111'!$O$11,OR($L1812=$O$7,$M1812=$O$7)),"x","")</f>
        <v/>
      </c>
      <c r="P1812" s="39" t="str">
        <f>IF(AND($L1812=$O$7,$B1812&lt;'111'!$N$11),"x","")</f>
        <v/>
      </c>
      <c r="Q1812" s="39" t="str">
        <f>IF(AND($M1812=$O$7,$B1812&lt;'111'!$N$11),"x","")</f>
        <v/>
      </c>
      <c r="R1812" s="39" t="str">
        <f>IF(ISERROR(FIND('112'!$M$9,G1812,1)),"",IF((AND(FIND('112'!$M$9,G1812,1)&gt;=1,$B1812&gt;='112'!$N$8,$B1812&lt;='112'!$O$8,OR($L1812='112'!$I$6,$M1812='112'!$I$6))),"x",""))</f>
        <v/>
      </c>
      <c r="S1812" s="39" t="str">
        <f>IF(ISERROR(FIND('112'!$M$9,G1812,1)),"",IF((AND(LEFT(G1812,2)=LEFT('112'!$M$9,2),B1812&lt;'112'!$N$8,$L1812='112'!$I$6)),"x",""))</f>
        <v/>
      </c>
      <c r="T1812" s="39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39" t="str">
        <f>IF(OR(TH!L1812=TH!$V$7,M1812=TH!$V$7),"x","")</f>
        <v/>
      </c>
      <c r="W1812" s="39" t="str">
        <f>IF(AND(B1812&gt;='IN-NX'!$P$3,B1812&lt;='IN-NX'!$Q$3,'IN-NX'!$D$7=D1812,OR(LEFT(L1812,2)="15",AND(LEFT(M1812,2)&lt;&gt;"15",LEFT(M1812,2)&lt;&gt;"33"))),"x","")</f>
        <v/>
      </c>
      <c r="X1812" s="39" t="str">
        <f>IF(AND(OR(LEFT(TH!L1812,2)="15",LEFT(TH!M1812,2)="15"),'152-CT'!$J$8=TH!F1812),"x","")</f>
        <v/>
      </c>
      <c r="Y1812" s="39" t="str">
        <f>IF(AND(OR(LEFT(TH!L1812,2)="15",LEFT(TH!M1812,2)="15"),TK!$E$7=TH!F1812),"x","")</f>
        <v/>
      </c>
      <c r="Z1812" s="39" t="str">
        <f>IF(AND(B1812&lt;=NKC!$N$8,B1812&gt;=NKC!$M$8),"x","")</f>
        <v/>
      </c>
      <c r="AA1812" s="883"/>
    </row>
    <row r="1813" spans="1:27" s="211" customFormat="1" ht="15.75" customHeight="1">
      <c r="A1813" s="204" t="str">
        <f>IF(B1813&lt;&gt;"",IF(AND(B1813&gt;=_TM1,B1813&lt;=_TM2,OR(TH!L1813="1111",TH!M1813="1111")),TH!D1813,""),"")</f>
        <v/>
      </c>
      <c r="B1813" s="36">
        <f t="shared" si="467"/>
        <v>3</v>
      </c>
      <c r="C1813" s="191">
        <f t="shared" si="469"/>
        <v>41361</v>
      </c>
      <c r="D1813" s="37" t="s">
        <v>487</v>
      </c>
      <c r="E1813" s="184">
        <v>41361</v>
      </c>
      <c r="F1813" s="189" t="s">
        <v>754</v>
      </c>
      <c r="G1813" s="604" t="s">
        <v>781</v>
      </c>
      <c r="H1813" s="7" t="s">
        <v>1290</v>
      </c>
      <c r="I1813" s="256">
        <v>505</v>
      </c>
      <c r="J1813" s="256">
        <v>11790.043884301096</v>
      </c>
      <c r="K1813" s="602">
        <f t="shared" si="468"/>
        <v>5953972</v>
      </c>
      <c r="L1813" s="39" t="s">
        <v>173</v>
      </c>
      <c r="M1813" s="39" t="s">
        <v>167</v>
      </c>
      <c r="N1813" s="39" t="str">
        <f>IF(AND('331-CT'!$E$7=TH!H1813,OR(L1813="331",M1813="331")),"331",IF(AND(OR(L1813="131",M1813="131"),H1813='131-CT'!$E$7),"131",""))</f>
        <v/>
      </c>
      <c r="O1813" s="39" t="str">
        <f>IF(AND($B1813&gt;='111'!$N$11,$B1813&lt;='111'!$O$11,OR($L1813=$O$7,$M1813=$O$7)),"x","")</f>
        <v/>
      </c>
      <c r="P1813" s="39" t="str">
        <f>IF(AND($L1813=$O$7,$B1813&lt;'111'!$N$11),"x","")</f>
        <v/>
      </c>
      <c r="Q1813" s="39" t="str">
        <f>IF(AND($M1813=$O$7,$B1813&lt;'111'!$N$11),"x","")</f>
        <v/>
      </c>
      <c r="R1813" s="39" t="str">
        <f>IF(ISERROR(FIND('112'!$M$9,G1813,1)),"",IF((AND(FIND('112'!$M$9,G1813,1)&gt;=1,$B1813&gt;='112'!$N$8,$B1813&lt;='112'!$O$8,OR($L1813='112'!$I$6,$M1813='112'!$I$6))),"x",""))</f>
        <v/>
      </c>
      <c r="S1813" s="39" t="str">
        <f>IF(ISERROR(FIND('112'!$M$9,G1813,1)),"",IF((AND(LEFT(G1813,2)=LEFT('112'!$M$9,2),B1813&lt;'112'!$N$8,$L1813='112'!$I$6)),"x",""))</f>
        <v/>
      </c>
      <c r="T1813" s="39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39" t="str">
        <f>IF(OR(TH!L1813=TH!$V$7,M1813=TH!$V$7),"x","")</f>
        <v/>
      </c>
      <c r="W1813" s="39" t="str">
        <f>IF(AND(B1813&gt;='IN-NX'!$P$3,B1813&lt;='IN-NX'!$Q$3,'IN-NX'!$D$7=D1813,OR(LEFT(L1813,2)="15",AND(LEFT(M1813,2)&lt;&gt;"15",LEFT(M1813,2)&lt;&gt;"33"))),"x","")</f>
        <v/>
      </c>
      <c r="X1813" s="39" t="str">
        <f>IF(AND(OR(LEFT(TH!L1813,2)="15",LEFT(TH!M1813,2)="15"),'152-CT'!$J$8=TH!F1813),"x","")</f>
        <v/>
      </c>
      <c r="Y1813" s="39" t="str">
        <f>IF(AND(OR(LEFT(TH!L1813,2)="15",LEFT(TH!M1813,2)="15"),TK!$E$7=TH!F1813),"x","")</f>
        <v/>
      </c>
      <c r="Z1813" s="39" t="str">
        <f>IF(AND(B1813&lt;=NKC!$N$8,B1813&gt;=NKC!$M$8),"x","")</f>
        <v/>
      </c>
      <c r="AA1813" s="883"/>
    </row>
    <row r="1814" spans="1:27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467"/>
        <v>3</v>
      </c>
      <c r="C1814" s="191">
        <f t="shared" si="469"/>
        <v>41361</v>
      </c>
      <c r="D1814" s="37" t="s">
        <v>487</v>
      </c>
      <c r="E1814" s="184">
        <v>41361</v>
      </c>
      <c r="F1814" s="189" t="s">
        <v>782</v>
      </c>
      <c r="G1814" s="604" t="s">
        <v>781</v>
      </c>
      <c r="H1814" s="7" t="s">
        <v>1290</v>
      </c>
      <c r="I1814" s="256">
        <v>1990</v>
      </c>
      <c r="J1814" s="256">
        <v>7202.8013100436674</v>
      </c>
      <c r="K1814" s="602">
        <f t="shared" si="468"/>
        <v>14333575</v>
      </c>
      <c r="L1814" s="39" t="s">
        <v>173</v>
      </c>
      <c r="M1814" s="39" t="s">
        <v>167</v>
      </c>
      <c r="N1814" s="39" t="str">
        <f>IF(AND('331-CT'!$E$7=TH!H1814,OR(L1814="331",M1814="331")),"331",IF(AND(OR(L1814="131",M1814="131"),H1814='131-CT'!$E$7),"131",""))</f>
        <v/>
      </c>
      <c r="O1814" s="39" t="str">
        <f>IF(AND($B1814&gt;='111'!$N$11,$B1814&lt;='111'!$O$11,OR($L1814=$O$7,$M1814=$O$7)),"x","")</f>
        <v/>
      </c>
      <c r="P1814" s="39" t="str">
        <f>IF(AND($L1814=$O$7,$B1814&lt;'111'!$N$11),"x","")</f>
        <v/>
      </c>
      <c r="Q1814" s="39" t="str">
        <f>IF(AND($M1814=$O$7,$B1814&lt;'111'!$N$11),"x","")</f>
        <v/>
      </c>
      <c r="R1814" s="39" t="str">
        <f>IF(ISERROR(FIND('112'!$M$9,G1814,1)),"",IF((AND(FIND('112'!$M$9,G1814,1)&gt;=1,$B1814&gt;='112'!$N$8,$B1814&lt;='112'!$O$8,OR($L1814='112'!$I$6,$M1814='112'!$I$6))),"x",""))</f>
        <v/>
      </c>
      <c r="S1814" s="39" t="str">
        <f>IF(ISERROR(FIND('112'!$M$9,G1814,1)),"",IF((AND(LEFT(G1814,2)=LEFT('112'!$M$9,2),B1814&lt;'112'!$N$8,$L1814='112'!$I$6)),"x",""))</f>
        <v/>
      </c>
      <c r="T1814" s="39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39" t="str">
        <f>IF(OR(TH!L1814=TH!$V$7,M1814=TH!$V$7),"x","")</f>
        <v/>
      </c>
      <c r="W1814" s="39" t="str">
        <f>IF(AND(B1814&gt;='IN-NX'!$P$3,B1814&lt;='IN-NX'!$Q$3,'IN-NX'!$D$7=D1814,OR(LEFT(L1814,2)="15",AND(LEFT(M1814,2)&lt;&gt;"15",LEFT(M1814,2)&lt;&gt;"33"))),"x","")</f>
        <v/>
      </c>
      <c r="X1814" s="39" t="str">
        <f>IF(AND(OR(LEFT(TH!L1814,2)="15",LEFT(TH!M1814,2)="15"),'152-CT'!$J$8=TH!F1814),"x","")</f>
        <v/>
      </c>
      <c r="Y1814" s="39" t="str">
        <f>IF(AND(OR(LEFT(TH!L1814,2)="15",LEFT(TH!M1814,2)="15"),TK!$E$7=TH!F1814),"x","")</f>
        <v/>
      </c>
      <c r="Z1814" s="39" t="str">
        <f>IF(AND(B1814&lt;=NKC!$N$8,B1814&gt;=NKC!$M$8),"x","")</f>
        <v/>
      </c>
      <c r="AA1814" s="883"/>
    </row>
    <row r="1815" spans="1:27" s="211" customFormat="1" ht="15.75" customHeight="1">
      <c r="A1815" s="204" t="str">
        <f>IF(B1815&lt;&gt;"",IF(AND(B1815&gt;=_TM1,B1815&lt;=_TM2,OR(TH!L1815="1111",TH!M1815="1111")),TH!D1815,""),"")</f>
        <v/>
      </c>
      <c r="B1815" s="36">
        <f t="shared" si="467"/>
        <v>3</v>
      </c>
      <c r="C1815" s="191">
        <f t="shared" si="469"/>
        <v>41361</v>
      </c>
      <c r="D1815" s="37" t="s">
        <v>487</v>
      </c>
      <c r="E1815" s="184">
        <v>41361</v>
      </c>
      <c r="F1815" s="189" t="s">
        <v>783</v>
      </c>
      <c r="G1815" s="604" t="s">
        <v>781</v>
      </c>
      <c r="H1815" s="7" t="s">
        <v>1290</v>
      </c>
      <c r="I1815" s="256">
        <v>310</v>
      </c>
      <c r="J1815" s="256">
        <v>5599.172277785603</v>
      </c>
      <c r="K1815" s="602">
        <f t="shared" si="468"/>
        <v>1735743</v>
      </c>
      <c r="L1815" s="39" t="s">
        <v>173</v>
      </c>
      <c r="M1815" s="39" t="s">
        <v>167</v>
      </c>
      <c r="N1815" s="39" t="str">
        <f>IF(AND('331-CT'!$E$7=TH!H1815,OR(L1815="331",M1815="331")),"331",IF(AND(OR(L1815="131",M1815="131"),H1815='131-CT'!$E$7),"131",""))</f>
        <v/>
      </c>
      <c r="O1815" s="39" t="str">
        <f>IF(AND($B1815&gt;='111'!$N$11,$B1815&lt;='111'!$O$11,OR($L1815=$O$7,$M1815=$O$7)),"x","")</f>
        <v/>
      </c>
      <c r="P1815" s="39" t="str">
        <f>IF(AND($L1815=$O$7,$B1815&lt;'111'!$N$11),"x","")</f>
        <v/>
      </c>
      <c r="Q1815" s="39" t="str">
        <f>IF(AND($M1815=$O$7,$B1815&lt;'111'!$N$11),"x","")</f>
        <v/>
      </c>
      <c r="R1815" s="39" t="str">
        <f>IF(ISERROR(FIND('112'!$M$9,G1815,1)),"",IF((AND(FIND('112'!$M$9,G1815,1)&gt;=1,$B1815&gt;='112'!$N$8,$B1815&lt;='112'!$O$8,OR($L1815='112'!$I$6,$M1815='112'!$I$6))),"x",""))</f>
        <v/>
      </c>
      <c r="S1815" s="39" t="str">
        <f>IF(ISERROR(FIND('112'!$M$9,G1815,1)),"",IF((AND(LEFT(G1815,2)=LEFT('112'!$M$9,2),B1815&lt;'112'!$N$8,$L1815='112'!$I$6)),"x",""))</f>
        <v/>
      </c>
      <c r="T1815" s="39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39" t="str">
        <f>IF(OR(TH!L1815=TH!$V$7,M1815=TH!$V$7),"x","")</f>
        <v/>
      </c>
      <c r="W1815" s="39" t="str">
        <f>IF(AND(B1815&gt;='IN-NX'!$P$3,B1815&lt;='IN-NX'!$Q$3,'IN-NX'!$D$7=D1815,OR(LEFT(L1815,2)="15",AND(LEFT(M1815,2)&lt;&gt;"15",LEFT(M1815,2)&lt;&gt;"33"))),"x","")</f>
        <v/>
      </c>
      <c r="X1815" s="39" t="str">
        <f>IF(AND(OR(LEFT(TH!L1815,2)="15",LEFT(TH!M1815,2)="15"),'152-CT'!$J$8=TH!F1815),"x","")</f>
        <v/>
      </c>
      <c r="Y1815" s="39" t="str">
        <f>IF(AND(OR(LEFT(TH!L1815,2)="15",LEFT(TH!M1815,2)="15"),TK!$E$7=TH!F1815),"x","")</f>
        <v/>
      </c>
      <c r="Z1815" s="39" t="str">
        <f>IF(AND(B1815&lt;=NKC!$N$8,B1815&gt;=NKC!$M$8),"x","")</f>
        <v/>
      </c>
      <c r="AA1815" s="883"/>
    </row>
    <row r="1816" spans="1:27" s="211" customFormat="1" ht="15.75" customHeight="1">
      <c r="A1816" s="204" t="str">
        <f>IF(B1816&lt;&gt;"",IF(AND(B1816&gt;=_TM1,B1816&lt;=_TM2,OR(TH!L1816="1111",TH!M1816="1111")),TH!D1816,""),"")</f>
        <v/>
      </c>
      <c r="B1816" s="36">
        <f t="shared" si="467"/>
        <v>3</v>
      </c>
      <c r="C1816" s="191">
        <f t="shared" si="469"/>
        <v>41361</v>
      </c>
      <c r="D1816" s="37" t="s">
        <v>487</v>
      </c>
      <c r="E1816" s="773">
        <v>41361</v>
      </c>
      <c r="F1816" s="189" t="s">
        <v>784</v>
      </c>
      <c r="G1816" s="40" t="s">
        <v>781</v>
      </c>
      <c r="H1816" s="7" t="s">
        <v>1290</v>
      </c>
      <c r="I1816" s="256">
        <v>305</v>
      </c>
      <c r="J1816" s="256">
        <v>3917.9242608633404</v>
      </c>
      <c r="K1816" s="602">
        <f t="shared" si="468"/>
        <v>1194967</v>
      </c>
      <c r="L1816" s="39" t="s">
        <v>173</v>
      </c>
      <c r="M1816" s="39" t="s">
        <v>167</v>
      </c>
      <c r="N1816" s="39" t="str">
        <f>IF(AND('331-CT'!$E$7=TH!H1816,OR(L1816="331",M1816="331")),"331",IF(AND(OR(L1816="131",M1816="131"),H1816='131-CT'!$E$7),"131",""))</f>
        <v/>
      </c>
      <c r="O1816" s="39" t="str">
        <f>IF(AND($B1816&gt;='111'!$N$11,$B1816&lt;='111'!$O$11,OR($L1816=$O$7,$M1816=$O$7)),"x","")</f>
        <v/>
      </c>
      <c r="P1816" s="39" t="str">
        <f>IF(AND($L1816=$O$7,$B1816&lt;'111'!$N$11),"x","")</f>
        <v/>
      </c>
      <c r="Q1816" s="39" t="str">
        <f>IF(AND($M1816=$O$7,$B1816&lt;'111'!$N$11),"x","")</f>
        <v/>
      </c>
      <c r="R1816" s="39" t="str">
        <f>IF(ISERROR(FIND('112'!$M$9,G1816,1)),"",IF((AND(FIND('112'!$M$9,G1816,1)&gt;=1,$B1816&gt;='112'!$N$8,$B1816&lt;='112'!$O$8,OR($L1816='112'!$I$6,$M1816='112'!$I$6))),"x",""))</f>
        <v/>
      </c>
      <c r="S1816" s="39" t="str">
        <f>IF(ISERROR(FIND('112'!$M$9,G1816,1)),"",IF((AND(LEFT(G1816,2)=LEFT('112'!$M$9,2),B1816&lt;'112'!$N$8,$L1816='112'!$I$6)),"x",""))</f>
        <v/>
      </c>
      <c r="T1816" s="39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39" t="str">
        <f>IF(OR(TH!L1816=TH!$V$7,M1816=TH!$V$7),"x","")</f>
        <v/>
      </c>
      <c r="W1816" s="39" t="str">
        <f>IF(AND(B1816&gt;='IN-NX'!$P$3,B1816&lt;='IN-NX'!$Q$3,'IN-NX'!$D$7=D1816,OR(LEFT(L1816,2)="15",AND(LEFT(M1816,2)&lt;&gt;"15",LEFT(M1816,2)&lt;&gt;"33"))),"x","")</f>
        <v/>
      </c>
      <c r="X1816" s="39" t="str">
        <f>IF(AND(OR(LEFT(TH!L1816,2)="15",LEFT(TH!M1816,2)="15"),'152-CT'!$J$8=TH!F1816),"x","")</f>
        <v/>
      </c>
      <c r="Y1816" s="39" t="str">
        <f>IF(AND(OR(LEFT(TH!L1816,2)="15",LEFT(TH!M1816,2)="15"),TK!$E$7=TH!F1816),"x","")</f>
        <v/>
      </c>
      <c r="Z1816" s="39" t="str">
        <f>IF(AND(B1816&lt;=NKC!$N$8,B1816&gt;=NKC!$M$8),"x","")</f>
        <v/>
      </c>
      <c r="AA1816" s="883"/>
    </row>
    <row r="1817" spans="1:27" s="211" customFormat="1" ht="15.75" customHeight="1">
      <c r="A1817" s="204" t="str">
        <f>IF(B1817&lt;&gt;"",IF(AND(B1817&gt;=_TM1,B1817&lt;=_TM2,OR(TH!L1817="1111",TH!M1817="1111")),TH!D1817,""),"")</f>
        <v/>
      </c>
      <c r="B1817" s="36">
        <f t="shared" si="467"/>
        <v>3</v>
      </c>
      <c r="C1817" s="191">
        <f t="shared" si="469"/>
        <v>41361</v>
      </c>
      <c r="D1817" s="37" t="s">
        <v>487</v>
      </c>
      <c r="E1817" s="773">
        <v>41361</v>
      </c>
      <c r="F1817" s="189" t="s">
        <v>752</v>
      </c>
      <c r="G1817" s="40" t="s">
        <v>781</v>
      </c>
      <c r="H1817" s="7" t="s">
        <v>1290</v>
      </c>
      <c r="I1817" s="256">
        <v>500</v>
      </c>
      <c r="J1817" s="256">
        <v>11192.301310043669</v>
      </c>
      <c r="K1817" s="602">
        <f t="shared" si="468"/>
        <v>5596151</v>
      </c>
      <c r="L1817" s="39" t="s">
        <v>173</v>
      </c>
      <c r="M1817" s="39" t="s">
        <v>167</v>
      </c>
      <c r="N1817" s="39" t="str">
        <f>IF(AND('331-CT'!$E$7=TH!H1817,OR(L1817="331",M1817="331")),"331",IF(AND(OR(L1817="131",M1817="131"),H1817='131-CT'!$E$7),"131",""))</f>
        <v/>
      </c>
      <c r="O1817" s="39" t="str">
        <f>IF(AND($B1817&gt;='111'!$N$11,$B1817&lt;='111'!$O$11,OR($L1817=$O$7,$M1817=$O$7)),"x","")</f>
        <v/>
      </c>
      <c r="P1817" s="39" t="str">
        <f>IF(AND($L1817=$O$7,$B1817&lt;'111'!$N$11),"x","")</f>
        <v/>
      </c>
      <c r="Q1817" s="39" t="str">
        <f>IF(AND($M1817=$O$7,$B1817&lt;'111'!$N$11),"x","")</f>
        <v/>
      </c>
      <c r="R1817" s="39" t="str">
        <f>IF(ISERROR(FIND('112'!$M$9,G1817,1)),"",IF((AND(FIND('112'!$M$9,G1817,1)&gt;=1,$B1817&gt;='112'!$N$8,$B1817&lt;='112'!$O$8,OR($L1817='112'!$I$6,$M1817='112'!$I$6))),"x",""))</f>
        <v/>
      </c>
      <c r="S1817" s="39" t="str">
        <f>IF(ISERROR(FIND('112'!$M$9,G1817,1)),"",IF((AND(LEFT(G1817,2)=LEFT('112'!$M$9,2),B1817&lt;'112'!$N$8,$L1817='112'!$I$6)),"x",""))</f>
        <v/>
      </c>
      <c r="T1817" s="39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39" t="str">
        <f>IF(OR(TH!L1817=TH!$V$7,M1817=TH!$V$7),"x","")</f>
        <v/>
      </c>
      <c r="W1817" s="39" t="str">
        <f>IF(AND(B1817&gt;='IN-NX'!$P$3,B1817&lt;='IN-NX'!$Q$3,'IN-NX'!$D$7=D1817,OR(LEFT(L1817,2)="15",AND(LEFT(M1817,2)&lt;&gt;"15",LEFT(M1817,2)&lt;&gt;"33"))),"x","")</f>
        <v/>
      </c>
      <c r="X1817" s="39" t="str">
        <f>IF(AND(OR(LEFT(TH!L1817,2)="15",LEFT(TH!M1817,2)="15"),'152-CT'!$J$8=TH!F1817),"x","")</f>
        <v/>
      </c>
      <c r="Y1817" s="39" t="str">
        <f>IF(AND(OR(LEFT(TH!L1817,2)="15",LEFT(TH!M1817,2)="15"),TK!$E$7=TH!F1817),"x","")</f>
        <v/>
      </c>
      <c r="Z1817" s="39" t="str">
        <f>IF(AND(B1817&lt;=NKC!$N$8,B1817&gt;=NKC!$M$8),"x","")</f>
        <v/>
      </c>
      <c r="AA1817" s="883"/>
    </row>
    <row r="1818" spans="1:27" s="211" customFormat="1" ht="15.75" customHeight="1">
      <c r="A1818" s="204" t="str">
        <f>IF(B1818&lt;&gt;"",IF(AND(B1818&gt;=_TM1,B1818&lt;=_TM2,OR(TH!L1818="1111",TH!M1818="1111")),TH!D1818,""),"")</f>
        <v/>
      </c>
      <c r="B1818" s="36">
        <f t="shared" si="467"/>
        <v>3</v>
      </c>
      <c r="C1818" s="191">
        <f t="shared" si="469"/>
        <v>41363</v>
      </c>
      <c r="D1818" s="37" t="s">
        <v>487</v>
      </c>
      <c r="E1818" s="773">
        <v>41363</v>
      </c>
      <c r="F1818" s="189" t="s">
        <v>721</v>
      </c>
      <c r="G1818" s="40" t="s">
        <v>785</v>
      </c>
      <c r="H1818" s="7" t="s">
        <v>1290</v>
      </c>
      <c r="I1818" s="256">
        <v>1280</v>
      </c>
      <c r="J1818" s="256">
        <v>5614.1450600436674</v>
      </c>
      <c r="K1818" s="602">
        <f t="shared" si="468"/>
        <v>7186106</v>
      </c>
      <c r="L1818" s="39" t="s">
        <v>173</v>
      </c>
      <c r="M1818" s="39" t="s">
        <v>167</v>
      </c>
      <c r="N1818" s="39" t="str">
        <f>IF(AND('331-CT'!$E$7=TH!H1818,OR(L1818="331",M1818="331")),"331",IF(AND(OR(L1818="131",M1818="131"),H1818='131-CT'!$E$7),"131",""))</f>
        <v/>
      </c>
      <c r="O1818" s="39" t="str">
        <f>IF(AND($B1818&gt;='111'!$N$11,$B1818&lt;='111'!$O$11,OR($L1818=$O$7,$M1818=$O$7)),"x","")</f>
        <v/>
      </c>
      <c r="P1818" s="39" t="str">
        <f>IF(AND($L1818=$O$7,$B1818&lt;'111'!$N$11),"x","")</f>
        <v/>
      </c>
      <c r="Q1818" s="39" t="str">
        <f>IF(AND($M1818=$O$7,$B1818&lt;'111'!$N$11),"x","")</f>
        <v/>
      </c>
      <c r="R1818" s="39" t="str">
        <f>IF(ISERROR(FIND('112'!$M$9,G1818,1)),"",IF((AND(FIND('112'!$M$9,G1818,1)&gt;=1,$B1818&gt;='112'!$N$8,$B1818&lt;='112'!$O$8,OR($L1818='112'!$I$6,$M1818='112'!$I$6))),"x",""))</f>
        <v/>
      </c>
      <c r="S1818" s="39" t="str">
        <f>IF(ISERROR(FIND('112'!$M$9,G1818,1)),"",IF((AND(LEFT(G1818,2)=LEFT('112'!$M$9,2),B1818&lt;'112'!$N$8,$L1818='112'!$I$6)),"x",""))</f>
        <v/>
      </c>
      <c r="T1818" s="39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39" t="str">
        <f>IF(OR(TH!L1818=TH!$V$7,M1818=TH!$V$7),"x","")</f>
        <v/>
      </c>
      <c r="W1818" s="39" t="str">
        <f>IF(AND(B1818&gt;='IN-NX'!$P$3,B1818&lt;='IN-NX'!$Q$3,'IN-NX'!$D$7=D1818,OR(LEFT(L1818,2)="15",AND(LEFT(M1818,2)&lt;&gt;"15",LEFT(M1818,2)&lt;&gt;"33"))),"x","")</f>
        <v/>
      </c>
      <c r="X1818" s="39" t="str">
        <f>IF(AND(OR(LEFT(TH!L1818,2)="15",LEFT(TH!M1818,2)="15"),'152-CT'!$J$8=TH!F1818),"x","")</f>
        <v/>
      </c>
      <c r="Y1818" s="39" t="str">
        <f>IF(AND(OR(LEFT(TH!L1818,2)="15",LEFT(TH!M1818,2)="15"),TK!$E$7=TH!F1818),"x","")</f>
        <v/>
      </c>
      <c r="Z1818" s="39" t="str">
        <f>IF(AND(B1818&lt;=NKC!$N$8,B1818&gt;=NKC!$M$8),"x","")</f>
        <v/>
      </c>
      <c r="AA1818" s="883"/>
    </row>
    <row r="1819" spans="1:27" s="211" customFormat="1" ht="15.75" customHeight="1">
      <c r="A1819" s="204" t="str">
        <f>IF(B1819&lt;&gt;"",IF(AND(B1819&gt;=_TM1,B1819&lt;=_TM2,OR(TH!L1819="1111",TH!M1819="1111")),TH!D1819,""),"")</f>
        <v/>
      </c>
      <c r="B1819" s="36">
        <f t="shared" si="467"/>
        <v>3</v>
      </c>
      <c r="C1819" s="191">
        <f t="shared" si="469"/>
        <v>41363</v>
      </c>
      <c r="D1819" s="37" t="s">
        <v>487</v>
      </c>
      <c r="E1819" s="773">
        <v>41363</v>
      </c>
      <c r="F1819" s="189" t="s">
        <v>1135</v>
      </c>
      <c r="G1819" s="40" t="s">
        <v>786</v>
      </c>
      <c r="H1819" s="7" t="s">
        <v>1290</v>
      </c>
      <c r="I1819" s="256">
        <v>1200</v>
      </c>
      <c r="J1819" s="256">
        <v>6364.3013100436674</v>
      </c>
      <c r="K1819" s="602">
        <f t="shared" si="468"/>
        <v>7637162</v>
      </c>
      <c r="L1819" s="39" t="s">
        <v>173</v>
      </c>
      <c r="M1819" s="39" t="s">
        <v>167</v>
      </c>
      <c r="N1819" s="39" t="str">
        <f>IF(AND('331-CT'!$E$7=TH!H1819,OR(L1819="331",M1819="331")),"331",IF(AND(OR(L1819="131",M1819="131"),H1819='131-CT'!$E$7),"131",""))</f>
        <v/>
      </c>
      <c r="O1819" s="39" t="str">
        <f>IF(AND($B1819&gt;='111'!$N$11,$B1819&lt;='111'!$O$11,OR($L1819=$O$7,$M1819=$O$7)),"x","")</f>
        <v/>
      </c>
      <c r="P1819" s="39" t="str">
        <f>IF(AND($L1819=$O$7,$B1819&lt;'111'!$N$11),"x","")</f>
        <v/>
      </c>
      <c r="Q1819" s="39" t="str">
        <f>IF(AND($M1819=$O$7,$B1819&lt;'111'!$N$11),"x","")</f>
        <v/>
      </c>
      <c r="R1819" s="39" t="str">
        <f>IF(ISERROR(FIND('112'!$M$9,G1819,1)),"",IF((AND(FIND('112'!$M$9,G1819,1)&gt;=1,$B1819&gt;='112'!$N$8,$B1819&lt;='112'!$O$8,OR($L1819='112'!$I$6,$M1819='112'!$I$6))),"x",""))</f>
        <v/>
      </c>
      <c r="S1819" s="39" t="str">
        <f>IF(ISERROR(FIND('112'!$M$9,G1819,1)),"",IF((AND(LEFT(G1819,2)=LEFT('112'!$M$9,2),B1819&lt;'112'!$N$8,$L1819='112'!$I$6)),"x",""))</f>
        <v/>
      </c>
      <c r="T1819" s="39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39" t="str">
        <f>IF(OR(TH!L1819=TH!$V$7,M1819=TH!$V$7),"x","")</f>
        <v/>
      </c>
      <c r="W1819" s="39" t="str">
        <f>IF(AND(B1819&gt;='IN-NX'!$P$3,B1819&lt;='IN-NX'!$Q$3,'IN-NX'!$D$7=D1819,OR(LEFT(L1819,2)="15",AND(LEFT(M1819,2)&lt;&gt;"15",LEFT(M1819,2)&lt;&gt;"33"))),"x","")</f>
        <v/>
      </c>
      <c r="X1819" s="39" t="str">
        <f>IF(AND(OR(LEFT(TH!L1819,2)="15",LEFT(TH!M1819,2)="15"),'152-CT'!$J$8=TH!F1819),"x","")</f>
        <v/>
      </c>
      <c r="Y1819" s="39" t="str">
        <f>IF(AND(OR(LEFT(TH!L1819,2)="15",LEFT(TH!M1819,2)="15"),TK!$E$7=TH!F1819),"x","")</f>
        <v/>
      </c>
      <c r="Z1819" s="39" t="str">
        <f>IF(AND(B1819&lt;=NKC!$N$8,B1819&gt;=NKC!$M$8),"x","")</f>
        <v/>
      </c>
      <c r="AA1819" s="883"/>
    </row>
    <row r="1820" spans="1:27" s="840" customFormat="1" ht="15.75" customHeight="1">
      <c r="A1820" s="902" t="str">
        <f>IF(B1820&lt;&gt;"",IF(AND(B1820&gt;=_TM1,B1820&lt;=_TM2,OR(TH!L1820="1111",TH!M1820="1111")),TH!D1820,""),"")</f>
        <v/>
      </c>
      <c r="B1820" s="838">
        <f t="shared" si="467"/>
        <v>4</v>
      </c>
      <c r="C1820" s="903">
        <f t="shared" si="469"/>
        <v>41367</v>
      </c>
      <c r="D1820" s="37" t="s">
        <v>487</v>
      </c>
      <c r="E1820" s="923">
        <v>41367</v>
      </c>
      <c r="F1820" s="915" t="s">
        <v>1127</v>
      </c>
      <c r="G1820" s="905" t="s">
        <v>787</v>
      </c>
      <c r="H1820" s="906" t="s">
        <v>1290</v>
      </c>
      <c r="I1820" s="914">
        <v>515</v>
      </c>
      <c r="J1820" s="914">
        <v>15890.23495145631</v>
      </c>
      <c r="K1820" s="835">
        <f t="shared" si="468"/>
        <v>8183471</v>
      </c>
      <c r="L1820" s="828" t="s">
        <v>173</v>
      </c>
      <c r="M1820" s="828" t="s">
        <v>167</v>
      </c>
      <c r="N1820" s="828" t="str">
        <f>IF(AND('331-CT'!$E$7=TH!H1820,OR(L1820="331",M1820="331")),"331",IF(AND(OR(L1820="131",M1820="131"),H1820='131-CT'!$E$7),"131",""))</f>
        <v/>
      </c>
      <c r="O1820" s="828" t="str">
        <f>IF(AND($B1820&gt;='111'!$N$11,$B1820&lt;='111'!$O$11,OR($L1820=$O$7,$M1820=$O$7)),"x","")</f>
        <v/>
      </c>
      <c r="P1820" s="828" t="str">
        <f>IF(AND($L1820=$O$7,$B1820&lt;'111'!$N$11),"x","")</f>
        <v/>
      </c>
      <c r="Q1820" s="828" t="str">
        <f>IF(AND($M1820=$O$7,$B1820&lt;'111'!$N$11),"x","")</f>
        <v/>
      </c>
      <c r="R1820" s="828" t="str">
        <f>IF(ISERROR(FIND('112'!$M$9,G1820,1)),"",IF((AND(FIND('112'!$M$9,G1820,1)&gt;=1,$B1820&gt;='112'!$N$8,$B1820&lt;='112'!$O$8,OR($L1820='112'!$I$6,$M1820='112'!$I$6))),"x",""))</f>
        <v/>
      </c>
      <c r="S1820" s="828" t="str">
        <f>IF(ISERROR(FIND('112'!$M$9,G1820,1)),"",IF((AND(LEFT(G1820,2)=LEFT('112'!$M$9,2),B1820&lt;'112'!$N$8,$L1820='112'!$I$6)),"x",""))</f>
        <v/>
      </c>
      <c r="T1820" s="828" t="str">
        <f>IF(ISERROR(FIND('112'!$M$9,G1820,1)),"",IF((AND(RIGHT(G1820,2)=RIGHT('112'!$M$9,2),B1820&lt;'112'!$N$8,$M1820='112'!$I$6)),"x",""))</f>
        <v/>
      </c>
      <c r="U1820" s="828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>632</v>
      </c>
      <c r="V1820" s="828" t="str">
        <f>IF(OR(TH!L1820=TH!$V$7,M1820=TH!$V$7),"x","")</f>
        <v/>
      </c>
      <c r="W1820" s="828" t="str">
        <f>IF(AND(B1820&gt;='IN-NX'!$P$3,B1820&lt;='IN-NX'!$Q$3,'IN-NX'!$D$7=D1820,OR(LEFT(L1820,2)="15",AND(LEFT(M1820,2)&lt;&gt;"15",LEFT(M1820,2)&lt;&gt;"33"))),"x","")</f>
        <v/>
      </c>
      <c r="X1820" s="828" t="str">
        <f>IF(AND(OR(LEFT(TH!L1820,2)="15",LEFT(TH!M1820,2)="15"),'152-CT'!$J$8=TH!F1820),"x","")</f>
        <v/>
      </c>
      <c r="Y1820" s="828" t="str">
        <f>IF(AND(OR(LEFT(TH!L1820,2)="15",LEFT(TH!M1820,2)="15"),TK!$E$7=TH!F1820),"x","")</f>
        <v/>
      </c>
      <c r="Z1820" s="828" t="str">
        <f>IF(AND(B1820&lt;=NKC!$N$8,B1820&gt;=NKC!$M$8),"x","")</f>
        <v/>
      </c>
      <c r="AA1820" s="910"/>
    </row>
    <row r="1821" spans="1:27" s="211" customFormat="1" ht="15.75" customHeight="1">
      <c r="A1821" s="204" t="str">
        <f>IF(B1821&lt;&gt;"",IF(AND(B1821&gt;=_TM1,B1821&lt;=_TM2,OR(TH!L1821="1111",TH!M1821="1111")),TH!D1821,""),"")</f>
        <v/>
      </c>
      <c r="B1821" s="36">
        <f t="shared" si="467"/>
        <v>4</v>
      </c>
      <c r="C1821" s="191">
        <f t="shared" si="469"/>
        <v>41368</v>
      </c>
      <c r="D1821" s="37" t="s">
        <v>487</v>
      </c>
      <c r="E1821" s="773">
        <v>41368</v>
      </c>
      <c r="F1821" s="189" t="s">
        <v>739</v>
      </c>
      <c r="G1821" s="40" t="s">
        <v>789</v>
      </c>
      <c r="H1821" s="7" t="s">
        <v>1290</v>
      </c>
      <c r="I1821" s="256">
        <v>500</v>
      </c>
      <c r="J1821" s="256">
        <v>7889.7359999999999</v>
      </c>
      <c r="K1821" s="602">
        <f t="shared" si="468"/>
        <v>3944868</v>
      </c>
      <c r="L1821" s="39" t="s">
        <v>173</v>
      </c>
      <c r="M1821" s="39" t="s">
        <v>167</v>
      </c>
      <c r="N1821" s="39" t="str">
        <f>IF(AND('331-CT'!$E$7=TH!H1821,OR(L1821="331",M1821="331")),"331",IF(AND(OR(L1821="131",M1821="131"),H1821='131-CT'!$E$7),"131",""))</f>
        <v/>
      </c>
      <c r="O1821" s="39" t="str">
        <f>IF(AND($B1821&gt;='111'!$N$11,$B1821&lt;='111'!$O$11,OR($L1821=$O$7,$M1821=$O$7)),"x","")</f>
        <v/>
      </c>
      <c r="P1821" s="39" t="str">
        <f>IF(AND($L1821=$O$7,$B1821&lt;'111'!$N$11),"x","")</f>
        <v/>
      </c>
      <c r="Q1821" s="39" t="str">
        <f>IF(AND($M1821=$O$7,$B1821&lt;'111'!$N$11),"x","")</f>
        <v/>
      </c>
      <c r="R1821" s="39" t="str">
        <f>IF(ISERROR(FIND('112'!$M$9,G1821,1)),"",IF((AND(FIND('112'!$M$9,G1821,1)&gt;=1,$B1821&gt;='112'!$N$8,$B1821&lt;='112'!$O$8,OR($L1821='112'!$I$6,$M1821='112'!$I$6))),"x",""))</f>
        <v/>
      </c>
      <c r="S1821" s="39" t="str">
        <f>IF(ISERROR(FIND('112'!$M$9,G1821,1)),"",IF((AND(LEFT(G1821,2)=LEFT('112'!$M$9,2),B1821&lt;'112'!$N$8,$L1821='112'!$I$6)),"x",""))</f>
        <v/>
      </c>
      <c r="T1821" s="39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>632</v>
      </c>
      <c r="V1821" s="39" t="str">
        <f>IF(OR(TH!L1821=TH!$V$7,M1821=TH!$V$7),"x","")</f>
        <v/>
      </c>
      <c r="W1821" s="39" t="str">
        <f>IF(AND(B1821&gt;='IN-NX'!$P$3,B1821&lt;='IN-NX'!$Q$3,'IN-NX'!$D$7=D1821,OR(LEFT(L1821,2)="15",AND(LEFT(M1821,2)&lt;&gt;"15",LEFT(M1821,2)&lt;&gt;"33"))),"x","")</f>
        <v/>
      </c>
      <c r="X1821" s="39" t="str">
        <f>IF(AND(OR(LEFT(TH!L1821,2)="15",LEFT(TH!M1821,2)="15"),'152-CT'!$J$8=TH!F1821),"x","")</f>
        <v/>
      </c>
      <c r="Y1821" s="39" t="str">
        <f>IF(AND(OR(LEFT(TH!L1821,2)="15",LEFT(TH!M1821,2)="15"),TK!$E$7=TH!F1821),"x","")</f>
        <v/>
      </c>
      <c r="Z1821" s="39" t="str">
        <f>IF(AND(B1821&lt;=NKC!$N$8,B1821&gt;=NKC!$M$8),"x","")</f>
        <v/>
      </c>
      <c r="AA1821" s="883"/>
    </row>
    <row r="1822" spans="1:27" s="211" customFormat="1" ht="15.75" customHeight="1">
      <c r="A1822" s="204" t="str">
        <f>IF(B1822&lt;&gt;"",IF(AND(B1822&gt;=_TM1,B1822&lt;=_TM2,OR(TH!L1822="1111",TH!M1822="1111")),TH!D1822,""),"")</f>
        <v/>
      </c>
      <c r="B1822" s="36">
        <f t="shared" si="467"/>
        <v>4</v>
      </c>
      <c r="C1822" s="191">
        <f t="shared" si="469"/>
        <v>41368</v>
      </c>
      <c r="D1822" s="37" t="s">
        <v>487</v>
      </c>
      <c r="E1822" s="773">
        <v>41368</v>
      </c>
      <c r="F1822" s="189" t="s">
        <v>481</v>
      </c>
      <c r="G1822" s="40" t="s">
        <v>790</v>
      </c>
      <c r="H1822" s="7" t="s">
        <v>1290</v>
      </c>
      <c r="I1822" s="256">
        <v>400</v>
      </c>
      <c r="J1822" s="256">
        <v>11491.195</v>
      </c>
      <c r="K1822" s="602">
        <f t="shared" si="468"/>
        <v>4596478</v>
      </c>
      <c r="L1822" s="39" t="s">
        <v>173</v>
      </c>
      <c r="M1822" s="39" t="s">
        <v>167</v>
      </c>
      <c r="N1822" s="39" t="str">
        <f>IF(AND('331-CT'!$E$7=TH!H1822,OR(L1822="331",M1822="331")),"331",IF(AND(OR(L1822="131",M1822="131"),H1822='131-CT'!$E$7),"131",""))</f>
        <v/>
      </c>
      <c r="O1822" s="39" t="str">
        <f>IF(AND($B1822&gt;='111'!$N$11,$B1822&lt;='111'!$O$11,OR($L1822=$O$7,$M1822=$O$7)),"x","")</f>
        <v/>
      </c>
      <c r="P1822" s="39" t="str">
        <f>IF(AND($L1822=$O$7,$B1822&lt;'111'!$N$11),"x","")</f>
        <v/>
      </c>
      <c r="Q1822" s="39" t="str">
        <f>IF(AND($M1822=$O$7,$B1822&lt;'111'!$N$11),"x","")</f>
        <v/>
      </c>
      <c r="R1822" s="39" t="str">
        <f>IF(ISERROR(FIND('112'!$M$9,G1822,1)),"",IF((AND(FIND('112'!$M$9,G1822,1)&gt;=1,$B1822&gt;='112'!$N$8,$B1822&lt;='112'!$O$8,OR($L1822='112'!$I$6,$M1822='112'!$I$6))),"x",""))</f>
        <v/>
      </c>
      <c r="S1822" s="39" t="str">
        <f>IF(ISERROR(FIND('112'!$M$9,G1822,1)),"",IF((AND(LEFT(G1822,2)=LEFT('112'!$M$9,2),B1822&lt;'112'!$N$8,$L1822='112'!$I$6)),"x",""))</f>
        <v/>
      </c>
      <c r="T1822" s="39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>632</v>
      </c>
      <c r="V1822" s="39" t="str">
        <f>IF(OR(TH!L1822=TH!$V$7,M1822=TH!$V$7),"x","")</f>
        <v/>
      </c>
      <c r="W1822" s="39" t="str">
        <f>IF(AND(B1822&gt;='IN-NX'!$P$3,B1822&lt;='IN-NX'!$Q$3,'IN-NX'!$D$7=D1822,OR(LEFT(L1822,2)="15",AND(LEFT(M1822,2)&lt;&gt;"15",LEFT(M1822,2)&lt;&gt;"33"))),"x","")</f>
        <v/>
      </c>
      <c r="X1822" s="39" t="str">
        <f>IF(AND(OR(LEFT(TH!L1822,2)="15",LEFT(TH!M1822,2)="15"),'152-CT'!$J$8=TH!F1822),"x","")</f>
        <v/>
      </c>
      <c r="Y1822" s="39" t="str">
        <f>IF(AND(OR(LEFT(TH!L1822,2)="15",LEFT(TH!M1822,2)="15"),TK!$E$7=TH!F1822),"x","")</f>
        <v/>
      </c>
      <c r="Z1822" s="39" t="str">
        <f>IF(AND(B1822&lt;=NKC!$N$8,B1822&gt;=NKC!$M$8),"x","")</f>
        <v/>
      </c>
      <c r="AA1822" s="883"/>
    </row>
    <row r="1823" spans="1:27" s="211" customFormat="1" ht="15.75" customHeight="1">
      <c r="A1823" s="204" t="str">
        <f>IF(B1823&lt;&gt;"",IF(AND(B1823&gt;=_TM1,B1823&lt;=_TM2,OR(TH!L1823="1111",TH!M1823="1111")),TH!D1823,""),"")</f>
        <v/>
      </c>
      <c r="B1823" s="36">
        <f t="shared" si="467"/>
        <v>4</v>
      </c>
      <c r="C1823" s="191">
        <f t="shared" si="469"/>
        <v>41369</v>
      </c>
      <c r="D1823" s="37" t="s">
        <v>487</v>
      </c>
      <c r="E1823" s="773">
        <v>41369</v>
      </c>
      <c r="F1823" s="297" t="s">
        <v>481</v>
      </c>
      <c r="G1823" s="40" t="s">
        <v>577</v>
      </c>
      <c r="H1823" s="7" t="s">
        <v>1290</v>
      </c>
      <c r="I1823" s="256">
        <v>500</v>
      </c>
      <c r="J1823" s="256">
        <v>11401.736000000001</v>
      </c>
      <c r="K1823" s="602">
        <f t="shared" si="468"/>
        <v>5700868</v>
      </c>
      <c r="L1823" s="39" t="s">
        <v>173</v>
      </c>
      <c r="M1823" s="39" t="s">
        <v>167</v>
      </c>
      <c r="N1823" s="39" t="str">
        <f>IF(AND('331-CT'!$E$7=TH!H1823,OR(L1823="331",M1823="331")),"331",IF(AND(OR(L1823="131",M1823="131"),H1823='131-CT'!$E$7),"131",""))</f>
        <v/>
      </c>
      <c r="O1823" s="39" t="str">
        <f>IF(AND($B1823&gt;='111'!$N$11,$B1823&lt;='111'!$O$11,OR($L1823=$O$7,$M1823=$O$7)),"x","")</f>
        <v/>
      </c>
      <c r="P1823" s="39" t="str">
        <f>IF(AND($L1823=$O$7,$B1823&lt;'111'!$N$11),"x","")</f>
        <v/>
      </c>
      <c r="Q1823" s="39" t="str">
        <f>IF(AND($M1823=$O$7,$B1823&lt;'111'!$N$11),"x","")</f>
        <v/>
      </c>
      <c r="R1823" s="39" t="str">
        <f>IF(ISERROR(FIND('112'!$M$9,G1823,1)),"",IF((AND(FIND('112'!$M$9,G1823,1)&gt;=1,$B1823&gt;='112'!$N$8,$B1823&lt;='112'!$O$8,OR($L1823='112'!$I$6,$M1823='112'!$I$6))),"x",""))</f>
        <v/>
      </c>
      <c r="S1823" s="39" t="str">
        <f>IF(ISERROR(FIND('112'!$M$9,G1823,1)),"",IF((AND(LEFT(G1823,2)=LEFT('112'!$M$9,2),B1823&lt;'112'!$N$8,$L1823='112'!$I$6)),"x",""))</f>
        <v/>
      </c>
      <c r="T1823" s="39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>632</v>
      </c>
      <c r="V1823" s="39" t="str">
        <f>IF(OR(TH!L1823=TH!$V$7,M1823=TH!$V$7),"x","")</f>
        <v/>
      </c>
      <c r="W1823" s="39" t="str">
        <f>IF(AND(B1823&gt;='IN-NX'!$P$3,B1823&lt;='IN-NX'!$Q$3,'IN-NX'!$D$7=D1823,OR(LEFT(L1823,2)="15",AND(LEFT(M1823,2)&lt;&gt;"15",LEFT(M1823,2)&lt;&gt;"33"))),"x","")</f>
        <v/>
      </c>
      <c r="X1823" s="39" t="str">
        <f>IF(AND(OR(LEFT(TH!L1823,2)="15",LEFT(TH!M1823,2)="15"),'152-CT'!$J$8=TH!F1823),"x","")</f>
        <v/>
      </c>
      <c r="Y1823" s="39" t="str">
        <f>IF(AND(OR(LEFT(TH!L1823,2)="15",LEFT(TH!M1823,2)="15"),TK!$E$7=TH!F1823),"x","")</f>
        <v/>
      </c>
      <c r="Z1823" s="39" t="str">
        <f>IF(AND(B1823&lt;=NKC!$N$8,B1823&gt;=NKC!$M$8),"x","")</f>
        <v/>
      </c>
      <c r="AA1823" s="883"/>
    </row>
    <row r="1824" spans="1:27" s="211" customFormat="1" ht="15.75" customHeight="1">
      <c r="A1824" s="204" t="str">
        <f>IF(B1824&lt;&gt;"",IF(AND(B1824&gt;=_TM1,B1824&lt;=_TM2,OR(TH!L1824="1111",TH!M1824="1111")),TH!D1824,""),"")</f>
        <v/>
      </c>
      <c r="B1824" s="36">
        <f t="shared" si="467"/>
        <v>4</v>
      </c>
      <c r="C1824" s="191">
        <f t="shared" si="469"/>
        <v>41369</v>
      </c>
      <c r="D1824" s="37" t="s">
        <v>487</v>
      </c>
      <c r="E1824" s="773">
        <v>41369</v>
      </c>
      <c r="F1824" s="40" t="s">
        <v>793</v>
      </c>
      <c r="G1824" s="40" t="s">
        <v>794</v>
      </c>
      <c r="H1824" s="7" t="s">
        <v>1290</v>
      </c>
      <c r="I1824" s="256">
        <v>1000</v>
      </c>
      <c r="J1824" s="256">
        <v>12403.04</v>
      </c>
      <c r="K1824" s="602">
        <f t="shared" si="468"/>
        <v>12403040</v>
      </c>
      <c r="L1824" s="39" t="s">
        <v>173</v>
      </c>
      <c r="M1824" s="39" t="s">
        <v>167</v>
      </c>
      <c r="N1824" s="39" t="str">
        <f>IF(AND('331-CT'!$E$7=TH!H1824,OR(L1824="331",M1824="331")),"331",IF(AND(OR(L1824="131",M1824="131"),H1824='131-CT'!$E$7),"131",""))</f>
        <v/>
      </c>
      <c r="O1824" s="39" t="str">
        <f>IF(AND($B1824&gt;='111'!$N$11,$B1824&lt;='111'!$O$11,OR($L1824=$O$7,$M1824=$O$7)),"x","")</f>
        <v/>
      </c>
      <c r="P1824" s="39" t="str">
        <f>IF(AND($L1824=$O$7,$B1824&lt;'111'!$N$11),"x","")</f>
        <v/>
      </c>
      <c r="Q1824" s="39" t="str">
        <f>IF(AND($M1824=$O$7,$B1824&lt;'111'!$N$11),"x","")</f>
        <v/>
      </c>
      <c r="R1824" s="39" t="str">
        <f>IF(ISERROR(FIND('112'!$M$9,G1824,1)),"",IF((AND(FIND('112'!$M$9,G1824,1)&gt;=1,$B1824&gt;='112'!$N$8,$B1824&lt;='112'!$O$8,OR($L1824='112'!$I$6,$M1824='112'!$I$6))),"x",""))</f>
        <v/>
      </c>
      <c r="S1824" s="39" t="str">
        <f>IF(ISERROR(FIND('112'!$M$9,G1824,1)),"",IF((AND(LEFT(G1824,2)=LEFT('112'!$M$9,2),B1824&lt;'112'!$N$8,$L1824='112'!$I$6)),"x",""))</f>
        <v/>
      </c>
      <c r="T1824" s="39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>632</v>
      </c>
      <c r="V1824" s="39" t="str">
        <f>IF(OR(TH!L1824=TH!$V$7,M1824=TH!$V$7),"x","")</f>
        <v/>
      </c>
      <c r="W1824" s="39" t="str">
        <f>IF(AND(B1824&gt;='IN-NX'!$P$3,B1824&lt;='IN-NX'!$Q$3,'IN-NX'!$D$7=D1824,OR(LEFT(L1824,2)="15",AND(LEFT(M1824,2)&lt;&gt;"15",LEFT(M1824,2)&lt;&gt;"33"))),"x","")</f>
        <v/>
      </c>
      <c r="X1824" s="39" t="str">
        <f>IF(AND(OR(LEFT(TH!L1824,2)="15",LEFT(TH!M1824,2)="15"),'152-CT'!$J$8=TH!F1824),"x","")</f>
        <v/>
      </c>
      <c r="Y1824" s="39" t="str">
        <f>IF(AND(OR(LEFT(TH!L1824,2)="15",LEFT(TH!M1824,2)="15"),TK!$E$7=TH!F1824),"x","")</f>
        <v/>
      </c>
      <c r="Z1824" s="39" t="str">
        <f>IF(AND(B1824&lt;=NKC!$N$8,B1824&gt;=NKC!$M$8),"x","")</f>
        <v/>
      </c>
      <c r="AA1824" s="883"/>
    </row>
    <row r="1825" spans="1:27" s="211" customFormat="1" ht="15.75" customHeight="1">
      <c r="A1825" s="204" t="str">
        <f>IF(B1825&lt;&gt;"",IF(AND(B1825&gt;=_TM1,B1825&lt;=_TM2,OR(TH!L1825="1111",TH!M1825="1111")),TH!D1825,""),"")</f>
        <v/>
      </c>
      <c r="B1825" s="36">
        <f t="shared" si="467"/>
        <v>4</v>
      </c>
      <c r="C1825" s="191">
        <f t="shared" si="469"/>
        <v>41370</v>
      </c>
      <c r="D1825" s="37" t="s">
        <v>487</v>
      </c>
      <c r="E1825" s="773">
        <v>41370</v>
      </c>
      <c r="F1825" s="189" t="s">
        <v>795</v>
      </c>
      <c r="G1825" s="40" t="s">
        <v>796</v>
      </c>
      <c r="H1825" s="7" t="s">
        <v>1290</v>
      </c>
      <c r="I1825" s="256">
        <v>500</v>
      </c>
      <c r="J1825" s="256">
        <v>12221.736000000001</v>
      </c>
      <c r="K1825" s="602">
        <f t="shared" si="468"/>
        <v>6110868</v>
      </c>
      <c r="L1825" s="39" t="s">
        <v>173</v>
      </c>
      <c r="M1825" s="39" t="s">
        <v>167</v>
      </c>
      <c r="N1825" s="39" t="str">
        <f>IF(AND('331-CT'!$E$7=TH!H1825,OR(L1825="331",M1825="331")),"331",IF(AND(OR(L1825="131",M1825="131"),H1825='131-CT'!$E$7),"131",""))</f>
        <v/>
      </c>
      <c r="O1825" s="39" t="str">
        <f>IF(AND($B1825&gt;='111'!$N$11,$B1825&lt;='111'!$O$11,OR($L1825=$O$7,$M1825=$O$7)),"x","")</f>
        <v/>
      </c>
      <c r="P1825" s="39" t="str">
        <f>IF(AND($L1825=$O$7,$B1825&lt;'111'!$N$11),"x","")</f>
        <v/>
      </c>
      <c r="Q1825" s="39" t="str">
        <f>IF(AND($M1825=$O$7,$B1825&lt;'111'!$N$11),"x","")</f>
        <v/>
      </c>
      <c r="R1825" s="39" t="str">
        <f>IF(ISERROR(FIND('112'!$M$9,G1825,1)),"",IF((AND(FIND('112'!$M$9,G1825,1)&gt;=1,$B1825&gt;='112'!$N$8,$B1825&lt;='112'!$O$8,OR($L1825='112'!$I$6,$M1825='112'!$I$6))),"x",""))</f>
        <v/>
      </c>
      <c r="S1825" s="39" t="str">
        <f>IF(ISERROR(FIND('112'!$M$9,G1825,1)),"",IF((AND(LEFT(G1825,2)=LEFT('112'!$M$9,2),B1825&lt;'112'!$N$8,$L1825='112'!$I$6)),"x",""))</f>
        <v/>
      </c>
      <c r="T1825" s="39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>632</v>
      </c>
      <c r="V1825" s="39" t="str">
        <f>IF(OR(TH!L1825=TH!$V$7,M1825=TH!$V$7),"x","")</f>
        <v/>
      </c>
      <c r="W1825" s="39" t="str">
        <f>IF(AND(B1825&gt;='IN-NX'!$P$3,B1825&lt;='IN-NX'!$Q$3,'IN-NX'!$D$7=D1825,OR(LEFT(L1825,2)="15",AND(LEFT(M1825,2)&lt;&gt;"15",LEFT(M1825,2)&lt;&gt;"33"))),"x","")</f>
        <v/>
      </c>
      <c r="X1825" s="39" t="str">
        <f>IF(AND(OR(LEFT(TH!L1825,2)="15",LEFT(TH!M1825,2)="15"),'152-CT'!$J$8=TH!F1825),"x","")</f>
        <v/>
      </c>
      <c r="Y1825" s="39" t="str">
        <f>IF(AND(OR(LEFT(TH!L1825,2)="15",LEFT(TH!M1825,2)="15"),TK!$E$7=TH!F1825),"x","")</f>
        <v/>
      </c>
      <c r="Z1825" s="39" t="str">
        <f>IF(AND(B1825&lt;=NKC!$N$8,B1825&gt;=NKC!$M$8),"x","")</f>
        <v/>
      </c>
      <c r="AA1825" s="883"/>
    </row>
    <row r="1826" spans="1:27" s="211" customFormat="1" ht="15.75" customHeight="1">
      <c r="A1826" s="204" t="str">
        <f>IF(B1826&lt;&gt;"",IF(AND(B1826&gt;=_TM1,B1826&lt;=_TM2,OR(TH!L1826="1111",TH!M1826="1111")),TH!D1826,""),"")</f>
        <v/>
      </c>
      <c r="B1826" s="36">
        <f t="shared" si="467"/>
        <v>4</v>
      </c>
      <c r="C1826" s="191">
        <f t="shared" si="469"/>
        <v>41370</v>
      </c>
      <c r="D1826" s="37" t="s">
        <v>487</v>
      </c>
      <c r="E1826" s="773">
        <v>41370</v>
      </c>
      <c r="F1826" s="189" t="s">
        <v>795</v>
      </c>
      <c r="G1826" s="40" t="s">
        <v>796</v>
      </c>
      <c r="H1826" s="7" t="s">
        <v>1290</v>
      </c>
      <c r="I1826" s="256">
        <v>100</v>
      </c>
      <c r="J1826" s="256">
        <v>12221.74</v>
      </c>
      <c r="K1826" s="602">
        <f t="shared" si="468"/>
        <v>1222174</v>
      </c>
      <c r="L1826" s="39" t="s">
        <v>173</v>
      </c>
      <c r="M1826" s="39" t="s">
        <v>167</v>
      </c>
      <c r="N1826" s="39" t="str">
        <f>IF(AND('331-CT'!$E$7=TH!H1826,OR(L1826="331",M1826="331")),"331",IF(AND(OR(L1826="131",M1826="131"),H1826='131-CT'!$E$7),"131",""))</f>
        <v/>
      </c>
      <c r="O1826" s="39" t="str">
        <f>IF(AND($B1826&gt;='111'!$N$11,$B1826&lt;='111'!$O$11,OR($L1826=$O$7,$M1826=$O$7)),"x","")</f>
        <v/>
      </c>
      <c r="P1826" s="39" t="str">
        <f>IF(AND($L1826=$O$7,$B1826&lt;'111'!$N$11),"x","")</f>
        <v/>
      </c>
      <c r="Q1826" s="39" t="str">
        <f>IF(AND($M1826=$O$7,$B1826&lt;'111'!$N$11),"x","")</f>
        <v/>
      </c>
      <c r="R1826" s="39" t="str">
        <f>IF(ISERROR(FIND('112'!$M$9,G1826,1)),"",IF((AND(FIND('112'!$M$9,G1826,1)&gt;=1,$B1826&gt;='112'!$N$8,$B1826&lt;='112'!$O$8,OR($L1826='112'!$I$6,$M1826='112'!$I$6))),"x",""))</f>
        <v/>
      </c>
      <c r="S1826" s="39" t="str">
        <f>IF(ISERROR(FIND('112'!$M$9,G1826,1)),"",IF((AND(LEFT(G1826,2)=LEFT('112'!$M$9,2),B1826&lt;'112'!$N$8,$L1826='112'!$I$6)),"x",""))</f>
        <v/>
      </c>
      <c r="T1826" s="39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>632</v>
      </c>
      <c r="V1826" s="39" t="str">
        <f>IF(OR(TH!L1826=TH!$V$7,M1826=TH!$V$7),"x","")</f>
        <v/>
      </c>
      <c r="W1826" s="39" t="str">
        <f>IF(AND(B1826&gt;='IN-NX'!$P$3,B1826&lt;='IN-NX'!$Q$3,'IN-NX'!$D$7=D1826,OR(LEFT(L1826,2)="15",AND(LEFT(M1826,2)&lt;&gt;"15",LEFT(M1826,2)&lt;&gt;"33"))),"x","")</f>
        <v/>
      </c>
      <c r="X1826" s="39" t="str">
        <f>IF(AND(OR(LEFT(TH!L1826,2)="15",LEFT(TH!M1826,2)="15"),'152-CT'!$J$8=TH!F1826),"x","")</f>
        <v/>
      </c>
      <c r="Y1826" s="39" t="str">
        <f>IF(AND(OR(LEFT(TH!L1826,2)="15",LEFT(TH!M1826,2)="15"),TK!$E$7=TH!F1826),"x","")</f>
        <v/>
      </c>
      <c r="Z1826" s="39" t="str">
        <f>IF(AND(B1826&lt;=NKC!$N$8,B1826&gt;=NKC!$M$8),"x","")</f>
        <v/>
      </c>
      <c r="AA1826" s="883"/>
    </row>
    <row r="1827" spans="1:27" s="211" customFormat="1" ht="15.75" customHeight="1">
      <c r="A1827" s="204" t="str">
        <f>IF(B1827&lt;&gt;"",IF(AND(B1827&gt;=_TM1,B1827&lt;=_TM2,OR(TH!L1827="1111",TH!M1827="1111")),TH!D1827,""),"")</f>
        <v/>
      </c>
      <c r="B1827" s="36">
        <f t="shared" si="467"/>
        <v>4</v>
      </c>
      <c r="C1827" s="191">
        <f t="shared" si="469"/>
        <v>41375</v>
      </c>
      <c r="D1827" s="37" t="s">
        <v>487</v>
      </c>
      <c r="E1827" s="773">
        <v>41375</v>
      </c>
      <c r="F1827" s="189" t="s">
        <v>1161</v>
      </c>
      <c r="G1827" s="40" t="s">
        <v>797</v>
      </c>
      <c r="H1827" s="7" t="s">
        <v>1290</v>
      </c>
      <c r="I1827" s="256">
        <v>3990</v>
      </c>
      <c r="J1827" s="256">
        <v>5307.5290726817038</v>
      </c>
      <c r="K1827" s="602">
        <f t="shared" si="468"/>
        <v>21177041</v>
      </c>
      <c r="L1827" s="39" t="s">
        <v>173</v>
      </c>
      <c r="M1827" s="39" t="s">
        <v>167</v>
      </c>
      <c r="N1827" s="39" t="str">
        <f>IF(AND('331-CT'!$E$7=TH!H1827,OR(L1827="331",M1827="331")),"331",IF(AND(OR(L1827="131",M1827="131"),H1827='131-CT'!$E$7),"131",""))</f>
        <v/>
      </c>
      <c r="O1827" s="39" t="str">
        <f>IF(AND($B1827&gt;='111'!$N$11,$B1827&lt;='111'!$O$11,OR($L1827=$O$7,$M1827=$O$7)),"x","")</f>
        <v/>
      </c>
      <c r="P1827" s="39" t="str">
        <f>IF(AND($L1827=$O$7,$B1827&lt;'111'!$N$11),"x","")</f>
        <v/>
      </c>
      <c r="Q1827" s="39" t="str">
        <f>IF(AND($M1827=$O$7,$B1827&lt;'111'!$N$11),"x","")</f>
        <v/>
      </c>
      <c r="R1827" s="39" t="str">
        <f>IF(ISERROR(FIND('112'!$M$9,G1827,1)),"",IF((AND(FIND('112'!$M$9,G1827,1)&gt;=1,$B1827&gt;='112'!$N$8,$B1827&lt;='112'!$O$8,OR($L1827='112'!$I$6,$M1827='112'!$I$6))),"x",""))</f>
        <v/>
      </c>
      <c r="S1827" s="39" t="str">
        <f>IF(ISERROR(FIND('112'!$M$9,G1827,1)),"",IF((AND(LEFT(G1827,2)=LEFT('112'!$M$9,2),B1827&lt;'112'!$N$8,$L1827='112'!$I$6)),"x",""))</f>
        <v/>
      </c>
      <c r="T1827" s="39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>632</v>
      </c>
      <c r="V1827" s="39" t="str">
        <f>IF(OR(TH!L1827=TH!$V$7,M1827=TH!$V$7),"x","")</f>
        <v/>
      </c>
      <c r="W1827" s="39" t="str">
        <f>IF(AND(B1827&gt;='IN-NX'!$P$3,B1827&lt;='IN-NX'!$Q$3,'IN-NX'!$D$7=D1827,OR(LEFT(L1827,2)="15",AND(LEFT(M1827,2)&lt;&gt;"15",LEFT(M1827,2)&lt;&gt;"33"))),"x","")</f>
        <v/>
      </c>
      <c r="X1827" s="39" t="str">
        <f>IF(AND(OR(LEFT(TH!L1827,2)="15",LEFT(TH!M1827,2)="15"),'152-CT'!$J$8=TH!F1827),"x","")</f>
        <v/>
      </c>
      <c r="Y1827" s="39" t="str">
        <f>IF(AND(OR(LEFT(TH!L1827,2)="15",LEFT(TH!M1827,2)="15"),TK!$E$7=TH!F1827),"x","")</f>
        <v/>
      </c>
      <c r="Z1827" s="39" t="str">
        <f>IF(AND(B1827&lt;=NKC!$N$8,B1827&gt;=NKC!$M$8),"x","")</f>
        <v/>
      </c>
      <c r="AA1827" s="883"/>
    </row>
    <row r="1828" spans="1:27" s="211" customFormat="1" ht="15.75" customHeight="1">
      <c r="A1828" s="204" t="str">
        <f>IF(B1828&lt;&gt;"",IF(AND(B1828&gt;=_TM1,B1828&lt;=_TM2,OR(TH!L1828="1111",TH!M1828="1111")),TH!D1828,""),"")</f>
        <v/>
      </c>
      <c r="B1828" s="36">
        <f t="shared" si="467"/>
        <v>4</v>
      </c>
      <c r="C1828" s="191">
        <f t="shared" si="469"/>
        <v>41375</v>
      </c>
      <c r="D1828" s="37" t="s">
        <v>487</v>
      </c>
      <c r="E1828" s="773">
        <v>41375</v>
      </c>
      <c r="F1828" s="189" t="s">
        <v>1135</v>
      </c>
      <c r="G1828" s="40" t="s">
        <v>797</v>
      </c>
      <c r="H1828" s="7" t="s">
        <v>1290</v>
      </c>
      <c r="I1828" s="256">
        <v>2763</v>
      </c>
      <c r="J1828" s="256">
        <v>5869.5522982265657</v>
      </c>
      <c r="K1828" s="602">
        <f t="shared" si="468"/>
        <v>16217573</v>
      </c>
      <c r="L1828" s="39" t="s">
        <v>173</v>
      </c>
      <c r="M1828" s="39" t="s">
        <v>167</v>
      </c>
      <c r="N1828" s="39" t="str">
        <f>IF(AND('331-CT'!$E$7=TH!H1828,OR(L1828="331",M1828="331")),"331",IF(AND(OR(L1828="131",M1828="131"),H1828='131-CT'!$E$7),"131",""))</f>
        <v/>
      </c>
      <c r="O1828" s="39" t="str">
        <f>IF(AND($B1828&gt;='111'!$N$11,$B1828&lt;='111'!$O$11,OR($L1828=$O$7,$M1828=$O$7)),"x","")</f>
        <v/>
      </c>
      <c r="P1828" s="39" t="str">
        <f>IF(AND($L1828=$O$7,$B1828&lt;'111'!$N$11),"x","")</f>
        <v/>
      </c>
      <c r="Q1828" s="39" t="str">
        <f>IF(AND($M1828=$O$7,$B1828&lt;'111'!$N$11),"x","")</f>
        <v/>
      </c>
      <c r="R1828" s="39" t="str">
        <f>IF(ISERROR(FIND('112'!$M$9,G1828,1)),"",IF((AND(FIND('112'!$M$9,G1828,1)&gt;=1,$B1828&gt;='112'!$N$8,$B1828&lt;='112'!$O$8,OR($L1828='112'!$I$6,$M1828='112'!$I$6))),"x",""))</f>
        <v/>
      </c>
      <c r="S1828" s="39" t="str">
        <f>IF(ISERROR(FIND('112'!$M$9,G1828,1)),"",IF((AND(LEFT(G1828,2)=LEFT('112'!$M$9,2),B1828&lt;'112'!$N$8,$L1828='112'!$I$6)),"x",""))</f>
        <v/>
      </c>
      <c r="T1828" s="39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>632</v>
      </c>
      <c r="V1828" s="39" t="str">
        <f>IF(OR(TH!L1828=TH!$V$7,M1828=TH!$V$7),"x","")</f>
        <v/>
      </c>
      <c r="W1828" s="39" t="str">
        <f>IF(AND(B1828&gt;='IN-NX'!$P$3,B1828&lt;='IN-NX'!$Q$3,'IN-NX'!$D$7=D1828,OR(LEFT(L1828,2)="15",AND(LEFT(M1828,2)&lt;&gt;"15",LEFT(M1828,2)&lt;&gt;"33"))),"x","")</f>
        <v/>
      </c>
      <c r="X1828" s="39" t="str">
        <f>IF(AND(OR(LEFT(TH!L1828,2)="15",LEFT(TH!M1828,2)="15"),'152-CT'!$J$8=TH!F1828),"x","")</f>
        <v/>
      </c>
      <c r="Y1828" s="39" t="str">
        <f>IF(AND(OR(LEFT(TH!L1828,2)="15",LEFT(TH!M1828,2)="15"),TK!$E$7=TH!F1828),"x","")</f>
        <v/>
      </c>
      <c r="Z1828" s="39" t="str">
        <f>IF(AND(B1828&lt;=NKC!$N$8,B1828&gt;=NKC!$M$8),"x","")</f>
        <v/>
      </c>
      <c r="AA1828" s="883"/>
    </row>
    <row r="1829" spans="1:27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467"/>
        <v>4</v>
      </c>
      <c r="C1829" s="191">
        <f t="shared" si="469"/>
        <v>41375</v>
      </c>
      <c r="D1829" s="37" t="s">
        <v>487</v>
      </c>
      <c r="E1829" s="773">
        <v>41375</v>
      </c>
      <c r="F1829" s="40" t="s">
        <v>1142</v>
      </c>
      <c r="G1829" s="40" t="s">
        <v>798</v>
      </c>
      <c r="H1829" s="7" t="s">
        <v>1290</v>
      </c>
      <c r="I1829" s="256">
        <v>103</v>
      </c>
      <c r="J1829" s="256">
        <v>17168.233009708736</v>
      </c>
      <c r="K1829" s="602">
        <f t="shared" si="468"/>
        <v>1768328</v>
      </c>
      <c r="L1829" s="39" t="s">
        <v>173</v>
      </c>
      <c r="M1829" s="39" t="s">
        <v>167</v>
      </c>
      <c r="N1829" s="39" t="str">
        <f>IF(AND('331-CT'!$E$7=TH!H1829,OR(L1829="331",M1829="331")),"331",IF(AND(OR(L1829="131",M1829="131"),H1829='131-CT'!$E$7),"131",""))</f>
        <v/>
      </c>
      <c r="O1829" s="39" t="str">
        <f>IF(AND($B1829&gt;='111'!$N$11,$B1829&lt;='111'!$O$11,OR($L1829=$O$7,$M1829=$O$7)),"x","")</f>
        <v/>
      </c>
      <c r="P1829" s="39" t="str">
        <f>IF(AND($L1829=$O$7,$B1829&lt;'111'!$N$11),"x","")</f>
        <v/>
      </c>
      <c r="Q1829" s="39" t="str">
        <f>IF(AND($M1829=$O$7,$B1829&lt;'111'!$N$11),"x","")</f>
        <v/>
      </c>
      <c r="R1829" s="39" t="str">
        <f>IF(ISERROR(FIND('112'!$M$9,G1829,1)),"",IF((AND(FIND('112'!$M$9,G1829,1)&gt;=1,$B1829&gt;='112'!$N$8,$B1829&lt;='112'!$O$8,OR($L1829='112'!$I$6,$M1829='112'!$I$6))),"x",""))</f>
        <v/>
      </c>
      <c r="S1829" s="39" t="str">
        <f>IF(ISERROR(FIND('112'!$M$9,G1829,1)),"",IF((AND(LEFT(G1829,2)=LEFT('112'!$M$9,2),B1829&lt;'112'!$N$8,$L1829='112'!$I$6)),"x",""))</f>
        <v/>
      </c>
      <c r="T1829" s="39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>632</v>
      </c>
      <c r="V1829" s="39" t="str">
        <f>IF(OR(TH!L1829=TH!$V$7,M1829=TH!$V$7),"x","")</f>
        <v/>
      </c>
      <c r="W1829" s="39" t="str">
        <f>IF(AND(B1829&gt;='IN-NX'!$P$3,B1829&lt;='IN-NX'!$Q$3,'IN-NX'!$D$7=D1829,OR(LEFT(L1829,2)="15",AND(LEFT(M1829,2)&lt;&gt;"15",LEFT(M1829,2)&lt;&gt;"33"))),"x","")</f>
        <v/>
      </c>
      <c r="X1829" s="39" t="str">
        <f>IF(AND(OR(LEFT(TH!L1829,2)="15",LEFT(TH!M1829,2)="15"),'152-CT'!$J$8=TH!F1829),"x","")</f>
        <v/>
      </c>
      <c r="Y1829" s="39" t="str">
        <f>IF(AND(OR(LEFT(TH!L1829,2)="15",LEFT(TH!M1829,2)="15"),TK!$E$7=TH!F1829),"x","")</f>
        <v/>
      </c>
      <c r="Z1829" s="39" t="str">
        <f>IF(AND(B1829&lt;=NKC!$N$8,B1829&gt;=NKC!$M$8),"x","")</f>
        <v/>
      </c>
      <c r="AA1829" s="883"/>
    </row>
    <row r="1830" spans="1:27" s="211" customFormat="1" ht="15.75" customHeight="1">
      <c r="A1830" s="204" t="str">
        <f>IF(B1830&lt;&gt;"",IF(AND(B1830&gt;=_TM1,B1830&lt;=_TM2,OR(TH!L1830="1111",TH!M1830="1111")),TH!D1830,""),"")</f>
        <v/>
      </c>
      <c r="B1830" s="36">
        <f t="shared" si="467"/>
        <v>4</v>
      </c>
      <c r="C1830" s="191">
        <f t="shared" si="469"/>
        <v>41375</v>
      </c>
      <c r="D1830" s="37" t="s">
        <v>487</v>
      </c>
      <c r="E1830" s="773">
        <v>41375</v>
      </c>
      <c r="F1830" s="40" t="s">
        <v>799</v>
      </c>
      <c r="G1830" s="40" t="s">
        <v>798</v>
      </c>
      <c r="H1830" s="7" t="s">
        <v>1290</v>
      </c>
      <c r="I1830" s="256">
        <v>200</v>
      </c>
      <c r="J1830" s="256">
        <v>1356.4349999999999</v>
      </c>
      <c r="K1830" s="602">
        <f t="shared" si="468"/>
        <v>271287</v>
      </c>
      <c r="L1830" s="39" t="s">
        <v>173</v>
      </c>
      <c r="M1830" s="39" t="s">
        <v>167</v>
      </c>
      <c r="N1830" s="39" t="str">
        <f>IF(AND('331-CT'!$E$7=TH!H1830,OR(L1830="331",M1830="331")),"331",IF(AND(OR(L1830="131",M1830="131"),H1830='131-CT'!$E$7),"131",""))</f>
        <v/>
      </c>
      <c r="O1830" s="39" t="str">
        <f>IF(AND($B1830&gt;='111'!$N$11,$B1830&lt;='111'!$O$11,OR($L1830=$O$7,$M1830=$O$7)),"x","")</f>
        <v/>
      </c>
      <c r="P1830" s="39" t="str">
        <f>IF(AND($L1830=$O$7,$B1830&lt;'111'!$N$11),"x","")</f>
        <v/>
      </c>
      <c r="Q1830" s="39" t="str">
        <f>IF(AND($M1830=$O$7,$B1830&lt;'111'!$N$11),"x","")</f>
        <v/>
      </c>
      <c r="R1830" s="39" t="str">
        <f>IF(ISERROR(FIND('112'!$M$9,G1830,1)),"",IF((AND(FIND('112'!$M$9,G1830,1)&gt;=1,$B1830&gt;='112'!$N$8,$B1830&lt;='112'!$O$8,OR($L1830='112'!$I$6,$M1830='112'!$I$6))),"x",""))</f>
        <v/>
      </c>
      <c r="S1830" s="39" t="str">
        <f>IF(ISERROR(FIND('112'!$M$9,G1830,1)),"",IF((AND(LEFT(G1830,2)=LEFT('112'!$M$9,2),B1830&lt;'112'!$N$8,$L1830='112'!$I$6)),"x",""))</f>
        <v/>
      </c>
      <c r="T1830" s="39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>632</v>
      </c>
      <c r="V1830" s="39" t="str">
        <f>IF(OR(TH!L1830=TH!$V$7,M1830=TH!$V$7),"x","")</f>
        <v/>
      </c>
      <c r="W1830" s="39" t="str">
        <f>IF(AND(B1830&gt;='IN-NX'!$P$3,B1830&lt;='IN-NX'!$Q$3,'IN-NX'!$D$7=D1830,OR(LEFT(L1830,2)="15",AND(LEFT(M1830,2)&lt;&gt;"15",LEFT(M1830,2)&lt;&gt;"33"))),"x","")</f>
        <v/>
      </c>
      <c r="X1830" s="39" t="str">
        <f>IF(AND(OR(LEFT(TH!L1830,2)="15",LEFT(TH!M1830,2)="15"),'152-CT'!$J$8=TH!F1830),"x","")</f>
        <v/>
      </c>
      <c r="Y1830" s="39" t="str">
        <f>IF(AND(OR(LEFT(TH!L1830,2)="15",LEFT(TH!M1830,2)="15"),TK!$E$7=TH!F1830),"x","")</f>
        <v/>
      </c>
      <c r="Z1830" s="39" t="str">
        <f>IF(AND(B1830&lt;=NKC!$N$8,B1830&gt;=NKC!$M$8),"x","")</f>
        <v/>
      </c>
      <c r="AA1830" s="883"/>
    </row>
    <row r="1831" spans="1:27" s="211" customFormat="1" ht="15.75" customHeight="1">
      <c r="A1831" s="204" t="str">
        <f>IF(B1831&lt;&gt;"",IF(AND(B1831&gt;=_TM1,B1831&lt;=_TM2,OR(TH!L1831="1111",TH!M1831="1111")),TH!D1831,""),"")</f>
        <v/>
      </c>
      <c r="B1831" s="36">
        <f t="shared" si="467"/>
        <v>4</v>
      </c>
      <c r="C1831" s="191">
        <f t="shared" si="469"/>
        <v>41375</v>
      </c>
      <c r="D1831" s="37" t="s">
        <v>487</v>
      </c>
      <c r="E1831" s="773">
        <v>41375</v>
      </c>
      <c r="F1831" s="189" t="s">
        <v>1140</v>
      </c>
      <c r="G1831" s="40" t="s">
        <v>798</v>
      </c>
      <c r="H1831" s="7" t="s">
        <v>1290</v>
      </c>
      <c r="I1831" s="256">
        <v>990</v>
      </c>
      <c r="J1831" s="256">
        <v>5263.3616161616164</v>
      </c>
      <c r="K1831" s="602">
        <f t="shared" si="468"/>
        <v>5210728</v>
      </c>
      <c r="L1831" s="39" t="s">
        <v>173</v>
      </c>
      <c r="M1831" s="39" t="s">
        <v>167</v>
      </c>
      <c r="N1831" s="39" t="str">
        <f>IF(AND('331-CT'!$E$7=TH!H1831,OR(L1831="331",M1831="331")),"331",IF(AND(OR(L1831="131",M1831="131"),H1831='131-CT'!$E$7),"131",""))</f>
        <v/>
      </c>
      <c r="O1831" s="39" t="str">
        <f>IF(AND($B1831&gt;='111'!$N$11,$B1831&lt;='111'!$O$11,OR($L1831=$O$7,$M1831=$O$7)),"x","")</f>
        <v/>
      </c>
      <c r="P1831" s="39" t="str">
        <f>IF(AND($L1831=$O$7,$B1831&lt;'111'!$N$11),"x","")</f>
        <v/>
      </c>
      <c r="Q1831" s="39" t="str">
        <f>IF(AND($M1831=$O$7,$B1831&lt;'111'!$N$11),"x","")</f>
        <v/>
      </c>
      <c r="R1831" s="39" t="str">
        <f>IF(ISERROR(FIND('112'!$M$9,G1831,1)),"",IF((AND(FIND('112'!$M$9,G1831,1)&gt;=1,$B1831&gt;='112'!$N$8,$B1831&lt;='112'!$O$8,OR($L1831='112'!$I$6,$M1831='112'!$I$6))),"x",""))</f>
        <v/>
      </c>
      <c r="S1831" s="39" t="str">
        <f>IF(ISERROR(FIND('112'!$M$9,G1831,1)),"",IF((AND(LEFT(G1831,2)=LEFT('112'!$M$9,2),B1831&lt;'112'!$N$8,$L1831='112'!$I$6)),"x",""))</f>
        <v/>
      </c>
      <c r="T1831" s="39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>632</v>
      </c>
      <c r="V1831" s="39" t="str">
        <f>IF(OR(TH!L1831=TH!$V$7,M1831=TH!$V$7),"x","")</f>
        <v/>
      </c>
      <c r="W1831" s="39" t="str">
        <f>IF(AND(B1831&gt;='IN-NX'!$P$3,B1831&lt;='IN-NX'!$Q$3,'IN-NX'!$D$7=D1831,OR(LEFT(L1831,2)="15",AND(LEFT(M1831,2)&lt;&gt;"15",LEFT(M1831,2)&lt;&gt;"33"))),"x","")</f>
        <v/>
      </c>
      <c r="X1831" s="39" t="str">
        <f>IF(AND(OR(LEFT(TH!L1831,2)="15",LEFT(TH!M1831,2)="15"),'152-CT'!$J$8=TH!F1831),"x","")</f>
        <v/>
      </c>
      <c r="Y1831" s="39" t="str">
        <f>IF(AND(OR(LEFT(TH!L1831,2)="15",LEFT(TH!M1831,2)="15"),TK!$E$7=TH!F1831),"x","")</f>
        <v/>
      </c>
      <c r="Z1831" s="39" t="str">
        <f>IF(AND(B1831&lt;=NKC!$N$8,B1831&gt;=NKC!$M$8),"x","")</f>
        <v/>
      </c>
      <c r="AA1831" s="883"/>
    </row>
    <row r="1832" spans="1:27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ref="B1832:B1895" si="470">IF(C1832&lt;&gt;"",MONTH(C1832),"")</f>
        <v>4</v>
      </c>
      <c r="C1832" s="191">
        <f t="shared" si="469"/>
        <v>41376</v>
      </c>
      <c r="D1832" s="37" t="s">
        <v>487</v>
      </c>
      <c r="E1832" s="191">
        <v>41376</v>
      </c>
      <c r="F1832" s="192" t="s">
        <v>753</v>
      </c>
      <c r="G1832" s="487" t="s">
        <v>800</v>
      </c>
      <c r="H1832" s="7" t="s">
        <v>1290</v>
      </c>
      <c r="I1832" s="256">
        <v>1095</v>
      </c>
      <c r="J1832" s="256">
        <v>13151.806392694063</v>
      </c>
      <c r="K1832" s="602">
        <f t="shared" si="468"/>
        <v>14401228</v>
      </c>
      <c r="L1832" s="39" t="s">
        <v>173</v>
      </c>
      <c r="M1832" s="39" t="s">
        <v>167</v>
      </c>
      <c r="N1832" s="39" t="str">
        <f>IF(AND('331-CT'!$E$7=TH!H1832,OR(L1832="331",M1832="331")),"331",IF(AND(OR(L1832="131",M1832="131"),H1832='131-CT'!$E$7),"131",""))</f>
        <v/>
      </c>
      <c r="O1832" s="39" t="str">
        <f>IF(AND($B1832&gt;='111'!$N$11,$B1832&lt;='111'!$O$11,OR($L1832=$O$7,$M1832=$O$7)),"x","")</f>
        <v/>
      </c>
      <c r="P1832" s="39" t="str">
        <f>IF(AND($L1832=$O$7,$B1832&lt;'111'!$N$11),"x","")</f>
        <v/>
      </c>
      <c r="Q1832" s="39" t="str">
        <f>IF(AND($M1832=$O$7,$B1832&lt;'111'!$N$11),"x","")</f>
        <v/>
      </c>
      <c r="R1832" s="39" t="str">
        <f>IF(ISERROR(FIND('112'!$M$9,G1832,1)),"",IF((AND(FIND('112'!$M$9,G1832,1)&gt;=1,$B1832&gt;='112'!$N$8,$B1832&lt;='112'!$O$8,OR($L1832='112'!$I$6,$M1832='112'!$I$6))),"x",""))</f>
        <v/>
      </c>
      <c r="S1832" s="39" t="str">
        <f>IF(ISERROR(FIND('112'!$M$9,G1832,1)),"",IF((AND(LEFT(G1832,2)=LEFT('112'!$M$9,2),B1832&lt;'112'!$N$8,$L1832='112'!$I$6)),"x",""))</f>
        <v/>
      </c>
      <c r="T1832" s="39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>632</v>
      </c>
      <c r="V1832" s="39" t="str">
        <f>IF(OR(TH!L1832=TH!$V$7,M1832=TH!$V$7),"x","")</f>
        <v/>
      </c>
      <c r="W1832" s="39" t="str">
        <f>IF(AND(B1832&gt;='IN-NX'!$P$3,B1832&lt;='IN-NX'!$Q$3,'IN-NX'!$D$7=D1832,OR(LEFT(L1832,2)="15",AND(LEFT(M1832,2)&lt;&gt;"15",LEFT(M1832,2)&lt;&gt;"33"))),"x","")</f>
        <v/>
      </c>
      <c r="X1832" s="39" t="str">
        <f>IF(AND(OR(LEFT(TH!L1832,2)="15",LEFT(TH!M1832,2)="15"),'152-CT'!$J$8=TH!F1832),"x","")</f>
        <v/>
      </c>
      <c r="Y1832" s="39" t="str">
        <f>IF(AND(OR(LEFT(TH!L1832,2)="15",LEFT(TH!M1832,2)="15"),TK!$E$7=TH!F1832),"x","")</f>
        <v/>
      </c>
      <c r="Z1832" s="39" t="str">
        <f>IF(AND(B1832&lt;=NKC!$N$8,B1832&gt;=NKC!$M$8),"x","")</f>
        <v/>
      </c>
      <c r="AA1832" s="883"/>
    </row>
    <row r="1833" spans="1:27" s="211" customFormat="1" ht="15.75" customHeight="1">
      <c r="A1833" s="204" t="str">
        <f>IF(B1833&lt;&gt;"",IF(AND(B1833&gt;=_TM1,B1833&lt;=_TM2,OR(TH!L1833="1111",TH!M1833="1111")),TH!D1833,""),"")</f>
        <v/>
      </c>
      <c r="B1833" s="36">
        <f t="shared" si="470"/>
        <v>4</v>
      </c>
      <c r="C1833" s="191">
        <f t="shared" si="469"/>
        <v>41376</v>
      </c>
      <c r="D1833" s="37" t="s">
        <v>487</v>
      </c>
      <c r="E1833" s="191">
        <v>41376</v>
      </c>
      <c r="F1833" s="192" t="s">
        <v>750</v>
      </c>
      <c r="G1833" s="487" t="s">
        <v>800</v>
      </c>
      <c r="H1833" s="7" t="s">
        <v>1290</v>
      </c>
      <c r="I1833" s="256">
        <v>360</v>
      </c>
      <c r="J1833" s="256">
        <v>12221.736111111111</v>
      </c>
      <c r="K1833" s="602">
        <f t="shared" si="468"/>
        <v>4399825</v>
      </c>
      <c r="L1833" s="39" t="s">
        <v>173</v>
      </c>
      <c r="M1833" s="39" t="s">
        <v>167</v>
      </c>
      <c r="N1833" s="39" t="str">
        <f>IF(AND('331-CT'!$E$7=TH!H1833,OR(L1833="331",M1833="331")),"331",IF(AND(OR(L1833="131",M1833="131"),H1833='131-CT'!$E$7),"131",""))</f>
        <v/>
      </c>
      <c r="O1833" s="39" t="str">
        <f>IF(AND($B1833&gt;='111'!$N$11,$B1833&lt;='111'!$O$11,OR($L1833=$O$7,$M1833=$O$7)),"x","")</f>
        <v/>
      </c>
      <c r="P1833" s="39" t="str">
        <f>IF(AND($L1833=$O$7,$B1833&lt;'111'!$N$11),"x","")</f>
        <v/>
      </c>
      <c r="Q1833" s="39" t="str">
        <f>IF(AND($M1833=$O$7,$B1833&lt;'111'!$N$11),"x","")</f>
        <v/>
      </c>
      <c r="R1833" s="39" t="str">
        <f>IF(ISERROR(FIND('112'!$M$9,G1833,1)),"",IF((AND(FIND('112'!$M$9,G1833,1)&gt;=1,$B1833&gt;='112'!$N$8,$B1833&lt;='112'!$O$8,OR($L1833='112'!$I$6,$M1833='112'!$I$6))),"x",""))</f>
        <v/>
      </c>
      <c r="S1833" s="39" t="str">
        <f>IF(ISERROR(FIND('112'!$M$9,G1833,1)),"",IF((AND(LEFT(G1833,2)=LEFT('112'!$M$9,2),B1833&lt;'112'!$N$8,$L1833='112'!$I$6)),"x",""))</f>
        <v/>
      </c>
      <c r="T1833" s="39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>632</v>
      </c>
      <c r="V1833" s="39" t="str">
        <f>IF(OR(TH!L1833=TH!$V$7,M1833=TH!$V$7),"x","")</f>
        <v/>
      </c>
      <c r="W1833" s="39" t="str">
        <f>IF(AND(B1833&gt;='IN-NX'!$P$3,B1833&lt;='IN-NX'!$Q$3,'IN-NX'!$D$7=D1833,OR(LEFT(L1833,2)="15",AND(LEFT(M1833,2)&lt;&gt;"15",LEFT(M1833,2)&lt;&gt;"33"))),"x","")</f>
        <v/>
      </c>
      <c r="X1833" s="39" t="str">
        <f>IF(AND(OR(LEFT(TH!L1833,2)="15",LEFT(TH!M1833,2)="15"),'152-CT'!$J$8=TH!F1833),"x","")</f>
        <v/>
      </c>
      <c r="Y1833" s="39" t="str">
        <f>IF(AND(OR(LEFT(TH!L1833,2)="15",LEFT(TH!M1833,2)="15"),TK!$E$7=TH!F1833),"x","")</f>
        <v/>
      </c>
      <c r="Z1833" s="39" t="str">
        <f>IF(AND(B1833&lt;=NKC!$N$8,B1833&gt;=NKC!$M$8),"x","")</f>
        <v/>
      </c>
      <c r="AA1833" s="883"/>
    </row>
    <row r="1834" spans="1:27" s="211" customFormat="1" ht="15.75" customHeight="1">
      <c r="A1834" s="204" t="str">
        <f>IF(B1834&lt;&gt;"",IF(AND(B1834&gt;=_TM1,B1834&lt;=_TM2,OR(TH!L1834="1111",TH!M1834="1111")),TH!D1834,""),"")</f>
        <v/>
      </c>
      <c r="B1834" s="36">
        <f t="shared" si="470"/>
        <v>4</v>
      </c>
      <c r="C1834" s="191">
        <f t="shared" si="469"/>
        <v>41380</v>
      </c>
      <c r="D1834" s="37" t="s">
        <v>487</v>
      </c>
      <c r="E1834" s="184">
        <v>41380</v>
      </c>
      <c r="F1834" s="189" t="s">
        <v>1135</v>
      </c>
      <c r="G1834" s="604" t="s">
        <v>801</v>
      </c>
      <c r="H1834" s="7" t="s">
        <v>1290</v>
      </c>
      <c r="I1834" s="256">
        <v>3930</v>
      </c>
      <c r="J1834" s="256">
        <v>5870.2837150127225</v>
      </c>
      <c r="K1834" s="602">
        <f t="shared" si="468"/>
        <v>23070215</v>
      </c>
      <c r="L1834" s="39" t="s">
        <v>173</v>
      </c>
      <c r="M1834" s="39" t="s">
        <v>167</v>
      </c>
      <c r="N1834" s="39" t="str">
        <f>IF(AND('331-CT'!$E$7=TH!H1834,OR(L1834="331",M1834="331")),"331",IF(AND(OR(L1834="131",M1834="131"),H1834='131-CT'!$E$7),"131",""))</f>
        <v/>
      </c>
      <c r="O1834" s="39" t="str">
        <f>IF(AND($B1834&gt;='111'!$N$11,$B1834&lt;='111'!$O$11,OR($L1834=$O$7,$M1834=$O$7)),"x","")</f>
        <v/>
      </c>
      <c r="P1834" s="39" t="str">
        <f>IF(AND($L1834=$O$7,$B1834&lt;'111'!$N$11),"x","")</f>
        <v/>
      </c>
      <c r="Q1834" s="39" t="str">
        <f>IF(AND($M1834=$O$7,$B1834&lt;'111'!$N$11),"x","")</f>
        <v/>
      </c>
      <c r="R1834" s="39" t="str">
        <f>IF(ISERROR(FIND('112'!$M$9,G1834,1)),"",IF((AND(FIND('112'!$M$9,G1834,1)&gt;=1,$B1834&gt;='112'!$N$8,$B1834&lt;='112'!$O$8,OR($L1834='112'!$I$6,$M1834='112'!$I$6))),"x",""))</f>
        <v/>
      </c>
      <c r="S1834" s="39" t="str">
        <f>IF(ISERROR(FIND('112'!$M$9,G1834,1)),"",IF((AND(LEFT(G1834,2)=LEFT('112'!$M$9,2),B1834&lt;'112'!$N$8,$L1834='112'!$I$6)),"x",""))</f>
        <v/>
      </c>
      <c r="T1834" s="39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>632</v>
      </c>
      <c r="V1834" s="39" t="str">
        <f>IF(OR(TH!L1834=TH!$V$7,M1834=TH!$V$7),"x","")</f>
        <v/>
      </c>
      <c r="W1834" s="39" t="str">
        <f>IF(AND(B1834&gt;='IN-NX'!$P$3,B1834&lt;='IN-NX'!$Q$3,'IN-NX'!$D$7=D1834,OR(LEFT(L1834,2)="15",AND(LEFT(M1834,2)&lt;&gt;"15",LEFT(M1834,2)&lt;&gt;"33"))),"x","")</f>
        <v/>
      </c>
      <c r="X1834" s="39" t="str">
        <f>IF(AND(OR(LEFT(TH!L1834,2)="15",LEFT(TH!M1834,2)="15"),'152-CT'!$J$8=TH!F1834),"x","")</f>
        <v/>
      </c>
      <c r="Y1834" s="39" t="str">
        <f>IF(AND(OR(LEFT(TH!L1834,2)="15",LEFT(TH!M1834,2)="15"),TK!$E$7=TH!F1834),"x","")</f>
        <v/>
      </c>
      <c r="Z1834" s="39" t="str">
        <f>IF(AND(B1834&lt;=NKC!$N$8,B1834&gt;=NKC!$M$8),"x","")</f>
        <v/>
      </c>
      <c r="AA1834" s="883"/>
    </row>
    <row r="1835" spans="1:27" s="211" customFormat="1" ht="15.75" customHeight="1">
      <c r="A1835" s="204" t="str">
        <f>IF(B1835&lt;&gt;"",IF(AND(B1835&gt;=_TM1,B1835&lt;=_TM2,OR(TH!L1835="1111",TH!M1835="1111")),TH!D1835,""),"")</f>
        <v/>
      </c>
      <c r="B1835" s="36">
        <f t="shared" si="470"/>
        <v>4</v>
      </c>
      <c r="C1835" s="191">
        <f t="shared" si="469"/>
        <v>41380</v>
      </c>
      <c r="D1835" s="37" t="s">
        <v>487</v>
      </c>
      <c r="E1835" s="191">
        <v>41380</v>
      </c>
      <c r="F1835" s="192" t="s">
        <v>838</v>
      </c>
      <c r="G1835" s="487" t="s">
        <v>802</v>
      </c>
      <c r="H1835" s="7" t="s">
        <v>1290</v>
      </c>
      <c r="I1835" s="256">
        <v>1040</v>
      </c>
      <c r="J1835" s="256">
        <v>6391.9182692307695</v>
      </c>
      <c r="K1835" s="602">
        <f t="shared" si="468"/>
        <v>6647595</v>
      </c>
      <c r="L1835" s="39" t="s">
        <v>173</v>
      </c>
      <c r="M1835" s="39" t="s">
        <v>167</v>
      </c>
      <c r="N1835" s="39" t="str">
        <f>IF(AND('331-CT'!$E$7=TH!H1835,OR(L1835="331",M1835="331")),"331",IF(AND(OR(L1835="131",M1835="131"),H1835='131-CT'!$E$7),"131",""))</f>
        <v/>
      </c>
      <c r="O1835" s="39" t="str">
        <f>IF(AND($B1835&gt;='111'!$N$11,$B1835&lt;='111'!$O$11,OR($L1835=$O$7,$M1835=$O$7)),"x","")</f>
        <v/>
      </c>
      <c r="P1835" s="39" t="str">
        <f>IF(AND($L1835=$O$7,$B1835&lt;'111'!$N$11),"x","")</f>
        <v/>
      </c>
      <c r="Q1835" s="39" t="str">
        <f>IF(AND($M1835=$O$7,$B1835&lt;'111'!$N$11),"x","")</f>
        <v/>
      </c>
      <c r="R1835" s="39" t="str">
        <f>IF(ISERROR(FIND('112'!$M$9,G1835,1)),"",IF((AND(FIND('112'!$M$9,G1835,1)&gt;=1,$B1835&gt;='112'!$N$8,$B1835&lt;='112'!$O$8,OR($L1835='112'!$I$6,$M1835='112'!$I$6))),"x",""))</f>
        <v/>
      </c>
      <c r="S1835" s="39" t="str">
        <f>IF(ISERROR(FIND('112'!$M$9,G1835,1)),"",IF((AND(LEFT(G1835,2)=LEFT('112'!$M$9,2),B1835&lt;'112'!$N$8,$L1835='112'!$I$6)),"x",""))</f>
        <v/>
      </c>
      <c r="T1835" s="39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>632</v>
      </c>
      <c r="V1835" s="39" t="str">
        <f>IF(OR(TH!L1835=TH!$V$7,M1835=TH!$V$7),"x","")</f>
        <v/>
      </c>
      <c r="W1835" s="39" t="str">
        <f>IF(AND(B1835&gt;='IN-NX'!$P$3,B1835&lt;='IN-NX'!$Q$3,'IN-NX'!$D$7=D1835,OR(LEFT(L1835,2)="15",AND(LEFT(M1835,2)&lt;&gt;"15",LEFT(M1835,2)&lt;&gt;"33"))),"x","")</f>
        <v/>
      </c>
      <c r="X1835" s="39" t="str">
        <f>IF(AND(OR(LEFT(TH!L1835,2)="15",LEFT(TH!M1835,2)="15"),'152-CT'!$J$8=TH!F1835),"x","")</f>
        <v/>
      </c>
      <c r="Y1835" s="39" t="str">
        <f>IF(AND(OR(LEFT(TH!L1835,2)="15",LEFT(TH!M1835,2)="15"),TK!$E$7=TH!F1835),"x","")</f>
        <v/>
      </c>
      <c r="Z1835" s="39" t="str">
        <f>IF(AND(B1835&lt;=NKC!$N$8,B1835&gt;=NKC!$M$8),"x","")</f>
        <v/>
      </c>
      <c r="AA1835" s="883"/>
    </row>
    <row r="1836" spans="1:27" s="211" customFormat="1" ht="15.75" customHeight="1">
      <c r="A1836" s="204" t="str">
        <f>IF(B1836&lt;&gt;"",IF(AND(B1836&gt;=_TM1,B1836&lt;=_TM2,OR(TH!L1836="1111",TH!M1836="1111")),TH!D1836,""),"")</f>
        <v/>
      </c>
      <c r="B1836" s="36">
        <f t="shared" si="470"/>
        <v>4</v>
      </c>
      <c r="C1836" s="191">
        <f t="shared" si="469"/>
        <v>41381</v>
      </c>
      <c r="D1836" s="37" t="s">
        <v>487</v>
      </c>
      <c r="E1836" s="191">
        <v>41381</v>
      </c>
      <c r="F1836" s="192" t="s">
        <v>739</v>
      </c>
      <c r="G1836" s="487" t="s">
        <v>482</v>
      </c>
      <c r="H1836" s="7" t="s">
        <v>1290</v>
      </c>
      <c r="I1836" s="256">
        <v>670</v>
      </c>
      <c r="J1836" s="256">
        <v>7767.429850746269</v>
      </c>
      <c r="K1836" s="602">
        <f t="shared" ref="K1836:K1899" si="471">ROUND(I1836*J1836,0)</f>
        <v>5204178</v>
      </c>
      <c r="L1836" s="39" t="s">
        <v>173</v>
      </c>
      <c r="M1836" s="39" t="s">
        <v>167</v>
      </c>
      <c r="N1836" s="39" t="str">
        <f>IF(AND('331-CT'!$E$7=TH!H1836,OR(L1836="331",M1836="331")),"331",IF(AND(OR(L1836="131",M1836="131"),H1836='131-CT'!$E$7),"131",""))</f>
        <v/>
      </c>
      <c r="O1836" s="39" t="str">
        <f>IF(AND($B1836&gt;='111'!$N$11,$B1836&lt;='111'!$O$11,OR($L1836=$O$7,$M1836=$O$7)),"x","")</f>
        <v/>
      </c>
      <c r="P1836" s="39" t="str">
        <f>IF(AND($L1836=$O$7,$B1836&lt;'111'!$N$11),"x","")</f>
        <v/>
      </c>
      <c r="Q1836" s="39" t="str">
        <f>IF(AND($M1836=$O$7,$B1836&lt;'111'!$N$11),"x","")</f>
        <v/>
      </c>
      <c r="R1836" s="39" t="str">
        <f>IF(ISERROR(FIND('112'!$M$9,G1836,1)),"",IF((AND(FIND('112'!$M$9,G1836,1)&gt;=1,$B1836&gt;='112'!$N$8,$B1836&lt;='112'!$O$8,OR($L1836='112'!$I$6,$M1836='112'!$I$6))),"x",""))</f>
        <v/>
      </c>
      <c r="S1836" s="39" t="str">
        <f>IF(ISERROR(FIND('112'!$M$9,G1836,1)),"",IF((AND(LEFT(G1836,2)=LEFT('112'!$M$9,2),B1836&lt;'112'!$N$8,$L1836='112'!$I$6)),"x",""))</f>
        <v/>
      </c>
      <c r="T1836" s="39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>632</v>
      </c>
      <c r="V1836" s="39" t="str">
        <f>IF(OR(TH!L1836=TH!$V$7,M1836=TH!$V$7),"x","")</f>
        <v/>
      </c>
      <c r="W1836" s="39" t="str">
        <f>IF(AND(B1836&gt;='IN-NX'!$P$3,B1836&lt;='IN-NX'!$Q$3,'IN-NX'!$D$7=D1836,OR(LEFT(L1836,2)="15",AND(LEFT(M1836,2)&lt;&gt;"15",LEFT(M1836,2)&lt;&gt;"33"))),"x","")</f>
        <v/>
      </c>
      <c r="X1836" s="39" t="str">
        <f>IF(AND(OR(LEFT(TH!L1836,2)="15",LEFT(TH!M1836,2)="15"),'152-CT'!$J$8=TH!F1836),"x","")</f>
        <v/>
      </c>
      <c r="Y1836" s="39" t="str">
        <f>IF(AND(OR(LEFT(TH!L1836,2)="15",LEFT(TH!M1836,2)="15"),TK!$E$7=TH!F1836),"x","")</f>
        <v/>
      </c>
      <c r="Z1836" s="39" t="str">
        <f>IF(AND(B1836&lt;=NKC!$N$8,B1836&gt;=NKC!$M$8),"x","")</f>
        <v/>
      </c>
      <c r="AA1836" s="883"/>
    </row>
    <row r="1837" spans="1:27" s="211" customFormat="1" ht="15.75" customHeight="1">
      <c r="A1837" s="204" t="str">
        <f>IF(B1837&lt;&gt;"",IF(AND(B1837&gt;=_TM1,B1837&lt;=_TM2,OR(TH!L1837="1111",TH!M1837="1111")),TH!D1837,""),"")</f>
        <v/>
      </c>
      <c r="B1837" s="36">
        <f t="shared" si="470"/>
        <v>4</v>
      </c>
      <c r="C1837" s="191">
        <f t="shared" si="469"/>
        <v>41387</v>
      </c>
      <c r="D1837" s="37" t="s">
        <v>487</v>
      </c>
      <c r="E1837" s="191">
        <v>41387</v>
      </c>
      <c r="F1837" s="192" t="s">
        <v>803</v>
      </c>
      <c r="G1837" s="487" t="s">
        <v>804</v>
      </c>
      <c r="H1837" s="7" t="s">
        <v>1290</v>
      </c>
      <c r="I1837" s="256">
        <v>514</v>
      </c>
      <c r="J1837" s="256">
        <v>7971.4416342412451</v>
      </c>
      <c r="K1837" s="602">
        <f t="shared" si="471"/>
        <v>4097321</v>
      </c>
      <c r="L1837" s="39" t="s">
        <v>173</v>
      </c>
      <c r="M1837" s="39" t="s">
        <v>167</v>
      </c>
      <c r="N1837" s="39" t="str">
        <f>IF(AND('331-CT'!$E$7=TH!H1837,OR(L1837="331",M1837="331")),"331",IF(AND(OR(L1837="131",M1837="131"),H1837='131-CT'!$E$7),"131",""))</f>
        <v/>
      </c>
      <c r="O1837" s="39" t="str">
        <f>IF(AND($B1837&gt;='111'!$N$11,$B1837&lt;='111'!$O$11,OR($L1837=$O$7,$M1837=$O$7)),"x","")</f>
        <v/>
      </c>
      <c r="P1837" s="39" t="str">
        <f>IF(AND($L1837=$O$7,$B1837&lt;'111'!$N$11),"x","")</f>
        <v/>
      </c>
      <c r="Q1837" s="39" t="str">
        <f>IF(AND($M1837=$O$7,$B1837&lt;'111'!$N$11),"x","")</f>
        <v/>
      </c>
      <c r="R1837" s="39" t="str">
        <f>IF(ISERROR(FIND('112'!$M$9,G1837,1)),"",IF((AND(FIND('112'!$M$9,G1837,1)&gt;=1,$B1837&gt;='112'!$N$8,$B1837&lt;='112'!$O$8,OR($L1837='112'!$I$6,$M1837='112'!$I$6))),"x",""))</f>
        <v/>
      </c>
      <c r="S1837" s="39" t="str">
        <f>IF(ISERROR(FIND('112'!$M$9,G1837,1)),"",IF((AND(LEFT(G1837,2)=LEFT('112'!$M$9,2),B1837&lt;'112'!$N$8,$L1837='112'!$I$6)),"x",""))</f>
        <v/>
      </c>
      <c r="T1837" s="39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>632</v>
      </c>
      <c r="V1837" s="39" t="str">
        <f>IF(OR(TH!L1837=TH!$V$7,M1837=TH!$V$7),"x","")</f>
        <v/>
      </c>
      <c r="W1837" s="39" t="str">
        <f>IF(AND(B1837&gt;='IN-NX'!$P$3,B1837&lt;='IN-NX'!$Q$3,'IN-NX'!$D$7=D1837,OR(LEFT(L1837,2)="15",AND(LEFT(M1837,2)&lt;&gt;"15",LEFT(M1837,2)&lt;&gt;"33"))),"x","")</f>
        <v/>
      </c>
      <c r="X1837" s="39" t="str">
        <f>IF(AND(OR(LEFT(TH!L1837,2)="15",LEFT(TH!M1837,2)="15"),'152-CT'!$J$8=TH!F1837),"x","")</f>
        <v/>
      </c>
      <c r="Y1837" s="39" t="str">
        <f>IF(AND(OR(LEFT(TH!L1837,2)="15",LEFT(TH!M1837,2)="15"),TK!$E$7=TH!F1837),"x","")</f>
        <v/>
      </c>
      <c r="Z1837" s="39" t="str">
        <f>IF(AND(B1837&lt;=NKC!$N$8,B1837&gt;=NKC!$M$8),"x","")</f>
        <v/>
      </c>
      <c r="AA1837" s="883"/>
    </row>
    <row r="1838" spans="1:27" s="211" customFormat="1" ht="15.75" customHeight="1">
      <c r="A1838" s="204" t="str">
        <f>IF(B1838&lt;&gt;"",IF(AND(B1838&gt;=_TM1,B1838&lt;=_TM2,OR(TH!L1838="1111",TH!M1838="1111")),TH!D1838,""),"")</f>
        <v/>
      </c>
      <c r="B1838" s="36">
        <f t="shared" si="470"/>
        <v>4</v>
      </c>
      <c r="C1838" s="191">
        <f t="shared" si="469"/>
        <v>41387</v>
      </c>
      <c r="D1838" s="37" t="s">
        <v>487</v>
      </c>
      <c r="E1838" s="191">
        <v>41387</v>
      </c>
      <c r="F1838" s="192" t="s">
        <v>806</v>
      </c>
      <c r="G1838" s="487" t="s">
        <v>804</v>
      </c>
      <c r="H1838" s="7" t="s">
        <v>1290</v>
      </c>
      <c r="I1838" s="256">
        <v>520</v>
      </c>
      <c r="J1838" s="256">
        <v>8935.3250000000007</v>
      </c>
      <c r="K1838" s="602">
        <f t="shared" si="471"/>
        <v>4646369</v>
      </c>
      <c r="L1838" s="39" t="s">
        <v>173</v>
      </c>
      <c r="M1838" s="39" t="s">
        <v>167</v>
      </c>
      <c r="N1838" s="39" t="str">
        <f>IF(AND('331-CT'!$E$7=TH!H1838,OR(L1838="331",M1838="331")),"331",IF(AND(OR(L1838="131",M1838="131"),H1838='131-CT'!$E$7),"131",""))</f>
        <v/>
      </c>
      <c r="O1838" s="39" t="str">
        <f>IF(AND($B1838&gt;='111'!$N$11,$B1838&lt;='111'!$O$11,OR($L1838=$O$7,$M1838=$O$7)),"x","")</f>
        <v/>
      </c>
      <c r="P1838" s="39" t="str">
        <f>IF(AND($L1838=$O$7,$B1838&lt;'111'!$N$11),"x","")</f>
        <v/>
      </c>
      <c r="Q1838" s="39" t="str">
        <f>IF(AND($M1838=$O$7,$B1838&lt;'111'!$N$11),"x","")</f>
        <v/>
      </c>
      <c r="R1838" s="39" t="str">
        <f>IF(ISERROR(FIND('112'!$M$9,G1838,1)),"",IF((AND(FIND('112'!$M$9,G1838,1)&gt;=1,$B1838&gt;='112'!$N$8,$B1838&lt;='112'!$O$8,OR($L1838='112'!$I$6,$M1838='112'!$I$6))),"x",""))</f>
        <v/>
      </c>
      <c r="S1838" s="39" t="str">
        <f>IF(ISERROR(FIND('112'!$M$9,G1838,1)),"",IF((AND(LEFT(G1838,2)=LEFT('112'!$M$9,2),B1838&lt;'112'!$N$8,$L1838='112'!$I$6)),"x",""))</f>
        <v/>
      </c>
      <c r="T1838" s="39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>632</v>
      </c>
      <c r="V1838" s="39" t="str">
        <f>IF(OR(TH!L1838=TH!$V$7,M1838=TH!$V$7),"x","")</f>
        <v/>
      </c>
      <c r="W1838" s="39" t="str">
        <f>IF(AND(B1838&gt;='IN-NX'!$P$3,B1838&lt;='IN-NX'!$Q$3,'IN-NX'!$D$7=D1838,OR(LEFT(L1838,2)="15",AND(LEFT(M1838,2)&lt;&gt;"15",LEFT(M1838,2)&lt;&gt;"33"))),"x","")</f>
        <v/>
      </c>
      <c r="X1838" s="39" t="str">
        <f>IF(AND(OR(LEFT(TH!L1838,2)="15",LEFT(TH!M1838,2)="15"),'152-CT'!$J$8=TH!F1838),"x","")</f>
        <v/>
      </c>
      <c r="Y1838" s="39" t="str">
        <f>IF(AND(OR(LEFT(TH!L1838,2)="15",LEFT(TH!M1838,2)="15"),TK!$E$7=TH!F1838),"x","")</f>
        <v/>
      </c>
      <c r="Z1838" s="39" t="str">
        <f>IF(AND(B1838&lt;=NKC!$N$8,B1838&gt;=NKC!$M$8),"x","")</f>
        <v/>
      </c>
      <c r="AA1838" s="883"/>
    </row>
    <row r="1839" spans="1:27" s="211" customFormat="1" ht="15.75" customHeight="1">
      <c r="A1839" s="204" t="str">
        <f>IF(B1839&lt;&gt;"",IF(AND(B1839&gt;=_TM1,B1839&lt;=_TM2,OR(TH!L1839="1111",TH!M1839="1111")),TH!D1839,""),"")</f>
        <v/>
      </c>
      <c r="B1839" s="36">
        <f t="shared" si="470"/>
        <v>4</v>
      </c>
      <c r="C1839" s="191">
        <f t="shared" si="469"/>
        <v>41388</v>
      </c>
      <c r="D1839" s="37" t="s">
        <v>487</v>
      </c>
      <c r="E1839" s="191">
        <v>41388</v>
      </c>
      <c r="F1839" s="192" t="s">
        <v>1139</v>
      </c>
      <c r="G1839" s="487" t="s">
        <v>807</v>
      </c>
      <c r="H1839" s="7" t="s">
        <v>1290</v>
      </c>
      <c r="I1839" s="256">
        <v>100</v>
      </c>
      <c r="J1839" s="256">
        <v>16434.240000000002</v>
      </c>
      <c r="K1839" s="602">
        <f t="shared" si="471"/>
        <v>1643424</v>
      </c>
      <c r="L1839" s="39" t="s">
        <v>173</v>
      </c>
      <c r="M1839" s="39" t="s">
        <v>167</v>
      </c>
      <c r="N1839" s="39" t="str">
        <f>IF(AND('331-CT'!$E$7=TH!H1839,OR(L1839="331",M1839="331")),"331",IF(AND(OR(L1839="131",M1839="131"),H1839='131-CT'!$E$7),"131",""))</f>
        <v/>
      </c>
      <c r="O1839" s="39" t="str">
        <f>IF(AND($B1839&gt;='111'!$N$11,$B1839&lt;='111'!$O$11,OR($L1839=$O$7,$M1839=$O$7)),"x","")</f>
        <v/>
      </c>
      <c r="P1839" s="39" t="str">
        <f>IF(AND($L1839=$O$7,$B1839&lt;'111'!$N$11),"x","")</f>
        <v/>
      </c>
      <c r="Q1839" s="39" t="str">
        <f>IF(AND($M1839=$O$7,$B1839&lt;'111'!$N$11),"x","")</f>
        <v/>
      </c>
      <c r="R1839" s="39" t="str">
        <f>IF(ISERROR(FIND('112'!$M$9,G1839,1)),"",IF((AND(FIND('112'!$M$9,G1839,1)&gt;=1,$B1839&gt;='112'!$N$8,$B1839&lt;='112'!$O$8,OR($L1839='112'!$I$6,$M1839='112'!$I$6))),"x",""))</f>
        <v/>
      </c>
      <c r="S1839" s="39" t="str">
        <f>IF(ISERROR(FIND('112'!$M$9,G1839,1)),"",IF((AND(LEFT(G1839,2)=LEFT('112'!$M$9,2),B1839&lt;'112'!$N$8,$L1839='112'!$I$6)),"x",""))</f>
        <v/>
      </c>
      <c r="T1839" s="39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>632</v>
      </c>
      <c r="V1839" s="39" t="str">
        <f>IF(OR(TH!L1839=TH!$V$7,M1839=TH!$V$7),"x","")</f>
        <v/>
      </c>
      <c r="W1839" s="39" t="str">
        <f>IF(AND(B1839&gt;='IN-NX'!$P$3,B1839&lt;='IN-NX'!$Q$3,'IN-NX'!$D$7=D1839,OR(LEFT(L1839,2)="15",AND(LEFT(M1839,2)&lt;&gt;"15",LEFT(M1839,2)&lt;&gt;"33"))),"x","")</f>
        <v/>
      </c>
      <c r="X1839" s="39" t="str">
        <f>IF(AND(OR(LEFT(TH!L1839,2)="15",LEFT(TH!M1839,2)="15"),'152-CT'!$J$8=TH!F1839),"x","")</f>
        <v/>
      </c>
      <c r="Y1839" s="39" t="str">
        <f>IF(AND(OR(LEFT(TH!L1839,2)="15",LEFT(TH!M1839,2)="15"),TK!$E$7=TH!F1839),"x","")</f>
        <v/>
      </c>
      <c r="Z1839" s="39" t="str">
        <f>IF(AND(B1839&lt;=NKC!$N$8,B1839&gt;=NKC!$M$8),"x","")</f>
        <v/>
      </c>
      <c r="AA1839" s="883"/>
    </row>
    <row r="1840" spans="1:27" s="211" customFormat="1" ht="15.75" customHeight="1">
      <c r="A1840" s="204" t="str">
        <f>IF(B1840&lt;&gt;"",IF(AND(B1840&gt;=_TM1,B1840&lt;=_TM2,OR(TH!L1840="1111",TH!M1840="1111")),TH!D1840,""),"")</f>
        <v/>
      </c>
      <c r="B1840" s="36">
        <f t="shared" si="470"/>
        <v>4</v>
      </c>
      <c r="C1840" s="191">
        <f t="shared" si="469"/>
        <v>41388</v>
      </c>
      <c r="D1840" s="37" t="s">
        <v>487</v>
      </c>
      <c r="E1840" s="191">
        <v>41388</v>
      </c>
      <c r="F1840" s="192" t="s">
        <v>1145</v>
      </c>
      <c r="G1840" s="487" t="s">
        <v>807</v>
      </c>
      <c r="H1840" s="7" t="s">
        <v>1290</v>
      </c>
      <c r="I1840" s="256">
        <v>99</v>
      </c>
      <c r="J1840" s="256">
        <v>14861.232323232323</v>
      </c>
      <c r="K1840" s="602">
        <f t="shared" si="471"/>
        <v>1471262</v>
      </c>
      <c r="L1840" s="39" t="s">
        <v>173</v>
      </c>
      <c r="M1840" s="39" t="s">
        <v>167</v>
      </c>
      <c r="N1840" s="39" t="str">
        <f>IF(AND('331-CT'!$E$7=TH!H1840,OR(L1840="331",M1840="331")),"331",IF(AND(OR(L1840="131",M1840="131"),H1840='131-CT'!$E$7),"131",""))</f>
        <v/>
      </c>
      <c r="O1840" s="39" t="str">
        <f>IF(AND($B1840&gt;='111'!$N$11,$B1840&lt;='111'!$O$11,OR($L1840=$O$7,$M1840=$O$7)),"x","")</f>
        <v/>
      </c>
      <c r="P1840" s="39" t="str">
        <f>IF(AND($L1840=$O$7,$B1840&lt;'111'!$N$11),"x","")</f>
        <v/>
      </c>
      <c r="Q1840" s="39" t="str">
        <f>IF(AND($M1840=$O$7,$B1840&lt;'111'!$N$11),"x","")</f>
        <v/>
      </c>
      <c r="R1840" s="39" t="str">
        <f>IF(ISERROR(FIND('112'!$M$9,G1840,1)),"",IF((AND(FIND('112'!$M$9,G1840,1)&gt;=1,$B1840&gt;='112'!$N$8,$B1840&lt;='112'!$O$8,OR($L1840='112'!$I$6,$M1840='112'!$I$6))),"x",""))</f>
        <v/>
      </c>
      <c r="S1840" s="39" t="str">
        <f>IF(ISERROR(FIND('112'!$M$9,G1840,1)),"",IF((AND(LEFT(G1840,2)=LEFT('112'!$M$9,2),B1840&lt;'112'!$N$8,$L1840='112'!$I$6)),"x",""))</f>
        <v/>
      </c>
      <c r="T1840" s="39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>632</v>
      </c>
      <c r="V1840" s="39" t="str">
        <f>IF(OR(TH!L1840=TH!$V$7,M1840=TH!$V$7),"x","")</f>
        <v/>
      </c>
      <c r="W1840" s="39" t="str">
        <f>IF(AND(B1840&gt;='IN-NX'!$P$3,B1840&lt;='IN-NX'!$Q$3,'IN-NX'!$D$7=D1840,OR(LEFT(L1840,2)="15",AND(LEFT(M1840,2)&lt;&gt;"15",LEFT(M1840,2)&lt;&gt;"33"))),"x","")</f>
        <v/>
      </c>
      <c r="X1840" s="39" t="str">
        <f>IF(AND(OR(LEFT(TH!L1840,2)="15",LEFT(TH!M1840,2)="15"),'152-CT'!$J$8=TH!F1840),"x","")</f>
        <v/>
      </c>
      <c r="Y1840" s="39" t="str">
        <f>IF(AND(OR(LEFT(TH!L1840,2)="15",LEFT(TH!M1840,2)="15"),TK!$E$7=TH!F1840),"x","")</f>
        <v/>
      </c>
      <c r="Z1840" s="39" t="str">
        <f>IF(AND(B1840&lt;=NKC!$N$8,B1840&gt;=NKC!$M$8),"x","")</f>
        <v/>
      </c>
      <c r="AA1840" s="883"/>
    </row>
    <row r="1841" spans="1:27" s="211" customFormat="1" ht="15.75" customHeight="1">
      <c r="A1841" s="204" t="str">
        <f>IF(B1841&lt;&gt;"",IF(AND(B1841&gt;=_TM1,B1841&lt;=_TM2,OR(TH!L1841="1111",TH!M1841="1111")),TH!D1841,""),"")</f>
        <v/>
      </c>
      <c r="B1841" s="36">
        <f t="shared" si="470"/>
        <v>4</v>
      </c>
      <c r="C1841" s="191">
        <f t="shared" si="469"/>
        <v>41388</v>
      </c>
      <c r="D1841" s="37" t="s">
        <v>487</v>
      </c>
      <c r="E1841" s="191">
        <v>41388</v>
      </c>
      <c r="F1841" s="192" t="s">
        <v>808</v>
      </c>
      <c r="G1841" s="487" t="s">
        <v>809</v>
      </c>
      <c r="H1841" s="7" t="s">
        <v>1290</v>
      </c>
      <c r="I1841" s="256">
        <v>200</v>
      </c>
      <c r="J1841" s="256">
        <v>5954.2349999999997</v>
      </c>
      <c r="K1841" s="602">
        <f t="shared" si="471"/>
        <v>1190847</v>
      </c>
      <c r="L1841" s="39" t="s">
        <v>173</v>
      </c>
      <c r="M1841" s="39" t="s">
        <v>167</v>
      </c>
      <c r="N1841" s="39" t="str">
        <f>IF(AND('331-CT'!$E$7=TH!H1841,OR(L1841="331",M1841="331")),"331",IF(AND(OR(L1841="131",M1841="131"),H1841='131-CT'!$E$7),"131",""))</f>
        <v/>
      </c>
      <c r="O1841" s="39" t="str">
        <f>IF(AND($B1841&gt;='111'!$N$11,$B1841&lt;='111'!$O$11,OR($L1841=$O$7,$M1841=$O$7)),"x","")</f>
        <v/>
      </c>
      <c r="P1841" s="39" t="str">
        <f>IF(AND($L1841=$O$7,$B1841&lt;'111'!$N$11),"x","")</f>
        <v/>
      </c>
      <c r="Q1841" s="39" t="str">
        <f>IF(AND($M1841=$O$7,$B1841&lt;'111'!$N$11),"x","")</f>
        <v/>
      </c>
      <c r="R1841" s="39" t="str">
        <f>IF(ISERROR(FIND('112'!$M$9,G1841,1)),"",IF((AND(FIND('112'!$M$9,G1841,1)&gt;=1,$B1841&gt;='112'!$N$8,$B1841&lt;='112'!$O$8,OR($L1841='112'!$I$6,$M1841='112'!$I$6))),"x",""))</f>
        <v/>
      </c>
      <c r="S1841" s="39" t="str">
        <f>IF(ISERROR(FIND('112'!$M$9,G1841,1)),"",IF((AND(LEFT(G1841,2)=LEFT('112'!$M$9,2),B1841&lt;'112'!$N$8,$L1841='112'!$I$6)),"x",""))</f>
        <v/>
      </c>
      <c r="T1841" s="39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>632</v>
      </c>
      <c r="V1841" s="39" t="str">
        <f>IF(OR(TH!L1841=TH!$V$7,M1841=TH!$V$7),"x","")</f>
        <v/>
      </c>
      <c r="W1841" s="39" t="str">
        <f>IF(AND(B1841&gt;='IN-NX'!$P$3,B1841&lt;='IN-NX'!$Q$3,'IN-NX'!$D$7=D1841,OR(LEFT(L1841,2)="15",AND(LEFT(M1841,2)&lt;&gt;"15",LEFT(M1841,2)&lt;&gt;"33"))),"x","")</f>
        <v/>
      </c>
      <c r="X1841" s="39" t="str">
        <f>IF(AND(OR(LEFT(TH!L1841,2)="15",LEFT(TH!M1841,2)="15"),'152-CT'!$J$8=TH!F1841),"x","")</f>
        <v/>
      </c>
      <c r="Y1841" s="39" t="str">
        <f>IF(AND(OR(LEFT(TH!L1841,2)="15",LEFT(TH!M1841,2)="15"),TK!$E$7=TH!F1841),"x","")</f>
        <v/>
      </c>
      <c r="Z1841" s="39" t="str">
        <f>IF(AND(B1841&lt;=NKC!$N$8,B1841&gt;=NKC!$M$8),"x","")</f>
        <v/>
      </c>
      <c r="AA1841" s="883"/>
    </row>
    <row r="1842" spans="1:27" s="211" customFormat="1" ht="15.75" customHeight="1">
      <c r="A1842" s="204" t="str">
        <f>IF(B1842&lt;&gt;"",IF(AND(B1842&gt;=_TM1,B1842&lt;=_TM2,OR(TH!L1842="1111",TH!M1842="1111")),TH!D1842,""),"")</f>
        <v/>
      </c>
      <c r="B1842" s="36">
        <f t="shared" si="470"/>
        <v>4</v>
      </c>
      <c r="C1842" s="191">
        <f t="shared" si="469"/>
        <v>41388</v>
      </c>
      <c r="D1842" s="37" t="s">
        <v>487</v>
      </c>
      <c r="E1842" s="191">
        <v>41388</v>
      </c>
      <c r="F1842" s="192" t="s">
        <v>810</v>
      </c>
      <c r="G1842" s="487" t="s">
        <v>809</v>
      </c>
      <c r="H1842" s="7" t="s">
        <v>1290</v>
      </c>
      <c r="I1842" s="256">
        <v>204</v>
      </c>
      <c r="J1842" s="256">
        <v>5033.1960784313724</v>
      </c>
      <c r="K1842" s="602">
        <f t="shared" si="471"/>
        <v>1026772</v>
      </c>
      <c r="L1842" s="39" t="s">
        <v>173</v>
      </c>
      <c r="M1842" s="39" t="s">
        <v>167</v>
      </c>
      <c r="N1842" s="39" t="str">
        <f>IF(AND('331-CT'!$E$7=TH!H1842,OR(L1842="331",M1842="331")),"331",IF(AND(OR(L1842="131",M1842="131"),H1842='131-CT'!$E$7),"131",""))</f>
        <v/>
      </c>
      <c r="O1842" s="39" t="str">
        <f>IF(AND($B1842&gt;='111'!$N$11,$B1842&lt;='111'!$O$11,OR($L1842=$O$7,$M1842=$O$7)),"x","")</f>
        <v/>
      </c>
      <c r="P1842" s="39" t="str">
        <f>IF(AND($L1842=$O$7,$B1842&lt;'111'!$N$11),"x","")</f>
        <v/>
      </c>
      <c r="Q1842" s="39" t="str">
        <f>IF(AND($M1842=$O$7,$B1842&lt;'111'!$N$11),"x","")</f>
        <v/>
      </c>
      <c r="R1842" s="39" t="str">
        <f>IF(ISERROR(FIND('112'!$M$9,G1842,1)),"",IF((AND(FIND('112'!$M$9,G1842,1)&gt;=1,$B1842&gt;='112'!$N$8,$B1842&lt;='112'!$O$8,OR($L1842='112'!$I$6,$M1842='112'!$I$6))),"x",""))</f>
        <v/>
      </c>
      <c r="S1842" s="39" t="str">
        <f>IF(ISERROR(FIND('112'!$M$9,G1842,1)),"",IF((AND(LEFT(G1842,2)=LEFT('112'!$M$9,2),B1842&lt;'112'!$N$8,$L1842='112'!$I$6)),"x",""))</f>
        <v/>
      </c>
      <c r="T1842" s="39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>632</v>
      </c>
      <c r="V1842" s="39" t="str">
        <f>IF(OR(TH!L1842=TH!$V$7,M1842=TH!$V$7),"x","")</f>
        <v/>
      </c>
      <c r="W1842" s="39" t="str">
        <f>IF(AND(B1842&gt;='IN-NX'!$P$3,B1842&lt;='IN-NX'!$Q$3,'IN-NX'!$D$7=D1842,OR(LEFT(L1842,2)="15",AND(LEFT(M1842,2)&lt;&gt;"15",LEFT(M1842,2)&lt;&gt;"33"))),"x","")</f>
        <v/>
      </c>
      <c r="X1842" s="39" t="str">
        <f>IF(AND(OR(LEFT(TH!L1842,2)="15",LEFT(TH!M1842,2)="15"),'152-CT'!$J$8=TH!F1842),"x","")</f>
        <v/>
      </c>
      <c r="Y1842" s="39" t="str">
        <f>IF(AND(OR(LEFT(TH!L1842,2)="15",LEFT(TH!M1842,2)="15"),TK!$E$7=TH!F1842),"x","")</f>
        <v/>
      </c>
      <c r="Z1842" s="39" t="str">
        <f>IF(AND(B1842&lt;=NKC!$N$8,B1842&gt;=NKC!$M$8),"x","")</f>
        <v/>
      </c>
      <c r="AA1842" s="883"/>
    </row>
    <row r="1843" spans="1:27" s="211" customFormat="1" ht="15.75" customHeight="1">
      <c r="A1843" s="204" t="str">
        <f>IF(B1843&lt;&gt;"",IF(AND(B1843&gt;=_TM1,B1843&lt;=_TM2,OR(TH!L1843="1111",TH!M1843="1111")),TH!D1843,""),"")</f>
        <v/>
      </c>
      <c r="B1843" s="36">
        <f t="shared" si="470"/>
        <v>4</v>
      </c>
      <c r="C1843" s="191">
        <f t="shared" si="469"/>
        <v>41389</v>
      </c>
      <c r="D1843" s="37" t="s">
        <v>487</v>
      </c>
      <c r="E1843" s="191">
        <v>41389</v>
      </c>
      <c r="F1843" s="192" t="s">
        <v>1135</v>
      </c>
      <c r="G1843" s="487" t="s">
        <v>811</v>
      </c>
      <c r="H1843" s="7" t="s">
        <v>1290</v>
      </c>
      <c r="I1843" s="256">
        <v>4080</v>
      </c>
      <c r="J1843" s="256">
        <v>5867.7507352941175</v>
      </c>
      <c r="K1843" s="602">
        <f t="shared" si="471"/>
        <v>23940423</v>
      </c>
      <c r="L1843" s="39" t="s">
        <v>173</v>
      </c>
      <c r="M1843" s="39" t="s">
        <v>167</v>
      </c>
      <c r="N1843" s="39" t="str">
        <f>IF(AND('331-CT'!$E$7=TH!H1843,OR(L1843="331",M1843="331")),"331",IF(AND(OR(L1843="131",M1843="131"),H1843='131-CT'!$E$7),"131",""))</f>
        <v/>
      </c>
      <c r="O1843" s="39" t="str">
        <f>IF(AND($B1843&gt;='111'!$N$11,$B1843&lt;='111'!$O$11,OR($L1843=$O$7,$M1843=$O$7)),"x","")</f>
        <v/>
      </c>
      <c r="P1843" s="39" t="str">
        <f>IF(AND($L1843=$O$7,$B1843&lt;'111'!$N$11),"x","")</f>
        <v/>
      </c>
      <c r="Q1843" s="39" t="str">
        <f>IF(AND($M1843=$O$7,$B1843&lt;'111'!$N$11),"x","")</f>
        <v/>
      </c>
      <c r="R1843" s="39" t="str">
        <f>IF(ISERROR(FIND('112'!$M$9,G1843,1)),"",IF((AND(FIND('112'!$M$9,G1843,1)&gt;=1,$B1843&gt;='112'!$N$8,$B1843&lt;='112'!$O$8,OR($L1843='112'!$I$6,$M1843='112'!$I$6))),"x",""))</f>
        <v/>
      </c>
      <c r="S1843" s="39" t="str">
        <f>IF(ISERROR(FIND('112'!$M$9,G1843,1)),"",IF((AND(LEFT(G1843,2)=LEFT('112'!$M$9,2),B1843&lt;'112'!$N$8,$L1843='112'!$I$6)),"x",""))</f>
        <v/>
      </c>
      <c r="T1843" s="39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>632</v>
      </c>
      <c r="V1843" s="39" t="str">
        <f>IF(OR(TH!L1843=TH!$V$7,M1843=TH!$V$7),"x","")</f>
        <v/>
      </c>
      <c r="W1843" s="39" t="str">
        <f>IF(AND(B1843&gt;='IN-NX'!$P$3,B1843&lt;='IN-NX'!$Q$3,'IN-NX'!$D$7=D1843,OR(LEFT(L1843,2)="15",AND(LEFT(M1843,2)&lt;&gt;"15",LEFT(M1843,2)&lt;&gt;"33"))),"x","")</f>
        <v/>
      </c>
      <c r="X1843" s="39" t="str">
        <f>IF(AND(OR(LEFT(TH!L1843,2)="15",LEFT(TH!M1843,2)="15"),'152-CT'!$J$8=TH!F1843),"x","")</f>
        <v/>
      </c>
      <c r="Y1843" s="39" t="str">
        <f>IF(AND(OR(LEFT(TH!L1843,2)="15",LEFT(TH!M1843,2)="15"),TK!$E$7=TH!F1843),"x","")</f>
        <v/>
      </c>
      <c r="Z1843" s="39" t="str">
        <f>IF(AND(B1843&lt;=NKC!$N$8,B1843&gt;=NKC!$M$8),"x","")</f>
        <v/>
      </c>
      <c r="AA1843" s="883"/>
    </row>
    <row r="1844" spans="1:27" s="211" customFormat="1" ht="15.75" customHeight="1">
      <c r="A1844" s="204" t="str">
        <f>IF(B1844&lt;&gt;"",IF(AND(B1844&gt;=_TM1,B1844&lt;=_TM2,OR(TH!L1844="1111",TH!M1844="1111")),TH!D1844,""),"")</f>
        <v/>
      </c>
      <c r="B1844" s="36">
        <f t="shared" si="470"/>
        <v>4</v>
      </c>
      <c r="C1844" s="191">
        <f t="shared" si="469"/>
        <v>41391</v>
      </c>
      <c r="D1844" s="37" t="s">
        <v>487</v>
      </c>
      <c r="E1844" s="191">
        <v>41391</v>
      </c>
      <c r="F1844" s="192" t="s">
        <v>812</v>
      </c>
      <c r="G1844" s="487" t="s">
        <v>813</v>
      </c>
      <c r="H1844" s="7" t="s">
        <v>1290</v>
      </c>
      <c r="I1844" s="256">
        <v>310</v>
      </c>
      <c r="J1844" s="256">
        <v>10033.977419354838</v>
      </c>
      <c r="K1844" s="602">
        <f t="shared" si="471"/>
        <v>3110533</v>
      </c>
      <c r="L1844" s="39" t="s">
        <v>173</v>
      </c>
      <c r="M1844" s="39" t="s">
        <v>167</v>
      </c>
      <c r="N1844" s="39" t="str">
        <f>IF(AND('331-CT'!$E$7=TH!H1844,OR(L1844="331",M1844="331")),"331",IF(AND(OR(L1844="131",M1844="131"),H1844='131-CT'!$E$7),"131",""))</f>
        <v/>
      </c>
      <c r="O1844" s="39" t="str">
        <f>IF(AND($B1844&gt;='111'!$N$11,$B1844&lt;='111'!$O$11,OR($L1844=$O$7,$M1844=$O$7)),"x","")</f>
        <v/>
      </c>
      <c r="P1844" s="39" t="str">
        <f>IF(AND($L1844=$O$7,$B1844&lt;'111'!$N$11),"x","")</f>
        <v/>
      </c>
      <c r="Q1844" s="39" t="str">
        <f>IF(AND($M1844=$O$7,$B1844&lt;'111'!$N$11),"x","")</f>
        <v/>
      </c>
      <c r="R1844" s="39" t="str">
        <f>IF(ISERROR(FIND('112'!$M$9,G1844,1)),"",IF((AND(FIND('112'!$M$9,G1844,1)&gt;=1,$B1844&gt;='112'!$N$8,$B1844&lt;='112'!$O$8,OR($L1844='112'!$I$6,$M1844='112'!$I$6))),"x",""))</f>
        <v/>
      </c>
      <c r="S1844" s="39" t="str">
        <f>IF(ISERROR(FIND('112'!$M$9,G1844,1)),"",IF((AND(LEFT(G1844,2)=LEFT('112'!$M$9,2),B1844&lt;'112'!$N$8,$L1844='112'!$I$6)),"x",""))</f>
        <v/>
      </c>
      <c r="T1844" s="39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>632</v>
      </c>
      <c r="V1844" s="39" t="str">
        <f>IF(OR(TH!L1844=TH!$V$7,M1844=TH!$V$7),"x","")</f>
        <v/>
      </c>
      <c r="W1844" s="39" t="str">
        <f>IF(AND(B1844&gt;='IN-NX'!$P$3,B1844&lt;='IN-NX'!$Q$3,'IN-NX'!$D$7=D1844,OR(LEFT(L1844,2)="15",AND(LEFT(M1844,2)&lt;&gt;"15",LEFT(M1844,2)&lt;&gt;"33"))),"x","")</f>
        <v/>
      </c>
      <c r="X1844" s="39" t="str">
        <f>IF(AND(OR(LEFT(TH!L1844,2)="15",LEFT(TH!M1844,2)="15"),'152-CT'!$J$8=TH!F1844),"x","")</f>
        <v/>
      </c>
      <c r="Y1844" s="39" t="str">
        <f>IF(AND(OR(LEFT(TH!L1844,2)="15",LEFT(TH!M1844,2)="15"),TK!$E$7=TH!F1844),"x","")</f>
        <v/>
      </c>
      <c r="Z1844" s="39" t="str">
        <f>IF(AND(B1844&lt;=NKC!$N$8,B1844&gt;=NKC!$M$8),"x","")</f>
        <v/>
      </c>
      <c r="AA1844" s="883"/>
    </row>
    <row r="1845" spans="1:27" s="211" customFormat="1" ht="15.75" customHeight="1">
      <c r="A1845" s="204" t="str">
        <f>IF(B1845&lt;&gt;"",IF(AND(B1845&gt;=_TM1,B1845&lt;=_TM2,OR(TH!L1845="1111",TH!M1845="1111")),TH!D1845,""),"")</f>
        <v/>
      </c>
      <c r="B1845" s="36">
        <f t="shared" si="470"/>
        <v>4</v>
      </c>
      <c r="C1845" s="191">
        <f t="shared" si="469"/>
        <v>41391</v>
      </c>
      <c r="D1845" s="37" t="s">
        <v>487</v>
      </c>
      <c r="E1845" s="191">
        <v>41391</v>
      </c>
      <c r="F1845" s="192" t="s">
        <v>814</v>
      </c>
      <c r="G1845" s="487" t="s">
        <v>813</v>
      </c>
      <c r="H1845" s="7" t="s">
        <v>1290</v>
      </c>
      <c r="I1845" s="256">
        <v>225</v>
      </c>
      <c r="J1845" s="256">
        <v>7983.0622222222219</v>
      </c>
      <c r="K1845" s="602">
        <f t="shared" si="471"/>
        <v>1796189</v>
      </c>
      <c r="L1845" s="39" t="s">
        <v>173</v>
      </c>
      <c r="M1845" s="39" t="s">
        <v>167</v>
      </c>
      <c r="N1845" s="39" t="str">
        <f>IF(AND('331-CT'!$E$7=TH!H1845,OR(L1845="331",M1845="331")),"331",IF(AND(OR(L1845="131",M1845="131"),H1845='131-CT'!$E$7),"131",""))</f>
        <v/>
      </c>
      <c r="O1845" s="39" t="str">
        <f>IF(AND($B1845&gt;='111'!$N$11,$B1845&lt;='111'!$O$11,OR($L1845=$O$7,$M1845=$O$7)),"x","")</f>
        <v/>
      </c>
      <c r="P1845" s="39" t="str">
        <f>IF(AND($L1845=$O$7,$B1845&lt;'111'!$N$11),"x","")</f>
        <v/>
      </c>
      <c r="Q1845" s="39" t="str">
        <f>IF(AND($M1845=$O$7,$B1845&lt;'111'!$N$11),"x","")</f>
        <v/>
      </c>
      <c r="R1845" s="39" t="str">
        <f>IF(ISERROR(FIND('112'!$M$9,G1845,1)),"",IF((AND(FIND('112'!$M$9,G1845,1)&gt;=1,$B1845&gt;='112'!$N$8,$B1845&lt;='112'!$O$8,OR($L1845='112'!$I$6,$M1845='112'!$I$6))),"x",""))</f>
        <v/>
      </c>
      <c r="S1845" s="39" t="str">
        <f>IF(ISERROR(FIND('112'!$M$9,G1845,1)),"",IF((AND(LEFT(G1845,2)=LEFT('112'!$M$9,2),B1845&lt;'112'!$N$8,$L1845='112'!$I$6)),"x",""))</f>
        <v/>
      </c>
      <c r="T1845" s="39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632</v>
      </c>
      <c r="V1845" s="39" t="str">
        <f>IF(OR(TH!L1845=TH!$V$7,M1845=TH!$V$7),"x","")</f>
        <v/>
      </c>
      <c r="W1845" s="39" t="str">
        <f>IF(AND(B1845&gt;='IN-NX'!$P$3,B1845&lt;='IN-NX'!$Q$3,'IN-NX'!$D$7=D1845,OR(LEFT(L1845,2)="15",AND(LEFT(M1845,2)&lt;&gt;"15",LEFT(M1845,2)&lt;&gt;"33"))),"x","")</f>
        <v/>
      </c>
      <c r="X1845" s="39" t="str">
        <f>IF(AND(OR(LEFT(TH!L1845,2)="15",LEFT(TH!M1845,2)="15"),'152-CT'!$J$8=TH!F1845),"x","")</f>
        <v/>
      </c>
      <c r="Y1845" s="39" t="str">
        <f>IF(AND(OR(LEFT(TH!L1845,2)="15",LEFT(TH!M1845,2)="15"),TK!$E$7=TH!F1845),"x","")</f>
        <v/>
      </c>
      <c r="Z1845" s="39" t="str">
        <f>IF(AND(B1845&lt;=NKC!$N$8,B1845&gt;=NKC!$M$8),"x","")</f>
        <v/>
      </c>
      <c r="AA1845" s="883"/>
    </row>
    <row r="1846" spans="1:27" s="211" customFormat="1" ht="15.75" customHeight="1">
      <c r="A1846" s="204" t="str">
        <f>IF(B1846&lt;&gt;"",IF(AND(B1846&gt;=_TM1,B1846&lt;=_TM2,OR(TH!L1846="1111",TH!M1846="1111")),TH!D1846,""),"")</f>
        <v/>
      </c>
      <c r="B1846" s="36">
        <f t="shared" si="470"/>
        <v>5</v>
      </c>
      <c r="C1846" s="191">
        <f t="shared" si="469"/>
        <v>41400</v>
      </c>
      <c r="D1846" s="37" t="s">
        <v>487</v>
      </c>
      <c r="E1846" s="191">
        <v>41400</v>
      </c>
      <c r="F1846" s="192" t="s">
        <v>815</v>
      </c>
      <c r="G1846" s="487" t="s">
        <v>816</v>
      </c>
      <c r="H1846" s="7" t="s">
        <v>1290</v>
      </c>
      <c r="I1846" s="256">
        <v>514</v>
      </c>
      <c r="J1846" s="256">
        <v>17050.9766536965</v>
      </c>
      <c r="K1846" s="602">
        <f t="shared" si="471"/>
        <v>8764202</v>
      </c>
      <c r="L1846" s="39" t="s">
        <v>173</v>
      </c>
      <c r="M1846" s="39" t="s">
        <v>167</v>
      </c>
      <c r="N1846" s="39" t="str">
        <f>IF(AND('331-CT'!$E$7=TH!H1846,OR(L1846="331",M1846="331")),"331",IF(AND(OR(L1846="131",M1846="131"),H1846='131-CT'!$E$7),"131",""))</f>
        <v/>
      </c>
      <c r="O1846" s="39" t="str">
        <f>IF(AND($B1846&gt;='111'!$N$11,$B1846&lt;='111'!$O$11,OR($L1846=$O$7,$M1846=$O$7)),"x","")</f>
        <v/>
      </c>
      <c r="P1846" s="39" t="str">
        <f>IF(AND($L1846=$O$7,$B1846&lt;'111'!$N$11),"x","")</f>
        <v/>
      </c>
      <c r="Q1846" s="39" t="str">
        <f>IF(AND($M1846=$O$7,$B1846&lt;'111'!$N$11),"x","")</f>
        <v/>
      </c>
      <c r="R1846" s="39" t="str">
        <f>IF(ISERROR(FIND('112'!$M$9,G1846,1)),"",IF((AND(FIND('112'!$M$9,G1846,1)&gt;=1,$B1846&gt;='112'!$N$8,$B1846&lt;='112'!$O$8,OR($L1846='112'!$I$6,$M1846='112'!$I$6))),"x",""))</f>
        <v/>
      </c>
      <c r="S1846" s="39" t="str">
        <f>IF(ISERROR(FIND('112'!$M$9,G1846,1)),"",IF((AND(LEFT(G1846,2)=LEFT('112'!$M$9,2),B1846&lt;'112'!$N$8,$L1846='112'!$I$6)),"x",""))</f>
        <v/>
      </c>
      <c r="T1846" s="39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>632</v>
      </c>
      <c r="V1846" s="39" t="str">
        <f>IF(OR(TH!L1846=TH!$V$7,M1846=TH!$V$7),"x","")</f>
        <v/>
      </c>
      <c r="W1846" s="39" t="str">
        <f>IF(AND(B1846&gt;='IN-NX'!$P$3,B1846&lt;='IN-NX'!$Q$3,'IN-NX'!$D$7=D1846,OR(LEFT(L1846,2)="15",AND(LEFT(M1846,2)&lt;&gt;"15",LEFT(M1846,2)&lt;&gt;"33"))),"x","")</f>
        <v/>
      </c>
      <c r="X1846" s="39" t="str">
        <f>IF(AND(OR(LEFT(TH!L1846,2)="15",LEFT(TH!M1846,2)="15"),'152-CT'!$J$8=TH!F1846),"x","")</f>
        <v/>
      </c>
      <c r="Y1846" s="39" t="str">
        <f>IF(AND(OR(LEFT(TH!L1846,2)="15",LEFT(TH!M1846,2)="15"),TK!$E$7=TH!F1846),"x","")</f>
        <v/>
      </c>
      <c r="Z1846" s="39" t="str">
        <f>IF(AND(B1846&lt;=NKC!$N$8,B1846&gt;=NKC!$M$8),"x","")</f>
        <v/>
      </c>
      <c r="AA1846" s="883"/>
    </row>
    <row r="1847" spans="1:27" s="211" customFormat="1" ht="15.75" customHeight="1">
      <c r="A1847" s="204" t="str">
        <f>IF(B1847&lt;&gt;"",IF(AND(B1847&gt;=_TM1,B1847&lt;=_TM2,OR(TH!L1847="1111",TH!M1847="1111")),TH!D1847,""),"")</f>
        <v/>
      </c>
      <c r="B1847" s="36">
        <f t="shared" si="470"/>
        <v>5</v>
      </c>
      <c r="C1847" s="191">
        <f t="shared" si="469"/>
        <v>41400</v>
      </c>
      <c r="D1847" s="37" t="s">
        <v>487</v>
      </c>
      <c r="E1847" s="37">
        <v>41400</v>
      </c>
      <c r="F1847" s="40" t="s">
        <v>817</v>
      </c>
      <c r="G1847" s="40" t="s">
        <v>816</v>
      </c>
      <c r="H1847" s="7" t="s">
        <v>1290</v>
      </c>
      <c r="I1847" s="256">
        <v>1000</v>
      </c>
      <c r="J1847" s="256">
        <v>1049.252</v>
      </c>
      <c r="K1847" s="602">
        <f t="shared" si="471"/>
        <v>1049252</v>
      </c>
      <c r="L1847" s="39" t="s">
        <v>173</v>
      </c>
      <c r="M1847" s="39" t="s">
        <v>167</v>
      </c>
      <c r="N1847" s="39" t="str">
        <f>IF(AND('331-CT'!$E$7=TH!H1847,OR(L1847="331",M1847="331")),"331",IF(AND(OR(L1847="131",M1847="131"),H1847='131-CT'!$E$7),"131",""))</f>
        <v/>
      </c>
      <c r="O1847" s="39" t="str">
        <f>IF(AND($B1847&gt;='111'!$N$11,$B1847&lt;='111'!$O$11,OR($L1847=$O$7,$M1847=$O$7)),"x","")</f>
        <v/>
      </c>
      <c r="P1847" s="39" t="str">
        <f>IF(AND($L1847=$O$7,$B1847&lt;'111'!$N$11),"x","")</f>
        <v/>
      </c>
      <c r="Q1847" s="39" t="str">
        <f>IF(AND($M1847=$O$7,$B1847&lt;'111'!$N$11),"x","")</f>
        <v/>
      </c>
      <c r="R1847" s="39" t="str">
        <f>IF(ISERROR(FIND('112'!$M$9,G1847,1)),"",IF((AND(FIND('112'!$M$9,G1847,1)&gt;=1,$B1847&gt;='112'!$N$8,$B1847&lt;='112'!$O$8,OR($L1847='112'!$I$6,$M1847='112'!$I$6))),"x",""))</f>
        <v/>
      </c>
      <c r="S1847" s="39" t="str">
        <f>IF(ISERROR(FIND('112'!$M$9,G1847,1)),"",IF((AND(LEFT(G1847,2)=LEFT('112'!$M$9,2),B1847&lt;'112'!$N$8,$L1847='112'!$I$6)),"x",""))</f>
        <v/>
      </c>
      <c r="T1847" s="39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>632</v>
      </c>
      <c r="V1847" s="39" t="str">
        <f>IF(OR(TH!L1847=TH!$V$7,M1847=TH!$V$7),"x","")</f>
        <v/>
      </c>
      <c r="W1847" s="39" t="str">
        <f>IF(AND(B1847&gt;='IN-NX'!$P$3,B1847&lt;='IN-NX'!$Q$3,'IN-NX'!$D$7=D1847,OR(LEFT(L1847,2)="15",AND(LEFT(M1847,2)&lt;&gt;"15",LEFT(M1847,2)&lt;&gt;"33"))),"x","")</f>
        <v/>
      </c>
      <c r="X1847" s="39" t="str">
        <f>IF(AND(OR(LEFT(TH!L1847,2)="15",LEFT(TH!M1847,2)="15"),'152-CT'!$J$8=TH!F1847),"x","")</f>
        <v/>
      </c>
      <c r="Y1847" s="39" t="str">
        <f>IF(AND(OR(LEFT(TH!L1847,2)="15",LEFT(TH!M1847,2)="15"),TK!$E$7=TH!F1847),"x","")</f>
        <v/>
      </c>
      <c r="Z1847" s="39" t="str">
        <f>IF(AND(B1847&lt;=NKC!$N$8,B1847&gt;=NKC!$M$8),"x","")</f>
        <v/>
      </c>
      <c r="AA1847" s="883"/>
    </row>
    <row r="1848" spans="1:27" s="211" customFormat="1" ht="15.75" customHeight="1">
      <c r="A1848" s="204" t="str">
        <f>IF(B1848&lt;&gt;"",IF(AND(B1848&gt;=_TM1,B1848&lt;=_TM2,OR(TH!L1848="1111",TH!M1848="1111")),TH!D1848,""),"")</f>
        <v/>
      </c>
      <c r="B1848" s="36">
        <f t="shared" si="470"/>
        <v>5</v>
      </c>
      <c r="C1848" s="191">
        <f t="shared" si="469"/>
        <v>41401</v>
      </c>
      <c r="D1848" s="37" t="s">
        <v>487</v>
      </c>
      <c r="E1848" s="37">
        <v>41401</v>
      </c>
      <c r="F1848" s="40" t="s">
        <v>818</v>
      </c>
      <c r="G1848" s="40" t="s">
        <v>819</v>
      </c>
      <c r="H1848" s="7" t="s">
        <v>1290</v>
      </c>
      <c r="I1848" s="256">
        <v>500</v>
      </c>
      <c r="J1848" s="256">
        <v>8253.2360000000008</v>
      </c>
      <c r="K1848" s="602">
        <f t="shared" si="471"/>
        <v>4126618</v>
      </c>
      <c r="L1848" s="39" t="s">
        <v>173</v>
      </c>
      <c r="M1848" s="39" t="s">
        <v>167</v>
      </c>
      <c r="N1848" s="39" t="str">
        <f>IF(AND('331-CT'!$E$7=TH!H1848,OR(L1848="331",M1848="331")),"331",IF(AND(OR(L1848="131",M1848="131"),H1848='131-CT'!$E$7),"131",""))</f>
        <v/>
      </c>
      <c r="O1848" s="39" t="str">
        <f>IF(AND($B1848&gt;='111'!$N$11,$B1848&lt;='111'!$O$11,OR($L1848=$O$7,$M1848=$O$7)),"x","")</f>
        <v/>
      </c>
      <c r="P1848" s="39" t="str">
        <f>IF(AND($L1848=$O$7,$B1848&lt;'111'!$N$11),"x","")</f>
        <v/>
      </c>
      <c r="Q1848" s="39" t="str">
        <f>IF(AND($M1848=$O$7,$B1848&lt;'111'!$N$11),"x","")</f>
        <v/>
      </c>
      <c r="R1848" s="39" t="str">
        <f>IF(ISERROR(FIND('112'!$M$9,G1848,1)),"",IF((AND(FIND('112'!$M$9,G1848,1)&gt;=1,$B1848&gt;='112'!$N$8,$B1848&lt;='112'!$O$8,OR($L1848='112'!$I$6,$M1848='112'!$I$6))),"x",""))</f>
        <v/>
      </c>
      <c r="S1848" s="39" t="str">
        <f>IF(ISERROR(FIND('112'!$M$9,G1848,1)),"",IF((AND(LEFT(G1848,2)=LEFT('112'!$M$9,2),B1848&lt;'112'!$N$8,$L1848='112'!$I$6)),"x",""))</f>
        <v/>
      </c>
      <c r="T1848" s="39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>632</v>
      </c>
      <c r="V1848" s="39" t="str">
        <f>IF(OR(TH!L1848=TH!$V$7,M1848=TH!$V$7),"x","")</f>
        <v/>
      </c>
      <c r="W1848" s="39" t="str">
        <f>IF(AND(B1848&gt;='IN-NX'!$P$3,B1848&lt;='IN-NX'!$Q$3,'IN-NX'!$D$7=D1848,OR(LEFT(L1848,2)="15",AND(LEFT(M1848,2)&lt;&gt;"15",LEFT(M1848,2)&lt;&gt;"33"))),"x","")</f>
        <v/>
      </c>
      <c r="X1848" s="39" t="str">
        <f>IF(AND(OR(LEFT(TH!L1848,2)="15",LEFT(TH!M1848,2)="15"),'152-CT'!$J$8=TH!F1848),"x","")</f>
        <v/>
      </c>
      <c r="Y1848" s="39" t="str">
        <f>IF(AND(OR(LEFT(TH!L1848,2)="15",LEFT(TH!M1848,2)="15"),TK!$E$7=TH!F1848),"x","")</f>
        <v/>
      </c>
      <c r="Z1848" s="39" t="str">
        <f>IF(AND(B1848&lt;=NKC!$N$8,B1848&gt;=NKC!$M$8),"x","")</f>
        <v/>
      </c>
      <c r="AA1848" s="883"/>
    </row>
    <row r="1849" spans="1:27" s="211" customFormat="1" ht="15.75" customHeight="1">
      <c r="A1849" s="204" t="str">
        <f>IF(B1849&lt;&gt;"",IF(AND(B1849&gt;=_TM1,B1849&lt;=_TM2,OR(TH!L1849="1111",TH!M1849="1111")),TH!D1849,""),"")</f>
        <v/>
      </c>
      <c r="B1849" s="36">
        <f t="shared" si="470"/>
        <v>5</v>
      </c>
      <c r="C1849" s="191">
        <f t="shared" si="469"/>
        <v>41409</v>
      </c>
      <c r="D1849" s="37" t="s">
        <v>487</v>
      </c>
      <c r="E1849" s="37">
        <v>41409</v>
      </c>
      <c r="F1849" s="40" t="s">
        <v>812</v>
      </c>
      <c r="G1849" s="40" t="s">
        <v>820</v>
      </c>
      <c r="H1849" s="7" t="s">
        <v>1290</v>
      </c>
      <c r="I1849" s="256">
        <v>113</v>
      </c>
      <c r="J1849" s="256">
        <v>10296.964601769912</v>
      </c>
      <c r="K1849" s="602">
        <f t="shared" si="471"/>
        <v>1163557</v>
      </c>
      <c r="L1849" s="39" t="s">
        <v>173</v>
      </c>
      <c r="M1849" s="39" t="s">
        <v>167</v>
      </c>
      <c r="N1849" s="39" t="str">
        <f>IF(AND('331-CT'!$E$7=TH!H1849,OR(L1849="331",M1849="331")),"331",IF(AND(OR(L1849="131",M1849="131"),H1849='131-CT'!$E$7),"131",""))</f>
        <v/>
      </c>
      <c r="O1849" s="39" t="str">
        <f>IF(AND($B1849&gt;='111'!$N$11,$B1849&lt;='111'!$O$11,OR($L1849=$O$7,$M1849=$O$7)),"x","")</f>
        <v/>
      </c>
      <c r="P1849" s="39" t="str">
        <f>IF(AND($L1849=$O$7,$B1849&lt;'111'!$N$11),"x","")</f>
        <v/>
      </c>
      <c r="Q1849" s="39" t="str">
        <f>IF(AND($M1849=$O$7,$B1849&lt;'111'!$N$11),"x","")</f>
        <v/>
      </c>
      <c r="R1849" s="39" t="str">
        <f>IF(ISERROR(FIND('112'!$M$9,G1849,1)),"",IF((AND(FIND('112'!$M$9,G1849,1)&gt;=1,$B1849&gt;='112'!$N$8,$B1849&lt;='112'!$O$8,OR($L1849='112'!$I$6,$M1849='112'!$I$6))),"x",""))</f>
        <v/>
      </c>
      <c r="S1849" s="39" t="str">
        <f>IF(ISERROR(FIND('112'!$M$9,G1849,1)),"",IF((AND(LEFT(G1849,2)=LEFT('112'!$M$9,2),B1849&lt;'112'!$N$8,$L1849='112'!$I$6)),"x",""))</f>
        <v/>
      </c>
      <c r="T1849" s="39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>632</v>
      </c>
      <c r="V1849" s="39" t="str">
        <f>IF(OR(TH!L1849=TH!$V$7,M1849=TH!$V$7),"x","")</f>
        <v/>
      </c>
      <c r="W1849" s="39" t="str">
        <f>IF(AND(B1849&gt;='IN-NX'!$P$3,B1849&lt;='IN-NX'!$Q$3,'IN-NX'!$D$7=D1849,OR(LEFT(L1849,2)="15",AND(LEFT(M1849,2)&lt;&gt;"15",LEFT(M1849,2)&lt;&gt;"33"))),"x","")</f>
        <v/>
      </c>
      <c r="X1849" s="39" t="str">
        <f>IF(AND(OR(LEFT(TH!L1849,2)="15",LEFT(TH!M1849,2)="15"),'152-CT'!$J$8=TH!F1849),"x","")</f>
        <v/>
      </c>
      <c r="Y1849" s="39" t="str">
        <f>IF(AND(OR(LEFT(TH!L1849,2)="15",LEFT(TH!M1849,2)="15"),TK!$E$7=TH!F1849),"x","")</f>
        <v/>
      </c>
      <c r="Z1849" s="39" t="str">
        <f>IF(AND(B1849&lt;=NKC!$N$8,B1849&gt;=NKC!$M$8),"x","")</f>
        <v/>
      </c>
      <c r="AA1849" s="883"/>
    </row>
    <row r="1850" spans="1:27" s="211" customFormat="1" ht="15.75" customHeight="1">
      <c r="A1850" s="204" t="str">
        <f>IF(B1850&lt;&gt;"",IF(AND(B1850&gt;=_TM1,B1850&lt;=_TM2,OR(TH!L1850="1111",TH!M1850="1111")),TH!D1850,""),"")</f>
        <v/>
      </c>
      <c r="B1850" s="36">
        <f t="shared" si="470"/>
        <v>5</v>
      </c>
      <c r="C1850" s="191">
        <f t="shared" si="469"/>
        <v>41409</v>
      </c>
      <c r="D1850" s="37" t="s">
        <v>487</v>
      </c>
      <c r="E1850" s="37">
        <v>41409</v>
      </c>
      <c r="F1850" s="40" t="s">
        <v>1129</v>
      </c>
      <c r="G1850" s="40" t="s">
        <v>820</v>
      </c>
      <c r="H1850" s="7" t="s">
        <v>1290</v>
      </c>
      <c r="I1850" s="256">
        <v>198</v>
      </c>
      <c r="J1850" s="256">
        <v>6385.6919191919196</v>
      </c>
      <c r="K1850" s="602">
        <f t="shared" si="471"/>
        <v>1264367</v>
      </c>
      <c r="L1850" s="39" t="s">
        <v>173</v>
      </c>
      <c r="M1850" s="39" t="s">
        <v>167</v>
      </c>
      <c r="N1850" s="39" t="str">
        <f>IF(AND('331-CT'!$E$7=TH!H1850,OR(L1850="331",M1850="331")),"331",IF(AND(OR(L1850="131",M1850="131"),H1850='131-CT'!$E$7),"131",""))</f>
        <v/>
      </c>
      <c r="O1850" s="39" t="str">
        <f>IF(AND($B1850&gt;='111'!$N$11,$B1850&lt;='111'!$O$11,OR($L1850=$O$7,$M1850=$O$7)),"x","")</f>
        <v/>
      </c>
      <c r="P1850" s="39" t="str">
        <f>IF(AND($L1850=$O$7,$B1850&lt;'111'!$N$11),"x","")</f>
        <v/>
      </c>
      <c r="Q1850" s="39" t="str">
        <f>IF(AND($M1850=$O$7,$B1850&lt;'111'!$N$11),"x","")</f>
        <v/>
      </c>
      <c r="R1850" s="39" t="str">
        <f>IF(ISERROR(FIND('112'!$M$9,G1850,1)),"",IF((AND(FIND('112'!$M$9,G1850,1)&gt;=1,$B1850&gt;='112'!$N$8,$B1850&lt;='112'!$O$8,OR($L1850='112'!$I$6,$M1850='112'!$I$6))),"x",""))</f>
        <v/>
      </c>
      <c r="S1850" s="39" t="str">
        <f>IF(ISERROR(FIND('112'!$M$9,G1850,1)),"",IF((AND(LEFT(G1850,2)=LEFT('112'!$M$9,2),B1850&lt;'112'!$N$8,$L1850='112'!$I$6)),"x",""))</f>
        <v/>
      </c>
      <c r="T1850" s="39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632</v>
      </c>
      <c r="V1850" s="39" t="str">
        <f>IF(OR(TH!L1850=TH!$V$7,M1850=TH!$V$7),"x","")</f>
        <v/>
      </c>
      <c r="W1850" s="39" t="str">
        <f>IF(AND(B1850&gt;='IN-NX'!$P$3,B1850&lt;='IN-NX'!$Q$3,'IN-NX'!$D$7=D1850,OR(LEFT(L1850,2)="15",AND(LEFT(M1850,2)&lt;&gt;"15",LEFT(M1850,2)&lt;&gt;"33"))),"x","")</f>
        <v/>
      </c>
      <c r="X1850" s="39" t="str">
        <f>IF(AND(OR(LEFT(TH!L1850,2)="15",LEFT(TH!M1850,2)="15"),'152-CT'!$J$8=TH!F1850),"x","")</f>
        <v/>
      </c>
      <c r="Y1850" s="39" t="str">
        <f>IF(AND(OR(LEFT(TH!L1850,2)="15",LEFT(TH!M1850,2)="15"),TK!$E$7=TH!F1850),"x","")</f>
        <v/>
      </c>
      <c r="Z1850" s="39" t="str">
        <f>IF(AND(B1850&lt;=NKC!$N$8,B1850&gt;=NKC!$M$8),"x","")</f>
        <v/>
      </c>
      <c r="AA1850" s="883"/>
    </row>
    <row r="1851" spans="1:27" s="211" customFormat="1" ht="15.75" customHeight="1">
      <c r="A1851" s="204" t="str">
        <f>IF(B1851&lt;&gt;"",IF(AND(B1851&gt;=_TM1,B1851&lt;=_TM2,OR(TH!L1851="1111",TH!M1851="1111")),TH!D1851,""),"")</f>
        <v/>
      </c>
      <c r="B1851" s="36">
        <f t="shared" si="470"/>
        <v>5</v>
      </c>
      <c r="C1851" s="191">
        <f t="shared" si="469"/>
        <v>41409</v>
      </c>
      <c r="D1851" s="37" t="s">
        <v>487</v>
      </c>
      <c r="E1851" s="37">
        <v>41409</v>
      </c>
      <c r="F1851" s="40" t="s">
        <v>1128</v>
      </c>
      <c r="G1851" s="40" t="s">
        <v>820</v>
      </c>
      <c r="H1851" s="7" t="s">
        <v>1290</v>
      </c>
      <c r="I1851" s="256">
        <v>104</v>
      </c>
      <c r="J1851" s="256">
        <v>13660.567307692309</v>
      </c>
      <c r="K1851" s="602">
        <f t="shared" si="471"/>
        <v>1420699</v>
      </c>
      <c r="L1851" s="39" t="s">
        <v>173</v>
      </c>
      <c r="M1851" s="39" t="s">
        <v>167</v>
      </c>
      <c r="N1851" s="39" t="str">
        <f>IF(AND('331-CT'!$E$7=TH!H1851,OR(L1851="331",M1851="331")),"331",IF(AND(OR(L1851="131",M1851="131"),H1851='131-CT'!$E$7),"131",""))</f>
        <v/>
      </c>
      <c r="O1851" s="39" t="str">
        <f>IF(AND($B1851&gt;='111'!$N$11,$B1851&lt;='111'!$O$11,OR($L1851=$O$7,$M1851=$O$7)),"x","")</f>
        <v/>
      </c>
      <c r="P1851" s="39" t="str">
        <f>IF(AND($L1851=$O$7,$B1851&lt;'111'!$N$11),"x","")</f>
        <v/>
      </c>
      <c r="Q1851" s="39" t="str">
        <f>IF(AND($M1851=$O$7,$B1851&lt;'111'!$N$11),"x","")</f>
        <v/>
      </c>
      <c r="R1851" s="39" t="str">
        <f>IF(ISERROR(FIND('112'!$M$9,G1851,1)),"",IF((AND(FIND('112'!$M$9,G1851,1)&gt;=1,$B1851&gt;='112'!$N$8,$B1851&lt;='112'!$O$8,OR($L1851='112'!$I$6,$M1851='112'!$I$6))),"x",""))</f>
        <v/>
      </c>
      <c r="S1851" s="39" t="str">
        <f>IF(ISERROR(FIND('112'!$M$9,G1851,1)),"",IF((AND(LEFT(G1851,2)=LEFT('112'!$M$9,2),B1851&lt;'112'!$N$8,$L1851='112'!$I$6)),"x",""))</f>
        <v/>
      </c>
      <c r="T1851" s="39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>632</v>
      </c>
      <c r="V1851" s="39" t="str">
        <f>IF(OR(TH!L1851=TH!$V$7,M1851=TH!$V$7),"x","")</f>
        <v/>
      </c>
      <c r="W1851" s="39" t="str">
        <f>IF(AND(B1851&gt;='IN-NX'!$P$3,B1851&lt;='IN-NX'!$Q$3,'IN-NX'!$D$7=D1851,OR(LEFT(L1851,2)="15",AND(LEFT(M1851,2)&lt;&gt;"15",LEFT(M1851,2)&lt;&gt;"33"))),"x","")</f>
        <v/>
      </c>
      <c r="X1851" s="39" t="str">
        <f>IF(AND(OR(LEFT(TH!L1851,2)="15",LEFT(TH!M1851,2)="15"),'152-CT'!$J$8=TH!F1851),"x","")</f>
        <v/>
      </c>
      <c r="Y1851" s="39" t="str">
        <f>IF(AND(OR(LEFT(TH!L1851,2)="15",LEFT(TH!M1851,2)="15"),TK!$E$7=TH!F1851),"x","")</f>
        <v/>
      </c>
      <c r="Z1851" s="39" t="str">
        <f>IF(AND(B1851&lt;=NKC!$N$8,B1851&gt;=NKC!$M$8),"x","")</f>
        <v/>
      </c>
      <c r="AA1851" s="883"/>
    </row>
    <row r="1852" spans="1:27" s="211" customFormat="1" ht="15.75" customHeight="1">
      <c r="A1852" s="204" t="str">
        <f>IF(B1852&lt;&gt;"",IF(AND(B1852&gt;=_TM1,B1852&lt;=_TM2,OR(TH!L1852="1111",TH!M1852="1111")),TH!D1852,""),"")</f>
        <v/>
      </c>
      <c r="B1852" s="36">
        <f t="shared" si="470"/>
        <v>5</v>
      </c>
      <c r="C1852" s="191">
        <f t="shared" si="469"/>
        <v>41409</v>
      </c>
      <c r="D1852" s="37" t="s">
        <v>487</v>
      </c>
      <c r="E1852" s="37">
        <v>41409</v>
      </c>
      <c r="F1852" s="40" t="s">
        <v>814</v>
      </c>
      <c r="G1852" s="40" t="s">
        <v>820</v>
      </c>
      <c r="H1852" s="7" t="s">
        <v>1290</v>
      </c>
      <c r="I1852" s="256">
        <v>211</v>
      </c>
      <c r="J1852" s="256">
        <v>7922.9099526066348</v>
      </c>
      <c r="K1852" s="602">
        <f t="shared" si="471"/>
        <v>1671734</v>
      </c>
      <c r="L1852" s="39" t="s">
        <v>173</v>
      </c>
      <c r="M1852" s="39" t="s">
        <v>167</v>
      </c>
      <c r="N1852" s="39" t="str">
        <f>IF(AND('331-CT'!$E$7=TH!H1852,OR(L1852="331",M1852="331")),"331",IF(AND(OR(L1852="131",M1852="131"),H1852='131-CT'!$E$7),"131",""))</f>
        <v/>
      </c>
      <c r="O1852" s="39" t="str">
        <f>IF(AND($B1852&gt;='111'!$N$11,$B1852&lt;='111'!$O$11,OR($L1852=$O$7,$M1852=$O$7)),"x","")</f>
        <v/>
      </c>
      <c r="P1852" s="39" t="str">
        <f>IF(AND($L1852=$O$7,$B1852&lt;'111'!$N$11),"x","")</f>
        <v/>
      </c>
      <c r="Q1852" s="39" t="str">
        <f>IF(AND($M1852=$O$7,$B1852&lt;'111'!$N$11),"x","")</f>
        <v/>
      </c>
      <c r="R1852" s="39" t="str">
        <f>IF(ISERROR(FIND('112'!$M$9,G1852,1)),"",IF((AND(FIND('112'!$M$9,G1852,1)&gt;=1,$B1852&gt;='112'!$N$8,$B1852&lt;='112'!$O$8,OR($L1852='112'!$I$6,$M1852='112'!$I$6))),"x",""))</f>
        <v/>
      </c>
      <c r="S1852" s="39" t="str">
        <f>IF(ISERROR(FIND('112'!$M$9,G1852,1)),"",IF((AND(LEFT(G1852,2)=LEFT('112'!$M$9,2),B1852&lt;'112'!$N$8,$L1852='112'!$I$6)),"x",""))</f>
        <v/>
      </c>
      <c r="T1852" s="39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>632</v>
      </c>
      <c r="V1852" s="39" t="str">
        <f>IF(OR(TH!L1852=TH!$V$7,M1852=TH!$V$7),"x","")</f>
        <v/>
      </c>
      <c r="W1852" s="39" t="str">
        <f>IF(AND(B1852&gt;='IN-NX'!$P$3,B1852&lt;='IN-NX'!$Q$3,'IN-NX'!$D$7=D1852,OR(LEFT(L1852,2)="15",AND(LEFT(M1852,2)&lt;&gt;"15",LEFT(M1852,2)&lt;&gt;"33"))),"x","")</f>
        <v/>
      </c>
      <c r="X1852" s="39" t="str">
        <f>IF(AND(OR(LEFT(TH!L1852,2)="15",LEFT(TH!M1852,2)="15"),'152-CT'!$J$8=TH!F1852),"x","")</f>
        <v/>
      </c>
      <c r="Y1852" s="39" t="str">
        <f>IF(AND(OR(LEFT(TH!L1852,2)="15",LEFT(TH!M1852,2)="15"),TK!$E$7=TH!F1852),"x","")</f>
        <v/>
      </c>
      <c r="Z1852" s="39" t="str">
        <f>IF(AND(B1852&lt;=NKC!$N$8,B1852&gt;=NKC!$M$8),"x","")</f>
        <v/>
      </c>
      <c r="AA1852" s="883"/>
    </row>
    <row r="1853" spans="1:27" s="211" customFormat="1" ht="15.75" customHeight="1">
      <c r="A1853" s="204" t="str">
        <f>IF(B1853&lt;&gt;"",IF(AND(B1853&gt;=_TM1,B1853&lt;=_TM2,OR(TH!L1853="1111",TH!M1853="1111")),TH!D1853,""),"")</f>
        <v/>
      </c>
      <c r="B1853" s="36">
        <f t="shared" si="470"/>
        <v>5</v>
      </c>
      <c r="C1853" s="191">
        <f t="shared" si="469"/>
        <v>41409</v>
      </c>
      <c r="D1853" s="37" t="s">
        <v>487</v>
      </c>
      <c r="E1853" s="37">
        <v>41409</v>
      </c>
      <c r="F1853" s="40" t="s">
        <v>481</v>
      </c>
      <c r="G1853" s="40" t="s">
        <v>821</v>
      </c>
      <c r="H1853" s="7" t="s">
        <v>1290</v>
      </c>
      <c r="I1853" s="256">
        <v>2000</v>
      </c>
      <c r="J1853" s="256">
        <v>8799.9359999999997</v>
      </c>
      <c r="K1853" s="602">
        <f t="shared" si="471"/>
        <v>17599872</v>
      </c>
      <c r="L1853" s="39" t="s">
        <v>173</v>
      </c>
      <c r="M1853" s="39" t="s">
        <v>167</v>
      </c>
      <c r="N1853" s="39" t="str">
        <f>IF(AND('331-CT'!$E$7=TH!H1853,OR(L1853="331",M1853="331")),"331",IF(AND(OR(L1853="131",M1853="131"),H1853='131-CT'!$E$7),"131",""))</f>
        <v/>
      </c>
      <c r="O1853" s="39" t="str">
        <f>IF(AND($B1853&gt;='111'!$N$11,$B1853&lt;='111'!$O$11,OR($L1853=$O$7,$M1853=$O$7)),"x","")</f>
        <v/>
      </c>
      <c r="P1853" s="39" t="str">
        <f>IF(AND($L1853=$O$7,$B1853&lt;'111'!$N$11),"x","")</f>
        <v/>
      </c>
      <c r="Q1853" s="39" t="str">
        <f>IF(AND($M1853=$O$7,$B1853&lt;'111'!$N$11),"x","")</f>
        <v/>
      </c>
      <c r="R1853" s="39" t="str">
        <f>IF(ISERROR(FIND('112'!$M$9,G1853,1)),"",IF((AND(FIND('112'!$M$9,G1853,1)&gt;=1,$B1853&gt;='112'!$N$8,$B1853&lt;='112'!$O$8,OR($L1853='112'!$I$6,$M1853='112'!$I$6))),"x",""))</f>
        <v/>
      </c>
      <c r="S1853" s="39" t="str">
        <f>IF(ISERROR(FIND('112'!$M$9,G1853,1)),"",IF((AND(LEFT(G1853,2)=LEFT('112'!$M$9,2),B1853&lt;'112'!$N$8,$L1853='112'!$I$6)),"x",""))</f>
        <v/>
      </c>
      <c r="T1853" s="39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>632</v>
      </c>
      <c r="V1853" s="39" t="str">
        <f>IF(OR(TH!L1853=TH!$V$7,M1853=TH!$V$7),"x","")</f>
        <v/>
      </c>
      <c r="W1853" s="39" t="str">
        <f>IF(AND(B1853&gt;='IN-NX'!$P$3,B1853&lt;='IN-NX'!$Q$3,'IN-NX'!$D$7=D1853,OR(LEFT(L1853,2)="15",AND(LEFT(M1853,2)&lt;&gt;"15",LEFT(M1853,2)&lt;&gt;"33"))),"x","")</f>
        <v/>
      </c>
      <c r="X1853" s="39" t="str">
        <f>IF(AND(OR(LEFT(TH!L1853,2)="15",LEFT(TH!M1853,2)="15"),'152-CT'!$J$8=TH!F1853),"x","")</f>
        <v/>
      </c>
      <c r="Y1853" s="39" t="str">
        <f>IF(AND(OR(LEFT(TH!L1853,2)="15",LEFT(TH!M1853,2)="15"),TK!$E$7=TH!F1853),"x","")</f>
        <v/>
      </c>
      <c r="Z1853" s="39" t="str">
        <f>IF(AND(B1853&lt;=NKC!$N$8,B1853&gt;=NKC!$M$8),"x","")</f>
        <v/>
      </c>
      <c r="AA1853" s="883"/>
    </row>
    <row r="1854" spans="1:27" s="211" customFormat="1" ht="15.75" customHeight="1">
      <c r="A1854" s="204" t="str">
        <f>IF(B1854&lt;&gt;"",IF(AND(B1854&gt;=_TM1,B1854&lt;=_TM2,OR(TH!L1854="1111",TH!M1854="1111")),TH!D1854,""),"")</f>
        <v/>
      </c>
      <c r="B1854" s="36">
        <f t="shared" si="470"/>
        <v>5</v>
      </c>
      <c r="C1854" s="191">
        <f t="shared" si="469"/>
        <v>41410</v>
      </c>
      <c r="D1854" s="37" t="s">
        <v>487</v>
      </c>
      <c r="E1854" s="37">
        <v>41410</v>
      </c>
      <c r="F1854" s="40" t="s">
        <v>481</v>
      </c>
      <c r="G1854" s="40" t="s">
        <v>823</v>
      </c>
      <c r="H1854" s="7" t="s">
        <v>1290</v>
      </c>
      <c r="I1854" s="256">
        <v>2500</v>
      </c>
      <c r="J1854" s="256">
        <v>6677.4856</v>
      </c>
      <c r="K1854" s="602">
        <f t="shared" si="471"/>
        <v>16693714</v>
      </c>
      <c r="L1854" s="39" t="s">
        <v>173</v>
      </c>
      <c r="M1854" s="39" t="s">
        <v>167</v>
      </c>
      <c r="N1854" s="39" t="str">
        <f>IF(AND('331-CT'!$E$7=TH!H1854,OR(L1854="331",M1854="331")),"331",IF(AND(OR(L1854="131",M1854="131"),H1854='131-CT'!$E$7),"131",""))</f>
        <v/>
      </c>
      <c r="O1854" s="39" t="str">
        <f>IF(AND($B1854&gt;='111'!$N$11,$B1854&lt;='111'!$O$11,OR($L1854=$O$7,$M1854=$O$7)),"x","")</f>
        <v/>
      </c>
      <c r="P1854" s="39" t="str">
        <f>IF(AND($L1854=$O$7,$B1854&lt;'111'!$N$11),"x","")</f>
        <v/>
      </c>
      <c r="Q1854" s="39" t="str">
        <f>IF(AND($M1854=$O$7,$B1854&lt;'111'!$N$11),"x","")</f>
        <v/>
      </c>
      <c r="R1854" s="39" t="str">
        <f>IF(ISERROR(FIND('112'!$M$9,G1854,1)),"",IF((AND(FIND('112'!$M$9,G1854,1)&gt;=1,$B1854&gt;='112'!$N$8,$B1854&lt;='112'!$O$8,OR($L1854='112'!$I$6,$M1854='112'!$I$6))),"x",""))</f>
        <v/>
      </c>
      <c r="S1854" s="39" t="str">
        <f>IF(ISERROR(FIND('112'!$M$9,G1854,1)),"",IF((AND(LEFT(G1854,2)=LEFT('112'!$M$9,2),B1854&lt;'112'!$N$8,$L1854='112'!$I$6)),"x",""))</f>
        <v/>
      </c>
      <c r="T1854" s="39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>632</v>
      </c>
      <c r="V1854" s="39" t="str">
        <f>IF(OR(TH!L1854=TH!$V$7,M1854=TH!$V$7),"x","")</f>
        <v/>
      </c>
      <c r="W1854" s="39" t="str">
        <f>IF(AND(B1854&gt;='IN-NX'!$P$3,B1854&lt;='IN-NX'!$Q$3,'IN-NX'!$D$7=D1854,OR(LEFT(L1854,2)="15",AND(LEFT(M1854,2)&lt;&gt;"15",LEFT(M1854,2)&lt;&gt;"33"))),"x","")</f>
        <v/>
      </c>
      <c r="X1854" s="39" t="str">
        <f>IF(AND(OR(LEFT(TH!L1854,2)="15",LEFT(TH!M1854,2)="15"),'152-CT'!$J$8=TH!F1854),"x","")</f>
        <v/>
      </c>
      <c r="Y1854" s="39" t="str">
        <f>IF(AND(OR(LEFT(TH!L1854,2)="15",LEFT(TH!M1854,2)="15"),TK!$E$7=TH!F1854),"x","")</f>
        <v/>
      </c>
      <c r="Z1854" s="39" t="str">
        <f>IF(AND(B1854&lt;=NKC!$N$8,B1854&gt;=NKC!$M$8),"x","")</f>
        <v/>
      </c>
      <c r="AA1854" s="883"/>
    </row>
    <row r="1855" spans="1:27" s="211" customFormat="1" ht="15.75" customHeight="1">
      <c r="A1855" s="204" t="str">
        <f>IF(B1855&lt;&gt;"",IF(AND(B1855&gt;=_TM1,B1855&lt;=_TM2,OR(TH!L1855="1111",TH!M1855="1111")),TH!D1855,""),"")</f>
        <v/>
      </c>
      <c r="B1855" s="36">
        <f t="shared" si="470"/>
        <v>5</v>
      </c>
      <c r="C1855" s="191">
        <f t="shared" si="469"/>
        <v>41410</v>
      </c>
      <c r="D1855" s="37" t="s">
        <v>487</v>
      </c>
      <c r="E1855" s="37">
        <v>41410</v>
      </c>
      <c r="F1855" s="40" t="s">
        <v>729</v>
      </c>
      <c r="G1855" s="40" t="s">
        <v>824</v>
      </c>
      <c r="H1855" s="7" t="s">
        <v>1290</v>
      </c>
      <c r="I1855" s="256">
        <v>1035</v>
      </c>
      <c r="J1855" s="256">
        <v>7923.5497584541063</v>
      </c>
      <c r="K1855" s="602">
        <f t="shared" si="471"/>
        <v>8200874</v>
      </c>
      <c r="L1855" s="39" t="s">
        <v>173</v>
      </c>
      <c r="M1855" s="39" t="s">
        <v>167</v>
      </c>
      <c r="N1855" s="39" t="str">
        <f>IF(AND('331-CT'!$E$7=TH!H1855,OR(L1855="331",M1855="331")),"331",IF(AND(OR(L1855="131",M1855="131"),H1855='131-CT'!$E$7),"131",""))</f>
        <v/>
      </c>
      <c r="O1855" s="39" t="str">
        <f>IF(AND($B1855&gt;='111'!$N$11,$B1855&lt;='111'!$O$11,OR($L1855=$O$7,$M1855=$O$7)),"x","")</f>
        <v/>
      </c>
      <c r="P1855" s="39" t="str">
        <f>IF(AND($L1855=$O$7,$B1855&lt;'111'!$N$11),"x","")</f>
        <v/>
      </c>
      <c r="Q1855" s="39" t="str">
        <f>IF(AND($M1855=$O$7,$B1855&lt;'111'!$N$11),"x","")</f>
        <v/>
      </c>
      <c r="R1855" s="39" t="str">
        <f>IF(ISERROR(FIND('112'!$M$9,G1855,1)),"",IF((AND(FIND('112'!$M$9,G1855,1)&gt;=1,$B1855&gt;='112'!$N$8,$B1855&lt;='112'!$O$8,OR($L1855='112'!$I$6,$M1855='112'!$I$6))),"x",""))</f>
        <v/>
      </c>
      <c r="S1855" s="39" t="str">
        <f>IF(ISERROR(FIND('112'!$M$9,G1855,1)),"",IF((AND(LEFT(G1855,2)=LEFT('112'!$M$9,2),B1855&lt;'112'!$N$8,$L1855='112'!$I$6)),"x",""))</f>
        <v/>
      </c>
      <c r="T1855" s="39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>632</v>
      </c>
      <c r="V1855" s="39" t="str">
        <f>IF(OR(TH!L1855=TH!$V$7,M1855=TH!$V$7),"x","")</f>
        <v/>
      </c>
      <c r="W1855" s="39" t="str">
        <f>IF(AND(B1855&gt;='IN-NX'!$P$3,B1855&lt;='IN-NX'!$Q$3,'IN-NX'!$D$7=D1855,OR(LEFT(L1855,2)="15",AND(LEFT(M1855,2)&lt;&gt;"15",LEFT(M1855,2)&lt;&gt;"33"))),"x","")</f>
        <v/>
      </c>
      <c r="X1855" s="39" t="str">
        <f>IF(AND(OR(LEFT(TH!L1855,2)="15",LEFT(TH!M1855,2)="15"),'152-CT'!$J$8=TH!F1855),"x","")</f>
        <v/>
      </c>
      <c r="Y1855" s="39" t="str">
        <f>IF(AND(OR(LEFT(TH!L1855,2)="15",LEFT(TH!M1855,2)="15"),TK!$E$7=TH!F1855),"x","")</f>
        <v/>
      </c>
      <c r="Z1855" s="39" t="str">
        <f>IF(AND(B1855&lt;=NKC!$N$8,B1855&gt;=NKC!$M$8),"x","")</f>
        <v/>
      </c>
      <c r="AA1855" s="883"/>
    </row>
    <row r="1856" spans="1:27" s="211" customFormat="1" ht="15.75" customHeight="1">
      <c r="A1856" s="204" t="str">
        <f>IF(B1856&lt;&gt;"",IF(AND(B1856&gt;=_TM1,B1856&lt;=_TM2,OR(TH!L1856="1111",TH!M1856="1111")),TH!D1856,""),"")</f>
        <v/>
      </c>
      <c r="B1856" s="36">
        <f t="shared" si="470"/>
        <v>5</v>
      </c>
      <c r="C1856" s="191">
        <f t="shared" si="469"/>
        <v>41410</v>
      </c>
      <c r="D1856" s="37" t="s">
        <v>487</v>
      </c>
      <c r="E1856" s="37">
        <v>41410</v>
      </c>
      <c r="F1856" s="40" t="s">
        <v>825</v>
      </c>
      <c r="G1856" s="40" t="s">
        <v>826</v>
      </c>
      <c r="H1856" s="7" t="s">
        <v>1290</v>
      </c>
      <c r="I1856" s="256">
        <v>553</v>
      </c>
      <c r="J1856" s="256">
        <v>8817.0433996383363</v>
      </c>
      <c r="K1856" s="602">
        <f t="shared" si="471"/>
        <v>4875825</v>
      </c>
      <c r="L1856" s="39" t="s">
        <v>173</v>
      </c>
      <c r="M1856" s="39" t="s">
        <v>167</v>
      </c>
      <c r="N1856" s="39" t="str">
        <f>IF(AND('331-CT'!$E$7=TH!H1856,OR(L1856="331",M1856="331")),"331",IF(AND(OR(L1856="131",M1856="131"),H1856='131-CT'!$E$7),"131",""))</f>
        <v/>
      </c>
      <c r="O1856" s="39" t="str">
        <f>IF(AND($B1856&gt;='111'!$N$11,$B1856&lt;='111'!$O$11,OR($L1856=$O$7,$M1856=$O$7)),"x","")</f>
        <v/>
      </c>
      <c r="P1856" s="39" t="str">
        <f>IF(AND($L1856=$O$7,$B1856&lt;'111'!$N$11),"x","")</f>
        <v/>
      </c>
      <c r="Q1856" s="39" t="str">
        <f>IF(AND($M1856=$O$7,$B1856&lt;'111'!$N$11),"x","")</f>
        <v/>
      </c>
      <c r="R1856" s="39" t="str">
        <f>IF(ISERROR(FIND('112'!$M$9,G1856,1)),"",IF((AND(FIND('112'!$M$9,G1856,1)&gt;=1,$B1856&gt;='112'!$N$8,$B1856&lt;='112'!$O$8,OR($L1856='112'!$I$6,$M1856='112'!$I$6))),"x",""))</f>
        <v/>
      </c>
      <c r="S1856" s="39" t="str">
        <f>IF(ISERROR(FIND('112'!$M$9,G1856,1)),"",IF((AND(LEFT(G1856,2)=LEFT('112'!$M$9,2),B1856&lt;'112'!$N$8,$L1856='112'!$I$6)),"x",""))</f>
        <v/>
      </c>
      <c r="T1856" s="39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>632</v>
      </c>
      <c r="V1856" s="39" t="str">
        <f>IF(OR(TH!L1856=TH!$V$7,M1856=TH!$V$7),"x","")</f>
        <v/>
      </c>
      <c r="W1856" s="39" t="str">
        <f>IF(AND(B1856&gt;='IN-NX'!$P$3,B1856&lt;='IN-NX'!$Q$3,'IN-NX'!$D$7=D1856,OR(LEFT(L1856,2)="15",AND(LEFT(M1856,2)&lt;&gt;"15",LEFT(M1856,2)&lt;&gt;"33"))),"x","")</f>
        <v/>
      </c>
      <c r="X1856" s="39" t="str">
        <f>IF(AND(OR(LEFT(TH!L1856,2)="15",LEFT(TH!M1856,2)="15"),'152-CT'!$J$8=TH!F1856),"x","")</f>
        <v/>
      </c>
      <c r="Y1856" s="39" t="str">
        <f>IF(AND(OR(LEFT(TH!L1856,2)="15",LEFT(TH!M1856,2)="15"),TK!$E$7=TH!F1856),"x","")</f>
        <v/>
      </c>
      <c r="Z1856" s="39" t="str">
        <f>IF(AND(B1856&lt;=NKC!$N$8,B1856&gt;=NKC!$M$8),"x","")</f>
        <v/>
      </c>
      <c r="AA1856" s="883"/>
    </row>
    <row r="1857" spans="1:27" s="211" customFormat="1" ht="15.75" customHeight="1">
      <c r="A1857" s="204" t="str">
        <f>IF(B1857&lt;&gt;"",IF(AND(B1857&gt;=_TM1,B1857&lt;=_TM2,OR(TH!L1857="1111",TH!M1857="1111")),TH!D1857,""),"")</f>
        <v/>
      </c>
      <c r="B1857" s="36">
        <f t="shared" si="470"/>
        <v>5</v>
      </c>
      <c r="C1857" s="191">
        <f t="shared" si="469"/>
        <v>41411</v>
      </c>
      <c r="D1857" s="37" t="s">
        <v>487</v>
      </c>
      <c r="E1857" s="37">
        <v>41411</v>
      </c>
      <c r="F1857" s="40" t="s">
        <v>812</v>
      </c>
      <c r="G1857" s="40" t="s">
        <v>828</v>
      </c>
      <c r="H1857" s="7" t="s">
        <v>1290</v>
      </c>
      <c r="I1857" s="256">
        <v>297</v>
      </c>
      <c r="J1857" s="256">
        <v>8829.3771043771048</v>
      </c>
      <c r="K1857" s="602">
        <f t="shared" si="471"/>
        <v>2622325</v>
      </c>
      <c r="L1857" s="39" t="s">
        <v>173</v>
      </c>
      <c r="M1857" s="39" t="s">
        <v>167</v>
      </c>
      <c r="N1857" s="39" t="str">
        <f>IF(AND('331-CT'!$E$7=TH!H1857,OR(L1857="331",M1857="331")),"331",IF(AND(OR(L1857="131",M1857="131"),H1857='131-CT'!$E$7),"131",""))</f>
        <v/>
      </c>
      <c r="O1857" s="39" t="str">
        <f>IF(AND($B1857&gt;='111'!$N$11,$B1857&lt;='111'!$O$11,OR($L1857=$O$7,$M1857=$O$7)),"x","")</f>
        <v/>
      </c>
      <c r="P1857" s="39" t="str">
        <f>IF(AND($L1857=$O$7,$B1857&lt;'111'!$N$11),"x","")</f>
        <v/>
      </c>
      <c r="Q1857" s="39" t="str">
        <f>IF(AND($M1857=$O$7,$B1857&lt;'111'!$N$11),"x","")</f>
        <v/>
      </c>
      <c r="R1857" s="39" t="str">
        <f>IF(ISERROR(FIND('112'!$M$9,G1857,1)),"",IF((AND(FIND('112'!$M$9,G1857,1)&gt;=1,$B1857&gt;='112'!$N$8,$B1857&lt;='112'!$O$8,OR($L1857='112'!$I$6,$M1857='112'!$I$6))),"x",""))</f>
        <v/>
      </c>
      <c r="S1857" s="39" t="str">
        <f>IF(ISERROR(FIND('112'!$M$9,G1857,1)),"",IF((AND(LEFT(G1857,2)=LEFT('112'!$M$9,2),B1857&lt;'112'!$N$8,$L1857='112'!$I$6)),"x",""))</f>
        <v/>
      </c>
      <c r="T1857" s="39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>632</v>
      </c>
      <c r="V1857" s="39" t="str">
        <f>IF(OR(TH!L1857=TH!$V$7,M1857=TH!$V$7),"x","")</f>
        <v/>
      </c>
      <c r="W1857" s="39" t="str">
        <f>IF(AND(B1857&gt;='IN-NX'!$P$3,B1857&lt;='IN-NX'!$Q$3,'IN-NX'!$D$7=D1857,OR(LEFT(L1857,2)="15",AND(LEFT(M1857,2)&lt;&gt;"15",LEFT(M1857,2)&lt;&gt;"33"))),"x","")</f>
        <v/>
      </c>
      <c r="X1857" s="39" t="str">
        <f>IF(AND(OR(LEFT(TH!L1857,2)="15",LEFT(TH!M1857,2)="15"),'152-CT'!$J$8=TH!F1857),"x","")</f>
        <v/>
      </c>
      <c r="Y1857" s="39" t="str">
        <f>IF(AND(OR(LEFT(TH!L1857,2)="15",LEFT(TH!M1857,2)="15"),TK!$E$7=TH!F1857),"x","")</f>
        <v/>
      </c>
      <c r="Z1857" s="39" t="str">
        <f>IF(AND(B1857&lt;=NKC!$N$8,B1857&gt;=NKC!$M$8),"x","")</f>
        <v/>
      </c>
      <c r="AA1857" s="883"/>
    </row>
    <row r="1858" spans="1:27" s="211" customFormat="1" ht="15.75" customHeight="1">
      <c r="A1858" s="204" t="str">
        <f>IF(B1858&lt;&gt;"",IF(AND(B1858&gt;=_TM1,B1858&lt;=_TM2,OR(TH!L1858="1111",TH!M1858="1111")),TH!D1858,""),"")</f>
        <v/>
      </c>
      <c r="B1858" s="36">
        <f t="shared" si="470"/>
        <v>5</v>
      </c>
      <c r="C1858" s="191">
        <f t="shared" si="469"/>
        <v>41415</v>
      </c>
      <c r="D1858" s="37" t="s">
        <v>487</v>
      </c>
      <c r="E1858" s="37">
        <v>41415</v>
      </c>
      <c r="F1858" s="40" t="s">
        <v>829</v>
      </c>
      <c r="G1858" s="40" t="s">
        <v>830</v>
      </c>
      <c r="H1858" s="7" t="s">
        <v>1290</v>
      </c>
      <c r="I1858" s="256">
        <v>303</v>
      </c>
      <c r="J1858" s="256">
        <v>4812.2013201320133</v>
      </c>
      <c r="K1858" s="602">
        <f t="shared" si="471"/>
        <v>1458097</v>
      </c>
      <c r="L1858" s="39" t="s">
        <v>173</v>
      </c>
      <c r="M1858" s="39" t="s">
        <v>167</v>
      </c>
      <c r="N1858" s="39" t="str">
        <f>IF(AND('331-CT'!$E$7=TH!H1858,OR(L1858="331",M1858="331")),"331",IF(AND(OR(L1858="131",M1858="131"),H1858='131-CT'!$E$7),"131",""))</f>
        <v/>
      </c>
      <c r="O1858" s="39" t="str">
        <f>IF(AND($B1858&gt;='111'!$N$11,$B1858&lt;='111'!$O$11,OR($L1858=$O$7,$M1858=$O$7)),"x","")</f>
        <v/>
      </c>
      <c r="P1858" s="39" t="str">
        <f>IF(AND($L1858=$O$7,$B1858&lt;'111'!$N$11),"x","")</f>
        <v/>
      </c>
      <c r="Q1858" s="39" t="str">
        <f>IF(AND($M1858=$O$7,$B1858&lt;'111'!$N$11),"x","")</f>
        <v/>
      </c>
      <c r="R1858" s="39" t="str">
        <f>IF(ISERROR(FIND('112'!$M$9,G1858,1)),"",IF((AND(FIND('112'!$M$9,G1858,1)&gt;=1,$B1858&gt;='112'!$N$8,$B1858&lt;='112'!$O$8,OR($L1858='112'!$I$6,$M1858='112'!$I$6))),"x",""))</f>
        <v/>
      </c>
      <c r="S1858" s="39" t="str">
        <f>IF(ISERROR(FIND('112'!$M$9,G1858,1)),"",IF((AND(LEFT(G1858,2)=LEFT('112'!$M$9,2),B1858&lt;'112'!$N$8,$L1858='112'!$I$6)),"x",""))</f>
        <v/>
      </c>
      <c r="T1858" s="39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>632</v>
      </c>
      <c r="V1858" s="39" t="str">
        <f>IF(OR(TH!L1858=TH!$V$7,M1858=TH!$V$7),"x","")</f>
        <v/>
      </c>
      <c r="W1858" s="39" t="str">
        <f>IF(AND(B1858&gt;='IN-NX'!$P$3,B1858&lt;='IN-NX'!$Q$3,'IN-NX'!$D$7=D1858,OR(LEFT(L1858,2)="15",AND(LEFT(M1858,2)&lt;&gt;"15",LEFT(M1858,2)&lt;&gt;"33"))),"x","")</f>
        <v/>
      </c>
      <c r="X1858" s="39" t="str">
        <f>IF(AND(OR(LEFT(TH!L1858,2)="15",LEFT(TH!M1858,2)="15"),'152-CT'!$J$8=TH!F1858),"x","")</f>
        <v/>
      </c>
      <c r="Y1858" s="39" t="str">
        <f>IF(AND(OR(LEFT(TH!L1858,2)="15",LEFT(TH!M1858,2)="15"),TK!$E$7=TH!F1858),"x","")</f>
        <v/>
      </c>
      <c r="Z1858" s="39" t="str">
        <f>IF(AND(B1858&lt;=NKC!$N$8,B1858&gt;=NKC!$M$8),"x","")</f>
        <v/>
      </c>
      <c r="AA1858" s="883"/>
    </row>
    <row r="1859" spans="1:27" s="211" customFormat="1" ht="15.75" customHeight="1">
      <c r="A1859" s="204" t="str">
        <f>IF(B1859&lt;&gt;"",IF(AND(B1859&gt;=_TM1,B1859&lt;=_TM2,OR(TH!L1859="1111",TH!M1859="1111")),TH!D1859,""),"")</f>
        <v/>
      </c>
      <c r="B1859" s="36">
        <f t="shared" si="470"/>
        <v>5</v>
      </c>
      <c r="C1859" s="191">
        <f t="shared" si="469"/>
        <v>41415</v>
      </c>
      <c r="D1859" s="37" t="s">
        <v>487</v>
      </c>
      <c r="E1859" s="37">
        <v>41415</v>
      </c>
      <c r="F1859" s="40" t="s">
        <v>831</v>
      </c>
      <c r="G1859" s="40" t="s">
        <v>830</v>
      </c>
      <c r="H1859" s="7" t="s">
        <v>1290</v>
      </c>
      <c r="I1859" s="256">
        <v>209</v>
      </c>
      <c r="J1859" s="256">
        <v>1625.5502392344497</v>
      </c>
      <c r="K1859" s="602">
        <f t="shared" si="471"/>
        <v>339740</v>
      </c>
      <c r="L1859" s="39" t="s">
        <v>173</v>
      </c>
      <c r="M1859" s="39" t="s">
        <v>167</v>
      </c>
      <c r="N1859" s="39" t="str">
        <f>IF(AND('331-CT'!$E$7=TH!H1859,OR(L1859="331",M1859="331")),"331",IF(AND(OR(L1859="131",M1859="131"),H1859='131-CT'!$E$7),"131",""))</f>
        <v/>
      </c>
      <c r="O1859" s="39" t="str">
        <f>IF(AND($B1859&gt;='111'!$N$11,$B1859&lt;='111'!$O$11,OR($L1859=$O$7,$M1859=$O$7)),"x","")</f>
        <v/>
      </c>
      <c r="P1859" s="39" t="str">
        <f>IF(AND($L1859=$O$7,$B1859&lt;'111'!$N$11),"x","")</f>
        <v/>
      </c>
      <c r="Q1859" s="39" t="str">
        <f>IF(AND($M1859=$O$7,$B1859&lt;'111'!$N$11),"x","")</f>
        <v/>
      </c>
      <c r="R1859" s="39" t="str">
        <f>IF(ISERROR(FIND('112'!$M$9,G1859,1)),"",IF((AND(FIND('112'!$M$9,G1859,1)&gt;=1,$B1859&gt;='112'!$N$8,$B1859&lt;='112'!$O$8,OR($L1859='112'!$I$6,$M1859='112'!$I$6))),"x",""))</f>
        <v/>
      </c>
      <c r="S1859" s="39" t="str">
        <f>IF(ISERROR(FIND('112'!$M$9,G1859,1)),"",IF((AND(LEFT(G1859,2)=LEFT('112'!$M$9,2),B1859&lt;'112'!$N$8,$L1859='112'!$I$6)),"x",""))</f>
        <v/>
      </c>
      <c r="T1859" s="39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>632</v>
      </c>
      <c r="V1859" s="39" t="str">
        <f>IF(OR(TH!L1859=TH!$V$7,M1859=TH!$V$7),"x","")</f>
        <v/>
      </c>
      <c r="W1859" s="39" t="str">
        <f>IF(AND(B1859&gt;='IN-NX'!$P$3,B1859&lt;='IN-NX'!$Q$3,'IN-NX'!$D$7=D1859,OR(LEFT(L1859,2)="15",AND(LEFT(M1859,2)&lt;&gt;"15",LEFT(M1859,2)&lt;&gt;"33"))),"x","")</f>
        <v/>
      </c>
      <c r="X1859" s="39" t="str">
        <f>IF(AND(OR(LEFT(TH!L1859,2)="15",LEFT(TH!M1859,2)="15"),'152-CT'!$J$8=TH!F1859),"x","")</f>
        <v/>
      </c>
      <c r="Y1859" s="39" t="str">
        <f>IF(AND(OR(LEFT(TH!L1859,2)="15",LEFT(TH!M1859,2)="15"),TK!$E$7=TH!F1859),"x","")</f>
        <v/>
      </c>
      <c r="Z1859" s="39" t="str">
        <f>IF(AND(B1859&lt;=NKC!$N$8,B1859&gt;=NKC!$M$8),"x","")</f>
        <v/>
      </c>
      <c r="AA1859" s="883"/>
    </row>
    <row r="1860" spans="1:27" s="211" customFormat="1" ht="15.75" customHeight="1">
      <c r="A1860" s="204" t="str">
        <f>IF(B1860&lt;&gt;"",IF(AND(B1860&gt;=_TM1,B1860&lt;=_TM2,OR(TH!L1860="1111",TH!M1860="1111")),TH!D1860,""),"")</f>
        <v/>
      </c>
      <c r="B1860" s="36">
        <f t="shared" si="470"/>
        <v>5</v>
      </c>
      <c r="C1860" s="191">
        <f t="shared" si="469"/>
        <v>41415</v>
      </c>
      <c r="D1860" s="37" t="s">
        <v>487</v>
      </c>
      <c r="E1860" s="37">
        <v>41415</v>
      </c>
      <c r="F1860" s="40" t="s">
        <v>832</v>
      </c>
      <c r="G1860" s="40" t="s">
        <v>830</v>
      </c>
      <c r="H1860" s="7" t="s">
        <v>1290</v>
      </c>
      <c r="I1860" s="256">
        <v>305</v>
      </c>
      <c r="J1860" s="256">
        <v>2140.5049180327869</v>
      </c>
      <c r="K1860" s="602">
        <f t="shared" si="471"/>
        <v>652854</v>
      </c>
      <c r="L1860" s="39" t="s">
        <v>173</v>
      </c>
      <c r="M1860" s="39" t="s">
        <v>167</v>
      </c>
      <c r="N1860" s="39" t="str">
        <f>IF(AND('331-CT'!$E$7=TH!H1860,OR(L1860="331",M1860="331")),"331",IF(AND(OR(L1860="131",M1860="131"),H1860='131-CT'!$E$7),"131",""))</f>
        <v/>
      </c>
      <c r="O1860" s="39" t="str">
        <f>IF(AND($B1860&gt;='111'!$N$11,$B1860&lt;='111'!$O$11,OR($L1860=$O$7,$M1860=$O$7)),"x","")</f>
        <v/>
      </c>
      <c r="P1860" s="39" t="str">
        <f>IF(AND($L1860=$O$7,$B1860&lt;'111'!$N$11),"x","")</f>
        <v/>
      </c>
      <c r="Q1860" s="39" t="str">
        <f>IF(AND($M1860=$O$7,$B1860&lt;'111'!$N$11),"x","")</f>
        <v/>
      </c>
      <c r="R1860" s="39" t="str">
        <f>IF(ISERROR(FIND('112'!$M$9,G1860,1)),"",IF((AND(FIND('112'!$M$9,G1860,1)&gt;=1,$B1860&gt;='112'!$N$8,$B1860&lt;='112'!$O$8,OR($L1860='112'!$I$6,$M1860='112'!$I$6))),"x",""))</f>
        <v/>
      </c>
      <c r="S1860" s="39" t="str">
        <f>IF(ISERROR(FIND('112'!$M$9,G1860,1)),"",IF((AND(LEFT(G1860,2)=LEFT('112'!$M$9,2),B1860&lt;'112'!$N$8,$L1860='112'!$I$6)),"x",""))</f>
        <v/>
      </c>
      <c r="T1860" s="39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>632</v>
      </c>
      <c r="V1860" s="39" t="str">
        <f>IF(OR(TH!L1860=TH!$V$7,M1860=TH!$V$7),"x","")</f>
        <v/>
      </c>
      <c r="W1860" s="39" t="str">
        <f>IF(AND(B1860&gt;='IN-NX'!$P$3,B1860&lt;='IN-NX'!$Q$3,'IN-NX'!$D$7=D1860,OR(LEFT(L1860,2)="15",AND(LEFT(M1860,2)&lt;&gt;"15",LEFT(M1860,2)&lt;&gt;"33"))),"x","")</f>
        <v/>
      </c>
      <c r="X1860" s="39" t="str">
        <f>IF(AND(OR(LEFT(TH!L1860,2)="15",LEFT(TH!M1860,2)="15"),'152-CT'!$J$8=TH!F1860),"x","")</f>
        <v/>
      </c>
      <c r="Y1860" s="39" t="str">
        <f>IF(AND(OR(LEFT(TH!L1860,2)="15",LEFT(TH!M1860,2)="15"),TK!$E$7=TH!F1860),"x","")</f>
        <v/>
      </c>
      <c r="Z1860" s="39" t="str">
        <f>IF(AND(B1860&lt;=NKC!$N$8,B1860&gt;=NKC!$M$8),"x","")</f>
        <v/>
      </c>
      <c r="AA1860" s="883"/>
    </row>
    <row r="1861" spans="1:27" s="211" customFormat="1" ht="15.75" customHeight="1">
      <c r="A1861" s="204" t="str">
        <f>IF(B1861&lt;&gt;"",IF(AND(B1861&gt;=_TM1,B1861&lt;=_TM2,OR(TH!L1861="1111",TH!M1861="1111")),TH!D1861,""),"")</f>
        <v/>
      </c>
      <c r="B1861" s="36">
        <f t="shared" si="470"/>
        <v>5</v>
      </c>
      <c r="C1861" s="191">
        <f t="shared" si="469"/>
        <v>41415</v>
      </c>
      <c r="D1861" s="37" t="s">
        <v>487</v>
      </c>
      <c r="E1861" s="37">
        <v>41415</v>
      </c>
      <c r="F1861" s="40" t="s">
        <v>833</v>
      </c>
      <c r="G1861" s="40" t="s">
        <v>830</v>
      </c>
      <c r="H1861" s="7" t="s">
        <v>1290</v>
      </c>
      <c r="I1861" s="256">
        <v>303</v>
      </c>
      <c r="J1861" s="256">
        <v>4202.1155115511547</v>
      </c>
      <c r="K1861" s="602">
        <f t="shared" si="471"/>
        <v>1273241</v>
      </c>
      <c r="L1861" s="39" t="s">
        <v>173</v>
      </c>
      <c r="M1861" s="39" t="s">
        <v>167</v>
      </c>
      <c r="N1861" s="39" t="str">
        <f>IF(AND('331-CT'!$E$7=TH!H1861,OR(L1861="331",M1861="331")),"331",IF(AND(OR(L1861="131",M1861="131"),H1861='131-CT'!$E$7),"131",""))</f>
        <v/>
      </c>
      <c r="O1861" s="39" t="str">
        <f>IF(AND($B1861&gt;='111'!$N$11,$B1861&lt;='111'!$O$11,OR($L1861=$O$7,$M1861=$O$7)),"x","")</f>
        <v/>
      </c>
      <c r="P1861" s="39" t="str">
        <f>IF(AND($L1861=$O$7,$B1861&lt;'111'!$N$11),"x","")</f>
        <v/>
      </c>
      <c r="Q1861" s="39" t="str">
        <f>IF(AND($M1861=$O$7,$B1861&lt;'111'!$N$11),"x","")</f>
        <v/>
      </c>
      <c r="R1861" s="39" t="str">
        <f>IF(ISERROR(FIND('112'!$M$9,G1861,1)),"",IF((AND(FIND('112'!$M$9,G1861,1)&gt;=1,$B1861&gt;='112'!$N$8,$B1861&lt;='112'!$O$8,OR($L1861='112'!$I$6,$M1861='112'!$I$6))),"x",""))</f>
        <v/>
      </c>
      <c r="S1861" s="39" t="str">
        <f>IF(ISERROR(FIND('112'!$M$9,G1861,1)),"",IF((AND(LEFT(G1861,2)=LEFT('112'!$M$9,2),B1861&lt;'112'!$N$8,$L1861='112'!$I$6)),"x",""))</f>
        <v/>
      </c>
      <c r="T1861" s="39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>632</v>
      </c>
      <c r="V1861" s="39" t="str">
        <f>IF(OR(TH!L1861=TH!$V$7,M1861=TH!$V$7),"x","")</f>
        <v/>
      </c>
      <c r="W1861" s="39" t="str">
        <f>IF(AND(B1861&gt;='IN-NX'!$P$3,B1861&lt;='IN-NX'!$Q$3,'IN-NX'!$D$7=D1861,OR(LEFT(L1861,2)="15",AND(LEFT(M1861,2)&lt;&gt;"15",LEFT(M1861,2)&lt;&gt;"33"))),"x","")</f>
        <v/>
      </c>
      <c r="X1861" s="39" t="str">
        <f>IF(AND(OR(LEFT(TH!L1861,2)="15",LEFT(TH!M1861,2)="15"),'152-CT'!$J$8=TH!F1861),"x","")</f>
        <v/>
      </c>
      <c r="Y1861" s="39" t="str">
        <f>IF(AND(OR(LEFT(TH!L1861,2)="15",LEFT(TH!M1861,2)="15"),TK!$E$7=TH!F1861),"x","")</f>
        <v/>
      </c>
      <c r="Z1861" s="39" t="str">
        <f>IF(AND(B1861&lt;=NKC!$N$8,B1861&gt;=NKC!$M$8),"x","")</f>
        <v/>
      </c>
      <c r="AA1861" s="883"/>
    </row>
    <row r="1862" spans="1:27" s="211" customFormat="1" ht="15.75" customHeight="1">
      <c r="A1862" s="204" t="str">
        <f>IF(B1862&lt;&gt;"",IF(AND(B1862&gt;=_TM1,B1862&lt;=_TM2,OR(TH!L1862="1111",TH!M1862="1111")),TH!D1862,""),"")</f>
        <v/>
      </c>
      <c r="B1862" s="36">
        <f t="shared" si="470"/>
        <v>5</v>
      </c>
      <c r="C1862" s="191">
        <f t="shared" si="469"/>
        <v>41415</v>
      </c>
      <c r="D1862" s="37" t="s">
        <v>487</v>
      </c>
      <c r="E1862" s="37">
        <v>41415</v>
      </c>
      <c r="F1862" s="40" t="s">
        <v>1155</v>
      </c>
      <c r="G1862" s="40" t="s">
        <v>830</v>
      </c>
      <c r="H1862" s="7" t="s">
        <v>1290</v>
      </c>
      <c r="I1862" s="256">
        <v>270</v>
      </c>
      <c r="J1862" s="256">
        <v>6807.2740740740737</v>
      </c>
      <c r="K1862" s="602">
        <f t="shared" si="471"/>
        <v>1837964</v>
      </c>
      <c r="L1862" s="39" t="s">
        <v>173</v>
      </c>
      <c r="M1862" s="39" t="s">
        <v>167</v>
      </c>
      <c r="N1862" s="39" t="str">
        <f>IF(AND('331-CT'!$E$7=TH!H1862,OR(L1862="331",M1862="331")),"331",IF(AND(OR(L1862="131",M1862="131"),H1862='131-CT'!$E$7),"131",""))</f>
        <v/>
      </c>
      <c r="O1862" s="39" t="str">
        <f>IF(AND($B1862&gt;='111'!$N$11,$B1862&lt;='111'!$O$11,OR($L1862=$O$7,$M1862=$O$7)),"x","")</f>
        <v/>
      </c>
      <c r="P1862" s="39" t="str">
        <f>IF(AND($L1862=$O$7,$B1862&lt;'111'!$N$11),"x","")</f>
        <v/>
      </c>
      <c r="Q1862" s="39" t="str">
        <f>IF(AND($M1862=$O$7,$B1862&lt;'111'!$N$11),"x","")</f>
        <v/>
      </c>
      <c r="R1862" s="39" t="str">
        <f>IF(ISERROR(FIND('112'!$M$9,G1862,1)),"",IF((AND(FIND('112'!$M$9,G1862,1)&gt;=1,$B1862&gt;='112'!$N$8,$B1862&lt;='112'!$O$8,OR($L1862='112'!$I$6,$M1862='112'!$I$6))),"x",""))</f>
        <v/>
      </c>
      <c r="S1862" s="39" t="str">
        <f>IF(ISERROR(FIND('112'!$M$9,G1862,1)),"",IF((AND(LEFT(G1862,2)=LEFT('112'!$M$9,2),B1862&lt;'112'!$N$8,$L1862='112'!$I$6)),"x",""))</f>
        <v/>
      </c>
      <c r="T1862" s="39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>632</v>
      </c>
      <c r="V1862" s="39" t="str">
        <f>IF(OR(TH!L1862=TH!$V$7,M1862=TH!$V$7),"x","")</f>
        <v/>
      </c>
      <c r="W1862" s="39" t="str">
        <f>IF(AND(B1862&gt;='IN-NX'!$P$3,B1862&lt;='IN-NX'!$Q$3,'IN-NX'!$D$7=D1862,OR(LEFT(L1862,2)="15",AND(LEFT(M1862,2)&lt;&gt;"15",LEFT(M1862,2)&lt;&gt;"33"))),"x","")</f>
        <v/>
      </c>
      <c r="X1862" s="39" t="str">
        <f>IF(AND(OR(LEFT(TH!L1862,2)="15",LEFT(TH!M1862,2)="15"),'152-CT'!$J$8=TH!F1862),"x","")</f>
        <v/>
      </c>
      <c r="Y1862" s="39" t="str">
        <f>IF(AND(OR(LEFT(TH!L1862,2)="15",LEFT(TH!M1862,2)="15"),TK!$E$7=TH!F1862),"x","")</f>
        <v/>
      </c>
      <c r="Z1862" s="39" t="str">
        <f>IF(AND(B1862&lt;=NKC!$N$8,B1862&gt;=NKC!$M$8),"x","")</f>
        <v/>
      </c>
      <c r="AA1862" s="883"/>
    </row>
    <row r="1863" spans="1:27" s="211" customFormat="1" ht="15.75" customHeight="1">
      <c r="A1863" s="204" t="str">
        <f>IF(B1863&lt;&gt;"",IF(AND(B1863&gt;=_TM1,B1863&lt;=_TM2,OR(TH!L1863="1111",TH!M1863="1111")),TH!D1863,""),"")</f>
        <v/>
      </c>
      <c r="B1863" s="36">
        <f t="shared" si="470"/>
        <v>5</v>
      </c>
      <c r="C1863" s="191">
        <f t="shared" si="469"/>
        <v>41418</v>
      </c>
      <c r="D1863" s="37" t="s">
        <v>487</v>
      </c>
      <c r="E1863" s="37">
        <v>41418</v>
      </c>
      <c r="F1863" s="40" t="s">
        <v>1141</v>
      </c>
      <c r="G1863" s="40" t="s">
        <v>834</v>
      </c>
      <c r="H1863" s="7" t="s">
        <v>1290</v>
      </c>
      <c r="I1863" s="256">
        <v>1034</v>
      </c>
      <c r="J1863" s="256">
        <v>5941.5996131528045</v>
      </c>
      <c r="K1863" s="602">
        <f t="shared" si="471"/>
        <v>6143614</v>
      </c>
      <c r="L1863" s="39" t="s">
        <v>173</v>
      </c>
      <c r="M1863" s="39" t="s">
        <v>167</v>
      </c>
      <c r="N1863" s="39" t="str">
        <f>IF(AND('331-CT'!$E$7=TH!H1863,OR(L1863="331",M1863="331")),"331",IF(AND(OR(L1863="131",M1863="131"),H1863='131-CT'!$E$7),"131",""))</f>
        <v/>
      </c>
      <c r="O1863" s="39" t="str">
        <f>IF(AND($B1863&gt;='111'!$N$11,$B1863&lt;='111'!$O$11,OR($L1863=$O$7,$M1863=$O$7)),"x","")</f>
        <v/>
      </c>
      <c r="P1863" s="39" t="str">
        <f>IF(AND($L1863=$O$7,$B1863&lt;'111'!$N$11),"x","")</f>
        <v/>
      </c>
      <c r="Q1863" s="39" t="str">
        <f>IF(AND($M1863=$O$7,$B1863&lt;'111'!$N$11),"x","")</f>
        <v/>
      </c>
      <c r="R1863" s="39" t="str">
        <f>IF(ISERROR(FIND('112'!$M$9,G1863,1)),"",IF((AND(FIND('112'!$M$9,G1863,1)&gt;=1,$B1863&gt;='112'!$N$8,$B1863&lt;='112'!$O$8,OR($L1863='112'!$I$6,$M1863='112'!$I$6))),"x",""))</f>
        <v/>
      </c>
      <c r="S1863" s="39" t="str">
        <f>IF(ISERROR(FIND('112'!$M$9,G1863,1)),"",IF((AND(LEFT(G1863,2)=LEFT('112'!$M$9,2),B1863&lt;'112'!$N$8,$L1863='112'!$I$6)),"x",""))</f>
        <v/>
      </c>
      <c r="T1863" s="39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>632</v>
      </c>
      <c r="V1863" s="39" t="str">
        <f>IF(OR(TH!L1863=TH!$V$7,M1863=TH!$V$7),"x","")</f>
        <v/>
      </c>
      <c r="W1863" s="39" t="str">
        <f>IF(AND(B1863&gt;='IN-NX'!$P$3,B1863&lt;='IN-NX'!$Q$3,'IN-NX'!$D$7=D1863,OR(LEFT(L1863,2)="15",AND(LEFT(M1863,2)&lt;&gt;"15",LEFT(M1863,2)&lt;&gt;"33"))),"x","")</f>
        <v/>
      </c>
      <c r="X1863" s="39" t="str">
        <f>IF(AND(OR(LEFT(TH!L1863,2)="15",LEFT(TH!M1863,2)="15"),'152-CT'!$J$8=TH!F1863),"x","")</f>
        <v/>
      </c>
      <c r="Y1863" s="39" t="str">
        <f>IF(AND(OR(LEFT(TH!L1863,2)="15",LEFT(TH!M1863,2)="15"),TK!$E$7=TH!F1863),"x","")</f>
        <v/>
      </c>
      <c r="Z1863" s="39" t="str">
        <f>IF(AND(B1863&lt;=NKC!$N$8,B1863&gt;=NKC!$M$8),"x","")</f>
        <v/>
      </c>
      <c r="AA1863" s="883"/>
    </row>
    <row r="1864" spans="1:27" s="211" customFormat="1" ht="15.75" customHeight="1">
      <c r="A1864" s="204" t="str">
        <f>IF(B1864&lt;&gt;"",IF(AND(B1864&gt;=_TM1,B1864&lt;=_TM2,OR(TH!L1864="1111",TH!M1864="1111")),TH!D1864,""),"")</f>
        <v/>
      </c>
      <c r="B1864" s="36">
        <f t="shared" si="470"/>
        <v>6</v>
      </c>
      <c r="C1864" s="191">
        <f t="shared" si="469"/>
        <v>41429</v>
      </c>
      <c r="D1864" s="37" t="s">
        <v>487</v>
      </c>
      <c r="E1864" s="37">
        <v>41429</v>
      </c>
      <c r="F1864" s="40" t="s">
        <v>1139</v>
      </c>
      <c r="G1864" s="40" t="s">
        <v>835</v>
      </c>
      <c r="H1864" s="7" t="s">
        <v>1290</v>
      </c>
      <c r="I1864" s="256">
        <v>296</v>
      </c>
      <c r="J1864" s="256">
        <v>14861.236486486487</v>
      </c>
      <c r="K1864" s="602">
        <f t="shared" si="471"/>
        <v>4398926</v>
      </c>
      <c r="L1864" s="39" t="s">
        <v>173</v>
      </c>
      <c r="M1864" s="39" t="s">
        <v>167</v>
      </c>
      <c r="N1864" s="39" t="str">
        <f>IF(AND('331-CT'!$E$7=TH!H1864,OR(L1864="331",M1864="331")),"331",IF(AND(OR(L1864="131",M1864="131"),H1864='131-CT'!$E$7),"131",""))</f>
        <v/>
      </c>
      <c r="O1864" s="39" t="str">
        <f>IF(AND($B1864&gt;='111'!$N$11,$B1864&lt;='111'!$O$11,OR($L1864=$O$7,$M1864=$O$7)),"x","")</f>
        <v/>
      </c>
      <c r="P1864" s="39" t="str">
        <f>IF(AND($L1864=$O$7,$B1864&lt;'111'!$N$11),"x","")</f>
        <v/>
      </c>
      <c r="Q1864" s="39" t="str">
        <f>IF(AND($M1864=$O$7,$B1864&lt;'111'!$N$11),"x","")</f>
        <v/>
      </c>
      <c r="R1864" s="39" t="str">
        <f>IF(ISERROR(FIND('112'!$M$9,G1864,1)),"",IF((AND(FIND('112'!$M$9,G1864,1)&gt;=1,$B1864&gt;='112'!$N$8,$B1864&lt;='112'!$O$8,OR($L1864='112'!$I$6,$M1864='112'!$I$6))),"x",""))</f>
        <v/>
      </c>
      <c r="S1864" s="39" t="str">
        <f>IF(ISERROR(FIND('112'!$M$9,G1864,1)),"",IF((AND(LEFT(G1864,2)=LEFT('112'!$M$9,2),B1864&lt;'112'!$N$8,$L1864='112'!$I$6)),"x",""))</f>
        <v/>
      </c>
      <c r="T1864" s="39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>632</v>
      </c>
      <c r="V1864" s="39" t="str">
        <f>IF(OR(TH!L1864=TH!$V$7,M1864=TH!$V$7),"x","")</f>
        <v/>
      </c>
      <c r="W1864" s="39" t="str">
        <f>IF(AND(B1864&gt;='IN-NX'!$P$3,B1864&lt;='IN-NX'!$Q$3,'IN-NX'!$D$7=D1864,OR(LEFT(L1864,2)="15",AND(LEFT(M1864,2)&lt;&gt;"15",LEFT(M1864,2)&lt;&gt;"33"))),"x","")</f>
        <v/>
      </c>
      <c r="X1864" s="39" t="str">
        <f>IF(AND(OR(LEFT(TH!L1864,2)="15",LEFT(TH!M1864,2)="15"),'152-CT'!$J$8=TH!F1864),"x","")</f>
        <v/>
      </c>
      <c r="Y1864" s="39" t="str">
        <f>IF(AND(OR(LEFT(TH!L1864,2)="15",LEFT(TH!M1864,2)="15"),TK!$E$7=TH!F1864),"x","")</f>
        <v/>
      </c>
      <c r="Z1864" s="39" t="str">
        <f>IF(AND(B1864&lt;=NKC!$N$8,B1864&gt;=NKC!$M$8),"x","")</f>
        <v/>
      </c>
      <c r="AA1864" s="883"/>
    </row>
    <row r="1865" spans="1:27" s="211" customFormat="1" ht="15.75" customHeight="1">
      <c r="A1865" s="204" t="str">
        <f>IF(B1865&lt;&gt;"",IF(AND(B1865&gt;=_TM1,B1865&lt;=_TM2,OR(TH!L1865="1111",TH!M1865="1111")),TH!D1865,""),"")</f>
        <v/>
      </c>
      <c r="B1865" s="36">
        <f t="shared" si="470"/>
        <v>6</v>
      </c>
      <c r="C1865" s="191">
        <f t="shared" si="469"/>
        <v>41429</v>
      </c>
      <c r="D1865" s="37" t="s">
        <v>487</v>
      </c>
      <c r="E1865" s="191">
        <v>41429</v>
      </c>
      <c r="F1865" s="192" t="s">
        <v>836</v>
      </c>
      <c r="G1865" s="487" t="s">
        <v>837</v>
      </c>
      <c r="H1865" s="7" t="s">
        <v>1290</v>
      </c>
      <c r="I1865" s="256">
        <v>847</v>
      </c>
      <c r="J1865" s="256">
        <v>10880.525383707201</v>
      </c>
      <c r="K1865" s="602">
        <f t="shared" si="471"/>
        <v>9215805</v>
      </c>
      <c r="L1865" s="39" t="s">
        <v>173</v>
      </c>
      <c r="M1865" s="39" t="s">
        <v>167</v>
      </c>
      <c r="N1865" s="39" t="str">
        <f>IF(AND('331-CT'!$E$7=TH!H1865,OR(L1865="331",M1865="331")),"331",IF(AND(OR(L1865="131",M1865="131"),H1865='131-CT'!$E$7),"131",""))</f>
        <v/>
      </c>
      <c r="O1865" s="39" t="str">
        <f>IF(AND($B1865&gt;='111'!$N$11,$B1865&lt;='111'!$O$11,OR($L1865=$O$7,$M1865=$O$7)),"x","")</f>
        <v/>
      </c>
      <c r="P1865" s="39" t="str">
        <f>IF(AND($L1865=$O$7,$B1865&lt;'111'!$N$11),"x","")</f>
        <v/>
      </c>
      <c r="Q1865" s="39" t="str">
        <f>IF(AND($M1865=$O$7,$B1865&lt;'111'!$N$11),"x","")</f>
        <v/>
      </c>
      <c r="R1865" s="39" t="str">
        <f>IF(ISERROR(FIND('112'!$M$9,G1865,1)),"",IF((AND(FIND('112'!$M$9,G1865,1)&gt;=1,$B1865&gt;='112'!$N$8,$B1865&lt;='112'!$O$8,OR($L1865='112'!$I$6,$M1865='112'!$I$6))),"x",""))</f>
        <v/>
      </c>
      <c r="S1865" s="39" t="str">
        <f>IF(ISERROR(FIND('112'!$M$9,G1865,1)),"",IF((AND(LEFT(G1865,2)=LEFT('112'!$M$9,2),B1865&lt;'112'!$N$8,$L1865='112'!$I$6)),"x",""))</f>
        <v/>
      </c>
      <c r="T1865" s="39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>632</v>
      </c>
      <c r="V1865" s="39" t="str">
        <f>IF(OR(TH!L1865=TH!$V$7,M1865=TH!$V$7),"x","")</f>
        <v/>
      </c>
      <c r="W1865" s="39" t="str">
        <f>IF(AND(B1865&gt;='IN-NX'!$P$3,B1865&lt;='IN-NX'!$Q$3,'IN-NX'!$D$7=D1865,OR(LEFT(L1865,2)="15",AND(LEFT(M1865,2)&lt;&gt;"15",LEFT(M1865,2)&lt;&gt;"33"))),"x","")</f>
        <v/>
      </c>
      <c r="X1865" s="39" t="str">
        <f>IF(AND(OR(LEFT(TH!L1865,2)="15",LEFT(TH!M1865,2)="15"),'152-CT'!$J$8=TH!F1865),"x","")</f>
        <v/>
      </c>
      <c r="Y1865" s="39" t="str">
        <f>IF(AND(OR(LEFT(TH!L1865,2)="15",LEFT(TH!M1865,2)="15"),TK!$E$7=TH!F1865),"x","")</f>
        <v/>
      </c>
      <c r="Z1865" s="39" t="str">
        <f>IF(AND(B1865&lt;=NKC!$N$8,B1865&gt;=NKC!$M$8),"x","")</f>
        <v/>
      </c>
      <c r="AA1865" s="883"/>
    </row>
    <row r="1866" spans="1:27" s="211" customFormat="1" ht="15.75" customHeight="1">
      <c r="A1866" s="204" t="str">
        <f>IF(B1866&lt;&gt;"",IF(AND(B1866&gt;=_TM1,B1866&lt;=_TM2,OR(TH!L1866="1111",TH!M1866="1111")),TH!D1866,""),"")</f>
        <v/>
      </c>
      <c r="B1866" s="36">
        <f t="shared" si="470"/>
        <v>6</v>
      </c>
      <c r="C1866" s="191">
        <f t="shared" si="469"/>
        <v>41430</v>
      </c>
      <c r="D1866" s="37" t="s">
        <v>487</v>
      </c>
      <c r="E1866" s="191">
        <v>41430</v>
      </c>
      <c r="F1866" s="192" t="s">
        <v>838</v>
      </c>
      <c r="G1866" s="487" t="s">
        <v>839</v>
      </c>
      <c r="H1866" s="7" t="s">
        <v>1290</v>
      </c>
      <c r="I1866" s="256">
        <v>2399</v>
      </c>
      <c r="J1866" s="256">
        <v>5869.8253438932888</v>
      </c>
      <c r="K1866" s="602">
        <f t="shared" si="471"/>
        <v>14081711</v>
      </c>
      <c r="L1866" s="39" t="s">
        <v>173</v>
      </c>
      <c r="M1866" s="39" t="s">
        <v>167</v>
      </c>
      <c r="N1866" s="39" t="str">
        <f>IF(AND('331-CT'!$E$7=TH!H1866,OR(L1866="331",M1866="331")),"331",IF(AND(OR(L1866="131",M1866="131"),H1866='131-CT'!$E$7),"131",""))</f>
        <v/>
      </c>
      <c r="O1866" s="39" t="str">
        <f>IF(AND($B1866&gt;='111'!$N$11,$B1866&lt;='111'!$O$11,OR($L1866=$O$7,$M1866=$O$7)),"x","")</f>
        <v/>
      </c>
      <c r="P1866" s="39" t="str">
        <f>IF(AND($L1866=$O$7,$B1866&lt;'111'!$N$11),"x","")</f>
        <v/>
      </c>
      <c r="Q1866" s="39" t="str">
        <f>IF(AND($M1866=$O$7,$B1866&lt;'111'!$N$11),"x","")</f>
        <v/>
      </c>
      <c r="R1866" s="39" t="str">
        <f>IF(ISERROR(FIND('112'!$M$9,G1866,1)),"",IF((AND(FIND('112'!$M$9,G1866,1)&gt;=1,$B1866&gt;='112'!$N$8,$B1866&lt;='112'!$O$8,OR($L1866='112'!$I$6,$M1866='112'!$I$6))),"x",""))</f>
        <v/>
      </c>
      <c r="S1866" s="39" t="str">
        <f>IF(ISERROR(FIND('112'!$M$9,G1866,1)),"",IF((AND(LEFT(G1866,2)=LEFT('112'!$M$9,2),B1866&lt;'112'!$N$8,$L1866='112'!$I$6)),"x",""))</f>
        <v/>
      </c>
      <c r="T1866" s="39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>632</v>
      </c>
      <c r="V1866" s="39" t="str">
        <f>IF(OR(TH!L1866=TH!$V$7,M1866=TH!$V$7),"x","")</f>
        <v/>
      </c>
      <c r="W1866" s="39" t="str">
        <f>IF(AND(B1866&gt;='IN-NX'!$P$3,B1866&lt;='IN-NX'!$Q$3,'IN-NX'!$D$7=D1866,OR(LEFT(L1866,2)="15",AND(LEFT(M1866,2)&lt;&gt;"15",LEFT(M1866,2)&lt;&gt;"33"))),"x","")</f>
        <v/>
      </c>
      <c r="X1866" s="39" t="str">
        <f>IF(AND(OR(LEFT(TH!L1866,2)="15",LEFT(TH!M1866,2)="15"),'152-CT'!$J$8=TH!F1866),"x","")</f>
        <v/>
      </c>
      <c r="Y1866" s="39" t="str">
        <f>IF(AND(OR(LEFT(TH!L1866,2)="15",LEFT(TH!M1866,2)="15"),TK!$E$7=TH!F1866),"x","")</f>
        <v/>
      </c>
      <c r="Z1866" s="39" t="str">
        <f>IF(AND(B1866&lt;=NKC!$N$8,B1866&gt;=NKC!$M$8),"x","")</f>
        <v/>
      </c>
      <c r="AA1866" s="883"/>
    </row>
    <row r="1867" spans="1:27" s="211" customFormat="1" ht="15.75" customHeight="1">
      <c r="A1867" s="204" t="str">
        <f>IF(B1867&lt;&gt;"",IF(AND(B1867&gt;=_TM1,B1867&lt;=_TM2,OR(TH!L1867="1111",TH!M1867="1111")),TH!D1867,""),"")</f>
        <v/>
      </c>
      <c r="B1867" s="36">
        <f t="shared" si="470"/>
        <v>6</v>
      </c>
      <c r="C1867" s="191">
        <f t="shared" si="469"/>
        <v>41430</v>
      </c>
      <c r="D1867" s="37" t="s">
        <v>487</v>
      </c>
      <c r="E1867" s="191">
        <v>41430</v>
      </c>
      <c r="F1867" s="192" t="s">
        <v>838</v>
      </c>
      <c r="G1867" s="487" t="s">
        <v>839</v>
      </c>
      <c r="H1867" s="7" t="s">
        <v>1290</v>
      </c>
      <c r="I1867" s="256">
        <v>2542</v>
      </c>
      <c r="J1867" s="256">
        <v>6662.8768686073954</v>
      </c>
      <c r="K1867" s="602">
        <f t="shared" si="471"/>
        <v>16937033</v>
      </c>
      <c r="L1867" s="39" t="s">
        <v>173</v>
      </c>
      <c r="M1867" s="39" t="s">
        <v>167</v>
      </c>
      <c r="N1867" s="39" t="str">
        <f>IF(AND('331-CT'!$E$7=TH!H1867,OR(L1867="331",M1867="331")),"331",IF(AND(OR(L1867="131",M1867="131"),H1867='131-CT'!$E$7),"131",""))</f>
        <v/>
      </c>
      <c r="O1867" s="39" t="str">
        <f>IF(AND($B1867&gt;='111'!$N$11,$B1867&lt;='111'!$O$11,OR($L1867=$O$7,$M1867=$O$7)),"x","")</f>
        <v/>
      </c>
      <c r="P1867" s="39" t="str">
        <f>IF(AND($L1867=$O$7,$B1867&lt;'111'!$N$11),"x","")</f>
        <v/>
      </c>
      <c r="Q1867" s="39" t="str">
        <f>IF(AND($M1867=$O$7,$B1867&lt;'111'!$N$11),"x","")</f>
        <v/>
      </c>
      <c r="R1867" s="39" t="str">
        <f>IF(ISERROR(FIND('112'!$M$9,G1867,1)),"",IF((AND(FIND('112'!$M$9,G1867,1)&gt;=1,$B1867&gt;='112'!$N$8,$B1867&lt;='112'!$O$8,OR($L1867='112'!$I$6,$M1867='112'!$I$6))),"x",""))</f>
        <v/>
      </c>
      <c r="S1867" s="39" t="str">
        <f>IF(ISERROR(FIND('112'!$M$9,G1867,1)),"",IF((AND(LEFT(G1867,2)=LEFT('112'!$M$9,2),B1867&lt;'112'!$N$8,$L1867='112'!$I$6)),"x",""))</f>
        <v/>
      </c>
      <c r="T1867" s="39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>632</v>
      </c>
      <c r="V1867" s="39" t="str">
        <f>IF(OR(TH!L1867=TH!$V$7,M1867=TH!$V$7),"x","")</f>
        <v/>
      </c>
      <c r="W1867" s="39" t="str">
        <f>IF(AND(B1867&gt;='IN-NX'!$P$3,B1867&lt;='IN-NX'!$Q$3,'IN-NX'!$D$7=D1867,OR(LEFT(L1867,2)="15",AND(LEFT(M1867,2)&lt;&gt;"15",LEFT(M1867,2)&lt;&gt;"33"))),"x","")</f>
        <v/>
      </c>
      <c r="X1867" s="39" t="str">
        <f>IF(AND(OR(LEFT(TH!L1867,2)="15",LEFT(TH!M1867,2)="15"),'152-CT'!$J$8=TH!F1867),"x","")</f>
        <v/>
      </c>
      <c r="Y1867" s="39" t="str">
        <f>IF(AND(OR(LEFT(TH!L1867,2)="15",LEFT(TH!M1867,2)="15"),TK!$E$7=TH!F1867),"x","")</f>
        <v/>
      </c>
      <c r="Z1867" s="39" t="str">
        <f>IF(AND(B1867&lt;=NKC!$N$8,B1867&gt;=NKC!$M$8),"x","")</f>
        <v/>
      </c>
      <c r="AA1867" s="883"/>
    </row>
    <row r="1868" spans="1:27" s="211" customFormat="1" ht="15.75" customHeight="1">
      <c r="A1868" s="204" t="str">
        <f>IF(B1868&lt;&gt;"",IF(AND(B1868&gt;=_TM1,B1868&lt;=_TM2,OR(TH!L1868="1111",TH!M1868="1111")),TH!D1868,""),"")</f>
        <v/>
      </c>
      <c r="B1868" s="36">
        <f t="shared" si="470"/>
        <v>6</v>
      </c>
      <c r="C1868" s="191">
        <f t="shared" si="469"/>
        <v>41432</v>
      </c>
      <c r="D1868" s="37" t="s">
        <v>487</v>
      </c>
      <c r="E1868" s="191">
        <v>41432</v>
      </c>
      <c r="F1868" s="192" t="s">
        <v>1128</v>
      </c>
      <c r="G1868" s="487" t="s">
        <v>840</v>
      </c>
      <c r="H1868" s="7" t="s">
        <v>1290</v>
      </c>
      <c r="I1868" s="257">
        <v>106</v>
      </c>
      <c r="J1868" s="257">
        <v>13419.613207547171</v>
      </c>
      <c r="K1868" s="602">
        <f t="shared" si="471"/>
        <v>1422479</v>
      </c>
      <c r="L1868" s="39" t="s">
        <v>173</v>
      </c>
      <c r="M1868" s="39" t="s">
        <v>167</v>
      </c>
      <c r="N1868" s="39" t="str">
        <f>IF(AND('331-CT'!$E$7=TH!H1868,OR(L1868="331",M1868="331")),"331",IF(AND(OR(L1868="131",M1868="131"),H1868='131-CT'!$E$7),"131",""))</f>
        <v/>
      </c>
      <c r="O1868" s="39" t="str">
        <f>IF(AND($B1868&gt;='111'!$N$11,$B1868&lt;='111'!$O$11,OR($L1868=$O$7,$M1868=$O$7)),"x","")</f>
        <v/>
      </c>
      <c r="P1868" s="39" t="str">
        <f>IF(AND($L1868=$O$7,$B1868&lt;'111'!$N$11),"x","")</f>
        <v/>
      </c>
      <c r="Q1868" s="39" t="str">
        <f>IF(AND($M1868=$O$7,$B1868&lt;'111'!$N$11),"x","")</f>
        <v/>
      </c>
      <c r="R1868" s="39" t="str">
        <f>IF(ISERROR(FIND('112'!$M$9,G1868,1)),"",IF((AND(FIND('112'!$M$9,G1868,1)&gt;=1,$B1868&gt;='112'!$N$8,$B1868&lt;='112'!$O$8,OR($L1868='112'!$I$6,$M1868='112'!$I$6))),"x",""))</f>
        <v/>
      </c>
      <c r="S1868" s="39" t="str">
        <f>IF(ISERROR(FIND('112'!$M$9,G1868,1)),"",IF((AND(LEFT(G1868,2)=LEFT('112'!$M$9,2),B1868&lt;'112'!$N$8,$L1868='112'!$I$6)),"x",""))</f>
        <v/>
      </c>
      <c r="T1868" s="39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>632</v>
      </c>
      <c r="V1868" s="39" t="str">
        <f>IF(OR(TH!L1868=TH!$V$7,M1868=TH!$V$7),"x","")</f>
        <v/>
      </c>
      <c r="W1868" s="39" t="str">
        <f>IF(AND(B1868&gt;='IN-NX'!$P$3,B1868&lt;='IN-NX'!$Q$3,'IN-NX'!$D$7=D1868,OR(LEFT(L1868,2)="15",AND(LEFT(M1868,2)&lt;&gt;"15",LEFT(M1868,2)&lt;&gt;"33"))),"x","")</f>
        <v/>
      </c>
      <c r="X1868" s="39" t="str">
        <f>IF(AND(OR(LEFT(TH!L1868,2)="15",LEFT(TH!M1868,2)="15"),'152-CT'!$J$8=TH!F1868),"x","")</f>
        <v/>
      </c>
      <c r="Y1868" s="39" t="str">
        <f>IF(AND(OR(LEFT(TH!L1868,2)="15",LEFT(TH!M1868,2)="15"),TK!$E$7=TH!F1868),"x","")</f>
        <v/>
      </c>
      <c r="Z1868" s="39" t="str">
        <f>IF(AND(B1868&lt;=NKC!$N$8,B1868&gt;=NKC!$M$8),"x","")</f>
        <v/>
      </c>
      <c r="AA1868" s="883"/>
    </row>
    <row r="1869" spans="1:27" s="211" customFormat="1" ht="15.75" customHeight="1">
      <c r="A1869" s="204" t="str">
        <f>IF(B1869&lt;&gt;"",IF(AND(B1869&gt;=_TM1,B1869&lt;=_TM2,OR(TH!L1869="1111",TH!M1869="1111")),TH!D1869,""),"")</f>
        <v/>
      </c>
      <c r="B1869" s="36">
        <f t="shared" si="470"/>
        <v>6</v>
      </c>
      <c r="C1869" s="191">
        <f t="shared" si="469"/>
        <v>41432</v>
      </c>
      <c r="D1869" s="37" t="s">
        <v>487</v>
      </c>
      <c r="E1869" s="191">
        <v>41432</v>
      </c>
      <c r="F1869" s="192" t="s">
        <v>1131</v>
      </c>
      <c r="G1869" s="487" t="s">
        <v>840</v>
      </c>
      <c r="H1869" s="7" t="s">
        <v>1290</v>
      </c>
      <c r="I1869" s="256">
        <v>197</v>
      </c>
      <c r="J1869" s="256">
        <v>9349.6243654822338</v>
      </c>
      <c r="K1869" s="602">
        <f t="shared" si="471"/>
        <v>1841876</v>
      </c>
      <c r="L1869" s="39" t="s">
        <v>173</v>
      </c>
      <c r="M1869" s="39" t="s">
        <v>167</v>
      </c>
      <c r="N1869" s="39" t="str">
        <f>IF(AND('331-CT'!$E$7=TH!H1869,OR(L1869="331",M1869="331")),"331",IF(AND(OR(L1869="131",M1869="131"),H1869='131-CT'!$E$7),"131",""))</f>
        <v/>
      </c>
      <c r="O1869" s="39" t="str">
        <f>IF(AND($B1869&gt;='111'!$N$11,$B1869&lt;='111'!$O$11,OR($L1869=$O$7,$M1869=$O$7)),"x","")</f>
        <v/>
      </c>
      <c r="P1869" s="39" t="str">
        <f>IF(AND($L1869=$O$7,$B1869&lt;'111'!$N$11),"x","")</f>
        <v/>
      </c>
      <c r="Q1869" s="39" t="str">
        <f>IF(AND($M1869=$O$7,$B1869&lt;'111'!$N$11),"x","")</f>
        <v/>
      </c>
      <c r="R1869" s="39" t="str">
        <f>IF(ISERROR(FIND('112'!$M$9,G1869,1)),"",IF((AND(FIND('112'!$M$9,G1869,1)&gt;=1,$B1869&gt;='112'!$N$8,$B1869&lt;='112'!$O$8,OR($L1869='112'!$I$6,$M1869='112'!$I$6))),"x",""))</f>
        <v/>
      </c>
      <c r="S1869" s="39" t="str">
        <f>IF(ISERROR(FIND('112'!$M$9,G1869,1)),"",IF((AND(LEFT(G1869,2)=LEFT('112'!$M$9,2),B1869&lt;'112'!$N$8,$L1869='112'!$I$6)),"x",""))</f>
        <v/>
      </c>
      <c r="T1869" s="39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>632</v>
      </c>
      <c r="V1869" s="39" t="str">
        <f>IF(OR(TH!L1869=TH!$V$7,M1869=TH!$V$7),"x","")</f>
        <v/>
      </c>
      <c r="W1869" s="39" t="str">
        <f>IF(AND(B1869&gt;='IN-NX'!$P$3,B1869&lt;='IN-NX'!$Q$3,'IN-NX'!$D$7=D1869,OR(LEFT(L1869,2)="15",AND(LEFT(M1869,2)&lt;&gt;"15",LEFT(M1869,2)&lt;&gt;"33"))),"x","")</f>
        <v/>
      </c>
      <c r="X1869" s="39" t="str">
        <f>IF(AND(OR(LEFT(TH!L1869,2)="15",LEFT(TH!M1869,2)="15"),'152-CT'!$J$8=TH!F1869),"x","")</f>
        <v/>
      </c>
      <c r="Y1869" s="39" t="str">
        <f>IF(AND(OR(LEFT(TH!L1869,2)="15",LEFT(TH!M1869,2)="15"),TK!$E$7=TH!F1869),"x","")</f>
        <v/>
      </c>
      <c r="Z1869" s="39" t="str">
        <f>IF(AND(B1869&lt;=NKC!$N$8,B1869&gt;=NKC!$M$8),"x","")</f>
        <v/>
      </c>
      <c r="AA1869" s="883"/>
    </row>
    <row r="1870" spans="1:27" s="211" customFormat="1" ht="15.75" customHeight="1">
      <c r="A1870" s="204" t="str">
        <f>IF(B1870&lt;&gt;"",IF(AND(B1870&gt;=_TM1,B1870&lt;=_TM2,OR(TH!L1870="1111",TH!M1870="1111")),TH!D1870,""),"")</f>
        <v/>
      </c>
      <c r="B1870" s="36">
        <f t="shared" si="470"/>
        <v>6</v>
      </c>
      <c r="C1870" s="191">
        <f t="shared" ref="C1870:C1933" si="472">E1870</f>
        <v>41432</v>
      </c>
      <c r="D1870" s="37" t="s">
        <v>487</v>
      </c>
      <c r="E1870" s="191">
        <v>41432</v>
      </c>
      <c r="F1870" s="192" t="s">
        <v>841</v>
      </c>
      <c r="G1870" s="487" t="s">
        <v>840</v>
      </c>
      <c r="H1870" s="7" t="s">
        <v>1290</v>
      </c>
      <c r="I1870" s="256">
        <v>104</v>
      </c>
      <c r="J1870" s="256">
        <v>11401.740384615385</v>
      </c>
      <c r="K1870" s="602">
        <f t="shared" si="471"/>
        <v>1185781</v>
      </c>
      <c r="L1870" s="39" t="s">
        <v>173</v>
      </c>
      <c r="M1870" s="39" t="s">
        <v>167</v>
      </c>
      <c r="N1870" s="39" t="str">
        <f>IF(AND('331-CT'!$E$7=TH!H1870,OR(L1870="331",M1870="331")),"331",IF(AND(OR(L1870="131",M1870="131"),H1870='131-CT'!$E$7),"131",""))</f>
        <v/>
      </c>
      <c r="O1870" s="39" t="str">
        <f>IF(AND($B1870&gt;='111'!$N$11,$B1870&lt;='111'!$O$11,OR($L1870=$O$7,$M1870=$O$7)),"x","")</f>
        <v/>
      </c>
      <c r="P1870" s="39" t="str">
        <f>IF(AND($L1870=$O$7,$B1870&lt;'111'!$N$11),"x","")</f>
        <v/>
      </c>
      <c r="Q1870" s="39" t="str">
        <f>IF(AND($M1870=$O$7,$B1870&lt;'111'!$N$11),"x","")</f>
        <v/>
      </c>
      <c r="R1870" s="39" t="str">
        <f>IF(ISERROR(FIND('112'!$M$9,G1870,1)),"",IF((AND(FIND('112'!$M$9,G1870,1)&gt;=1,$B1870&gt;='112'!$N$8,$B1870&lt;='112'!$O$8,OR($L1870='112'!$I$6,$M1870='112'!$I$6))),"x",""))</f>
        <v/>
      </c>
      <c r="S1870" s="39" t="str">
        <f>IF(ISERROR(FIND('112'!$M$9,G1870,1)),"",IF((AND(LEFT(G1870,2)=LEFT('112'!$M$9,2),B1870&lt;'112'!$N$8,$L1870='112'!$I$6)),"x",""))</f>
        <v/>
      </c>
      <c r="T1870" s="39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>632</v>
      </c>
      <c r="V1870" s="39" t="str">
        <f>IF(OR(TH!L1870=TH!$V$7,M1870=TH!$V$7),"x","")</f>
        <v/>
      </c>
      <c r="W1870" s="39" t="str">
        <f>IF(AND(B1870&gt;='IN-NX'!$P$3,B1870&lt;='IN-NX'!$Q$3,'IN-NX'!$D$7=D1870,OR(LEFT(L1870,2)="15",AND(LEFT(M1870,2)&lt;&gt;"15",LEFT(M1870,2)&lt;&gt;"33"))),"x","")</f>
        <v/>
      </c>
      <c r="X1870" s="39" t="str">
        <f>IF(AND(OR(LEFT(TH!L1870,2)="15",LEFT(TH!M1870,2)="15"),'152-CT'!$J$8=TH!F1870),"x","")</f>
        <v/>
      </c>
      <c r="Y1870" s="39" t="str">
        <f>IF(AND(OR(LEFT(TH!L1870,2)="15",LEFT(TH!M1870,2)="15"),TK!$E$7=TH!F1870),"x","")</f>
        <v/>
      </c>
      <c r="Z1870" s="39" t="str">
        <f>IF(AND(B1870&lt;=NKC!$N$8,B1870&gt;=NKC!$M$8),"x","")</f>
        <v/>
      </c>
      <c r="AA1870" s="883"/>
    </row>
    <row r="1871" spans="1:27" s="211" customFormat="1" ht="15.75" customHeight="1">
      <c r="A1871" s="204" t="str">
        <f>IF(B1871&lt;&gt;"",IF(AND(B1871&gt;=_TM1,B1871&lt;=_TM2,OR(TH!L1871="1111",TH!M1871="1111")),TH!D1871,""),"")</f>
        <v/>
      </c>
      <c r="B1871" s="36">
        <f t="shared" si="470"/>
        <v>6</v>
      </c>
      <c r="C1871" s="191">
        <f t="shared" si="472"/>
        <v>41432</v>
      </c>
      <c r="D1871" s="37" t="s">
        <v>487</v>
      </c>
      <c r="E1871" s="191">
        <v>41432</v>
      </c>
      <c r="F1871" s="192" t="s">
        <v>842</v>
      </c>
      <c r="G1871" s="487" t="s">
        <v>840</v>
      </c>
      <c r="H1871" s="7" t="s">
        <v>1290</v>
      </c>
      <c r="I1871" s="256">
        <v>141</v>
      </c>
      <c r="J1871" s="256">
        <v>10915.86524822695</v>
      </c>
      <c r="K1871" s="602">
        <f t="shared" si="471"/>
        <v>1539137</v>
      </c>
      <c r="L1871" s="39" t="s">
        <v>173</v>
      </c>
      <c r="M1871" s="39" t="s">
        <v>167</v>
      </c>
      <c r="N1871" s="39" t="str">
        <f>IF(AND('331-CT'!$E$7=TH!H1871,OR(L1871="331",M1871="331")),"331",IF(AND(OR(L1871="131",M1871="131"),H1871='131-CT'!$E$7),"131",""))</f>
        <v/>
      </c>
      <c r="O1871" s="39" t="str">
        <f>IF(AND($B1871&gt;='111'!$N$11,$B1871&lt;='111'!$O$11,OR($L1871=$O$7,$M1871=$O$7)),"x","")</f>
        <v/>
      </c>
      <c r="P1871" s="39" t="str">
        <f>IF(AND($L1871=$O$7,$B1871&lt;'111'!$N$11),"x","")</f>
        <v/>
      </c>
      <c r="Q1871" s="39" t="str">
        <f>IF(AND($M1871=$O$7,$B1871&lt;'111'!$N$11),"x","")</f>
        <v/>
      </c>
      <c r="R1871" s="39" t="str">
        <f>IF(ISERROR(FIND('112'!$M$9,G1871,1)),"",IF((AND(FIND('112'!$M$9,G1871,1)&gt;=1,$B1871&gt;='112'!$N$8,$B1871&lt;='112'!$O$8,OR($L1871='112'!$I$6,$M1871='112'!$I$6))),"x",""))</f>
        <v/>
      </c>
      <c r="S1871" s="39" t="str">
        <f>IF(ISERROR(FIND('112'!$M$9,G1871,1)),"",IF((AND(LEFT(G1871,2)=LEFT('112'!$M$9,2),B1871&lt;'112'!$N$8,$L1871='112'!$I$6)),"x",""))</f>
        <v/>
      </c>
      <c r="T1871" s="39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>632</v>
      </c>
      <c r="V1871" s="39" t="str">
        <f>IF(OR(TH!L1871=TH!$V$7,M1871=TH!$V$7),"x","")</f>
        <v/>
      </c>
      <c r="W1871" s="39" t="str">
        <f>IF(AND(B1871&gt;='IN-NX'!$P$3,B1871&lt;='IN-NX'!$Q$3,'IN-NX'!$D$7=D1871,OR(LEFT(L1871,2)="15",AND(LEFT(M1871,2)&lt;&gt;"15",LEFT(M1871,2)&lt;&gt;"33"))),"x","")</f>
        <v/>
      </c>
      <c r="X1871" s="39" t="str">
        <f>IF(AND(OR(LEFT(TH!L1871,2)="15",LEFT(TH!M1871,2)="15"),'152-CT'!$J$8=TH!F1871),"x","")</f>
        <v/>
      </c>
      <c r="Y1871" s="39" t="str">
        <f>IF(AND(OR(LEFT(TH!L1871,2)="15",LEFT(TH!M1871,2)="15"),TK!$E$7=TH!F1871),"x","")</f>
        <v/>
      </c>
      <c r="Z1871" s="39" t="str">
        <f>IF(AND(B1871&lt;=NKC!$N$8,B1871&gt;=NKC!$M$8),"x","")</f>
        <v/>
      </c>
      <c r="AA1871" s="883"/>
    </row>
    <row r="1872" spans="1:27" s="211" customFormat="1" ht="15.75" customHeight="1">
      <c r="A1872" s="204" t="str">
        <f>IF(B1872&lt;&gt;"",IF(AND(B1872&gt;=_TM1,B1872&lt;=_TM2,OR(TH!L1872="1111",TH!M1872="1111")),TH!D1872,""),"")</f>
        <v/>
      </c>
      <c r="B1872" s="36">
        <f t="shared" si="470"/>
        <v>6</v>
      </c>
      <c r="C1872" s="191">
        <f t="shared" si="472"/>
        <v>41432</v>
      </c>
      <c r="D1872" s="37" t="s">
        <v>487</v>
      </c>
      <c r="E1872" s="191">
        <v>41432</v>
      </c>
      <c r="F1872" s="189" t="s">
        <v>1146</v>
      </c>
      <c r="G1872" s="487" t="s">
        <v>843</v>
      </c>
      <c r="H1872" s="7" t="s">
        <v>1290</v>
      </c>
      <c r="I1872" s="256">
        <v>305</v>
      </c>
      <c r="J1872" s="256">
        <v>5072.8590163934423</v>
      </c>
      <c r="K1872" s="602">
        <f t="shared" si="471"/>
        <v>1547222</v>
      </c>
      <c r="L1872" s="39" t="s">
        <v>173</v>
      </c>
      <c r="M1872" s="39" t="s">
        <v>167</v>
      </c>
      <c r="N1872" s="39" t="str">
        <f>IF(AND('331-CT'!$E$7=TH!H1872,OR(L1872="331",M1872="331")),"331",IF(AND(OR(L1872="131",M1872="131"),H1872='131-CT'!$E$7),"131",""))</f>
        <v/>
      </c>
      <c r="O1872" s="39" t="str">
        <f>IF(AND($B1872&gt;='111'!$N$11,$B1872&lt;='111'!$O$11,OR($L1872=$O$7,$M1872=$O$7)),"x","")</f>
        <v/>
      </c>
      <c r="P1872" s="39" t="str">
        <f>IF(AND($L1872=$O$7,$B1872&lt;'111'!$N$11),"x","")</f>
        <v/>
      </c>
      <c r="Q1872" s="39" t="str">
        <f>IF(AND($M1872=$O$7,$B1872&lt;'111'!$N$11),"x","")</f>
        <v/>
      </c>
      <c r="R1872" s="39" t="str">
        <f>IF(ISERROR(FIND('112'!$M$9,G1872,1)),"",IF((AND(FIND('112'!$M$9,G1872,1)&gt;=1,$B1872&gt;='112'!$N$8,$B1872&lt;='112'!$O$8,OR($L1872='112'!$I$6,$M1872='112'!$I$6))),"x",""))</f>
        <v/>
      </c>
      <c r="S1872" s="39" t="str">
        <f>IF(ISERROR(FIND('112'!$M$9,G1872,1)),"",IF((AND(LEFT(G1872,2)=LEFT('112'!$M$9,2),B1872&lt;'112'!$N$8,$L1872='112'!$I$6)),"x",""))</f>
        <v/>
      </c>
      <c r="T1872" s="39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>632</v>
      </c>
      <c r="V1872" s="39" t="str">
        <f>IF(OR(TH!L1872=TH!$V$7,M1872=TH!$V$7),"x","")</f>
        <v/>
      </c>
      <c r="W1872" s="39" t="str">
        <f>IF(AND(B1872&gt;='IN-NX'!$P$3,B1872&lt;='IN-NX'!$Q$3,'IN-NX'!$D$7=D1872,OR(LEFT(L1872,2)="15",AND(LEFT(M1872,2)&lt;&gt;"15",LEFT(M1872,2)&lt;&gt;"33"))),"x","")</f>
        <v/>
      </c>
      <c r="X1872" s="39" t="str">
        <f>IF(AND(OR(LEFT(TH!L1872,2)="15",LEFT(TH!M1872,2)="15"),'152-CT'!$J$8=TH!F1872),"x","")</f>
        <v/>
      </c>
      <c r="Y1872" s="39" t="str">
        <f>IF(AND(OR(LEFT(TH!L1872,2)="15",LEFT(TH!M1872,2)="15"),TK!$E$7=TH!F1872),"x","")</f>
        <v/>
      </c>
      <c r="Z1872" s="39" t="str">
        <f>IF(AND(B1872&lt;=NKC!$N$8,B1872&gt;=NKC!$M$8),"x","")</f>
        <v/>
      </c>
      <c r="AA1872" s="883"/>
    </row>
    <row r="1873" spans="1:27" s="211" customFormat="1" ht="15.75" customHeight="1">
      <c r="A1873" s="204" t="str">
        <f>IF(B1873&lt;&gt;"",IF(AND(B1873&gt;=_TM1,B1873&lt;=_TM2,OR(TH!L1873="1111",TH!M1873="1111")),TH!D1873,""),"")</f>
        <v/>
      </c>
      <c r="B1873" s="36">
        <f t="shared" si="470"/>
        <v>6</v>
      </c>
      <c r="C1873" s="191">
        <f t="shared" si="472"/>
        <v>41432</v>
      </c>
      <c r="D1873" s="37" t="s">
        <v>487</v>
      </c>
      <c r="E1873" s="191">
        <v>41432</v>
      </c>
      <c r="F1873" s="192" t="s">
        <v>808</v>
      </c>
      <c r="G1873" s="487" t="s">
        <v>843</v>
      </c>
      <c r="H1873" s="7" t="s">
        <v>1290</v>
      </c>
      <c r="I1873" s="256">
        <v>318</v>
      </c>
      <c r="J1873" s="256">
        <v>6196.2735849056608</v>
      </c>
      <c r="K1873" s="602">
        <f t="shared" si="471"/>
        <v>1970415</v>
      </c>
      <c r="L1873" s="39" t="s">
        <v>173</v>
      </c>
      <c r="M1873" s="39" t="s">
        <v>167</v>
      </c>
      <c r="N1873" s="39" t="str">
        <f>IF(AND('331-CT'!$E$7=TH!H1873,OR(L1873="331",M1873="331")),"331",IF(AND(OR(L1873="131",M1873="131"),H1873='131-CT'!$E$7),"131",""))</f>
        <v/>
      </c>
      <c r="O1873" s="39" t="str">
        <f>IF(AND($B1873&gt;='111'!$N$11,$B1873&lt;='111'!$O$11,OR($L1873=$O$7,$M1873=$O$7)),"x","")</f>
        <v/>
      </c>
      <c r="P1873" s="39" t="str">
        <f>IF(AND($L1873=$O$7,$B1873&lt;'111'!$N$11),"x","")</f>
        <v/>
      </c>
      <c r="Q1873" s="39" t="str">
        <f>IF(AND($M1873=$O$7,$B1873&lt;'111'!$N$11),"x","")</f>
        <v/>
      </c>
      <c r="R1873" s="39" t="str">
        <f>IF(ISERROR(FIND('112'!$M$9,G1873,1)),"",IF((AND(FIND('112'!$M$9,G1873,1)&gt;=1,$B1873&gt;='112'!$N$8,$B1873&lt;='112'!$O$8,OR($L1873='112'!$I$6,$M1873='112'!$I$6))),"x",""))</f>
        <v/>
      </c>
      <c r="S1873" s="39" t="str">
        <f>IF(ISERROR(FIND('112'!$M$9,G1873,1)),"",IF((AND(LEFT(G1873,2)=LEFT('112'!$M$9,2),B1873&lt;'112'!$N$8,$L1873='112'!$I$6)),"x",""))</f>
        <v/>
      </c>
      <c r="T1873" s="39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>632</v>
      </c>
      <c r="V1873" s="39" t="str">
        <f>IF(OR(TH!L1873=TH!$V$7,M1873=TH!$V$7),"x","")</f>
        <v/>
      </c>
      <c r="W1873" s="39" t="str">
        <f>IF(AND(B1873&gt;='IN-NX'!$P$3,B1873&lt;='IN-NX'!$Q$3,'IN-NX'!$D$7=D1873,OR(LEFT(L1873,2)="15",AND(LEFT(M1873,2)&lt;&gt;"15",LEFT(M1873,2)&lt;&gt;"33"))),"x","")</f>
        <v/>
      </c>
      <c r="X1873" s="39" t="str">
        <f>IF(AND(OR(LEFT(TH!L1873,2)="15",LEFT(TH!M1873,2)="15"),'152-CT'!$J$8=TH!F1873),"x","")</f>
        <v/>
      </c>
      <c r="Y1873" s="39" t="str">
        <f>IF(AND(OR(LEFT(TH!L1873,2)="15",LEFT(TH!M1873,2)="15"),TK!$E$7=TH!F1873),"x","")</f>
        <v/>
      </c>
      <c r="Z1873" s="39" t="str">
        <f>IF(AND(B1873&lt;=NKC!$N$8,B1873&gt;=NKC!$M$8),"x","")</f>
        <v/>
      </c>
      <c r="AA1873" s="883"/>
    </row>
    <row r="1874" spans="1:27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470"/>
        <v>6</v>
      </c>
      <c r="C1874" s="191">
        <f t="shared" si="472"/>
        <v>41432</v>
      </c>
      <c r="D1874" s="37" t="s">
        <v>487</v>
      </c>
      <c r="E1874" s="37">
        <v>41432</v>
      </c>
      <c r="F1874" s="40" t="s">
        <v>844</v>
      </c>
      <c r="G1874" s="40" t="s">
        <v>843</v>
      </c>
      <c r="H1874" s="7" t="s">
        <v>1290</v>
      </c>
      <c r="I1874" s="256">
        <v>296</v>
      </c>
      <c r="J1874" s="256">
        <v>4382.9864864864867</v>
      </c>
      <c r="K1874" s="602">
        <f t="shared" si="471"/>
        <v>1297364</v>
      </c>
      <c r="L1874" s="39" t="s">
        <v>173</v>
      </c>
      <c r="M1874" s="39" t="s">
        <v>167</v>
      </c>
      <c r="N1874" s="39" t="str">
        <f>IF(AND('331-CT'!$E$7=TH!H1874,OR(L1874="331",M1874="331")),"331",IF(AND(OR(L1874="131",M1874="131"),H1874='131-CT'!$E$7),"131",""))</f>
        <v/>
      </c>
      <c r="O1874" s="39" t="str">
        <f>IF(AND($B1874&gt;='111'!$N$11,$B1874&lt;='111'!$O$11,OR($L1874=$O$7,$M1874=$O$7)),"x","")</f>
        <v/>
      </c>
      <c r="P1874" s="39" t="str">
        <f>IF(AND($L1874=$O$7,$B1874&lt;'111'!$N$11),"x","")</f>
        <v/>
      </c>
      <c r="Q1874" s="39" t="str">
        <f>IF(AND($M1874=$O$7,$B1874&lt;'111'!$N$11),"x","")</f>
        <v/>
      </c>
      <c r="R1874" s="39" t="str">
        <f>IF(ISERROR(FIND('112'!$M$9,G1874,1)),"",IF((AND(FIND('112'!$M$9,G1874,1)&gt;=1,$B1874&gt;='112'!$N$8,$B1874&lt;='112'!$O$8,OR($L1874='112'!$I$6,$M1874='112'!$I$6))),"x",""))</f>
        <v/>
      </c>
      <c r="S1874" s="39" t="str">
        <f>IF(ISERROR(FIND('112'!$M$9,G1874,1)),"",IF((AND(LEFT(G1874,2)=LEFT('112'!$M$9,2),B1874&lt;'112'!$N$8,$L1874='112'!$I$6)),"x",""))</f>
        <v/>
      </c>
      <c r="T1874" s="39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>632</v>
      </c>
      <c r="V1874" s="39" t="str">
        <f>IF(OR(TH!L1874=TH!$V$7,M1874=TH!$V$7),"x","")</f>
        <v/>
      </c>
      <c r="W1874" s="39" t="str">
        <f>IF(AND(B1874&gt;='IN-NX'!$P$3,B1874&lt;='IN-NX'!$Q$3,'IN-NX'!$D$7=D1874,OR(LEFT(L1874,2)="15",AND(LEFT(M1874,2)&lt;&gt;"15",LEFT(M1874,2)&lt;&gt;"33"))),"x","")</f>
        <v/>
      </c>
      <c r="X1874" s="39" t="str">
        <f>IF(AND(OR(LEFT(TH!L1874,2)="15",LEFT(TH!M1874,2)="15"),'152-CT'!$J$8=TH!F1874),"x","")</f>
        <v/>
      </c>
      <c r="Y1874" s="39" t="str">
        <f>IF(AND(OR(LEFT(TH!L1874,2)="15",LEFT(TH!M1874,2)="15"),TK!$E$7=TH!F1874),"x","")</f>
        <v/>
      </c>
      <c r="Z1874" s="39" t="str">
        <f>IF(AND(B1874&lt;=NKC!$N$8,B1874&gt;=NKC!$M$8),"x","")</f>
        <v/>
      </c>
      <c r="AA1874" s="883"/>
    </row>
    <row r="1875" spans="1:27" s="211" customFormat="1" ht="15.75" customHeight="1">
      <c r="A1875" s="204" t="str">
        <f>IF(B1875&lt;&gt;"",IF(AND(B1875&gt;=_TM1,B1875&lt;=_TM2,OR(TH!L1875="1111",TH!M1875="1111")),TH!D1875,""),"")</f>
        <v/>
      </c>
      <c r="B1875" s="36">
        <f t="shared" si="470"/>
        <v>6</v>
      </c>
      <c r="C1875" s="191">
        <f t="shared" si="472"/>
        <v>41432</v>
      </c>
      <c r="D1875" s="37" t="s">
        <v>487</v>
      </c>
      <c r="E1875" s="37">
        <v>41432</v>
      </c>
      <c r="F1875" s="40" t="s">
        <v>1137</v>
      </c>
      <c r="G1875" s="40" t="s">
        <v>843</v>
      </c>
      <c r="H1875" s="7" t="s">
        <v>1290</v>
      </c>
      <c r="I1875" s="256">
        <v>510</v>
      </c>
      <c r="J1875" s="256">
        <v>4919.5215686274514</v>
      </c>
      <c r="K1875" s="602">
        <f t="shared" si="471"/>
        <v>2508956</v>
      </c>
      <c r="L1875" s="39" t="s">
        <v>173</v>
      </c>
      <c r="M1875" s="39" t="s">
        <v>167</v>
      </c>
      <c r="N1875" s="39" t="str">
        <f>IF(AND('331-CT'!$E$7=TH!H1875,OR(L1875="331",M1875="331")),"331",IF(AND(OR(L1875="131",M1875="131"),H1875='131-CT'!$E$7),"131",""))</f>
        <v/>
      </c>
      <c r="O1875" s="39" t="str">
        <f>IF(AND($B1875&gt;='111'!$N$11,$B1875&lt;='111'!$O$11,OR($L1875=$O$7,$M1875=$O$7)),"x","")</f>
        <v/>
      </c>
      <c r="P1875" s="39" t="str">
        <f>IF(AND($L1875=$O$7,$B1875&lt;'111'!$N$11),"x","")</f>
        <v/>
      </c>
      <c r="Q1875" s="39" t="str">
        <f>IF(AND($M1875=$O$7,$B1875&lt;'111'!$N$11),"x","")</f>
        <v/>
      </c>
      <c r="R1875" s="39" t="str">
        <f>IF(ISERROR(FIND('112'!$M$9,G1875,1)),"",IF((AND(FIND('112'!$M$9,G1875,1)&gt;=1,$B1875&gt;='112'!$N$8,$B1875&lt;='112'!$O$8,OR($L1875='112'!$I$6,$M1875='112'!$I$6))),"x",""))</f>
        <v/>
      </c>
      <c r="S1875" s="39" t="str">
        <f>IF(ISERROR(FIND('112'!$M$9,G1875,1)),"",IF((AND(LEFT(G1875,2)=LEFT('112'!$M$9,2),B1875&lt;'112'!$N$8,$L1875='112'!$I$6)),"x",""))</f>
        <v/>
      </c>
      <c r="T1875" s="39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>632</v>
      </c>
      <c r="V1875" s="39" t="str">
        <f>IF(OR(TH!L1875=TH!$V$7,M1875=TH!$V$7),"x","")</f>
        <v/>
      </c>
      <c r="W1875" s="39" t="str">
        <f>IF(AND(B1875&gt;='IN-NX'!$P$3,B1875&lt;='IN-NX'!$Q$3,'IN-NX'!$D$7=D1875,OR(LEFT(L1875,2)="15",AND(LEFT(M1875,2)&lt;&gt;"15",LEFT(M1875,2)&lt;&gt;"33"))),"x","")</f>
        <v/>
      </c>
      <c r="X1875" s="39" t="str">
        <f>IF(AND(OR(LEFT(TH!L1875,2)="15",LEFT(TH!M1875,2)="15"),'152-CT'!$J$8=TH!F1875),"x","")</f>
        <v/>
      </c>
      <c r="Y1875" s="39" t="str">
        <f>IF(AND(OR(LEFT(TH!L1875,2)="15",LEFT(TH!M1875,2)="15"),TK!$E$7=TH!F1875),"x","")</f>
        <v/>
      </c>
      <c r="Z1875" s="39" t="str">
        <f>IF(AND(B1875&lt;=NKC!$N$8,B1875&gt;=NKC!$M$8),"x","")</f>
        <v/>
      </c>
      <c r="AA1875" s="883"/>
    </row>
    <row r="1876" spans="1:27" s="211" customFormat="1" ht="15.75" customHeight="1">
      <c r="A1876" s="204" t="str">
        <f>IF(B1876&lt;&gt;"",IF(AND(B1876&gt;=_TM1,B1876&lt;=_TM2,OR(TH!L1876="1111",TH!M1876="1111")),TH!D1876,""),"")</f>
        <v/>
      </c>
      <c r="B1876" s="36">
        <f t="shared" si="470"/>
        <v>6</v>
      </c>
      <c r="C1876" s="191">
        <f t="shared" si="472"/>
        <v>41435</v>
      </c>
      <c r="D1876" s="37" t="s">
        <v>487</v>
      </c>
      <c r="E1876" s="37">
        <v>41435</v>
      </c>
      <c r="F1876" s="40" t="s">
        <v>845</v>
      </c>
      <c r="G1876" s="40" t="s">
        <v>846</v>
      </c>
      <c r="H1876" s="7" t="s">
        <v>1290</v>
      </c>
      <c r="I1876" s="256">
        <v>204</v>
      </c>
      <c r="J1876" s="256">
        <v>18464.235294117647</v>
      </c>
      <c r="K1876" s="602">
        <f t="shared" si="471"/>
        <v>3766704</v>
      </c>
      <c r="L1876" s="39" t="s">
        <v>173</v>
      </c>
      <c r="M1876" s="39" t="s">
        <v>167</v>
      </c>
      <c r="N1876" s="39" t="str">
        <f>IF(AND('331-CT'!$E$7=TH!H1876,OR(L1876="331",M1876="331")),"331",IF(AND(OR(L1876="131",M1876="131"),H1876='131-CT'!$E$7),"131",""))</f>
        <v/>
      </c>
      <c r="O1876" s="39" t="str">
        <f>IF(AND($B1876&gt;='111'!$N$11,$B1876&lt;='111'!$O$11,OR($L1876=$O$7,$M1876=$O$7)),"x","")</f>
        <v/>
      </c>
      <c r="P1876" s="39" t="str">
        <f>IF(AND($L1876=$O$7,$B1876&lt;'111'!$N$11),"x","")</f>
        <v/>
      </c>
      <c r="Q1876" s="39" t="str">
        <f>IF(AND($M1876=$O$7,$B1876&lt;'111'!$N$11),"x","")</f>
        <v/>
      </c>
      <c r="R1876" s="39" t="str">
        <f>IF(ISERROR(FIND('112'!$M$9,G1876,1)),"",IF((AND(FIND('112'!$M$9,G1876,1)&gt;=1,$B1876&gt;='112'!$N$8,$B1876&lt;='112'!$O$8,OR($L1876='112'!$I$6,$M1876='112'!$I$6))),"x",""))</f>
        <v/>
      </c>
      <c r="S1876" s="39" t="str">
        <f>IF(ISERROR(FIND('112'!$M$9,G1876,1)),"",IF((AND(LEFT(G1876,2)=LEFT('112'!$M$9,2),B1876&lt;'112'!$N$8,$L1876='112'!$I$6)),"x",""))</f>
        <v/>
      </c>
      <c r="T1876" s="39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>632</v>
      </c>
      <c r="V1876" s="39" t="str">
        <f>IF(OR(TH!L1876=TH!$V$7,M1876=TH!$V$7),"x","")</f>
        <v/>
      </c>
      <c r="W1876" s="39" t="str">
        <f>IF(AND(B1876&gt;='IN-NX'!$P$3,B1876&lt;='IN-NX'!$Q$3,'IN-NX'!$D$7=D1876,OR(LEFT(L1876,2)="15",AND(LEFT(M1876,2)&lt;&gt;"15",LEFT(M1876,2)&lt;&gt;"33"))),"x","")</f>
        <v/>
      </c>
      <c r="X1876" s="39" t="str">
        <f>IF(AND(OR(LEFT(TH!L1876,2)="15",LEFT(TH!M1876,2)="15"),'152-CT'!$J$8=TH!F1876),"x","")</f>
        <v/>
      </c>
      <c r="Y1876" s="39" t="str">
        <f>IF(AND(OR(LEFT(TH!L1876,2)="15",LEFT(TH!M1876,2)="15"),TK!$E$7=TH!F1876),"x","")</f>
        <v/>
      </c>
      <c r="Z1876" s="39" t="str">
        <f>IF(AND(B1876&lt;=NKC!$N$8,B1876&gt;=NKC!$M$8),"x","")</f>
        <v/>
      </c>
      <c r="AA1876" s="883"/>
    </row>
    <row r="1877" spans="1:27" s="211" customFormat="1" ht="15.75" customHeight="1">
      <c r="A1877" s="204" t="str">
        <f>IF(B1877&lt;&gt;"",IF(AND(B1877&gt;=_TM1,B1877&lt;=_TM2,OR(TH!L1877="1111",TH!M1877="1111")),TH!D1877,""),"")</f>
        <v/>
      </c>
      <c r="B1877" s="36">
        <f t="shared" si="470"/>
        <v>6</v>
      </c>
      <c r="C1877" s="191">
        <f t="shared" si="472"/>
        <v>41436</v>
      </c>
      <c r="D1877" s="37" t="s">
        <v>487</v>
      </c>
      <c r="E1877" s="37">
        <v>41436</v>
      </c>
      <c r="F1877" s="40" t="s">
        <v>1137</v>
      </c>
      <c r="G1877" s="40" t="s">
        <v>848</v>
      </c>
      <c r="H1877" s="7" t="s">
        <v>1290</v>
      </c>
      <c r="I1877" s="256">
        <v>157</v>
      </c>
      <c r="J1877" s="256">
        <v>4573.6751592356686</v>
      </c>
      <c r="K1877" s="602">
        <f t="shared" si="471"/>
        <v>718067</v>
      </c>
      <c r="L1877" s="39" t="s">
        <v>173</v>
      </c>
      <c r="M1877" s="39" t="s">
        <v>167</v>
      </c>
      <c r="N1877" s="39" t="str">
        <f>IF(AND('331-CT'!$E$7=TH!H1877,OR(L1877="331",M1877="331")),"331",IF(AND(OR(L1877="131",M1877="131"),H1877='131-CT'!$E$7),"131",""))</f>
        <v/>
      </c>
      <c r="O1877" s="39" t="str">
        <f>IF(AND($B1877&gt;='111'!$N$11,$B1877&lt;='111'!$O$11,OR($L1877=$O$7,$M1877=$O$7)),"x","")</f>
        <v/>
      </c>
      <c r="P1877" s="39" t="str">
        <f>IF(AND($L1877=$O$7,$B1877&lt;'111'!$N$11),"x","")</f>
        <v/>
      </c>
      <c r="Q1877" s="39" t="str">
        <f>IF(AND($M1877=$O$7,$B1877&lt;'111'!$N$11),"x","")</f>
        <v/>
      </c>
      <c r="R1877" s="39" t="str">
        <f>IF(ISERROR(FIND('112'!$M$9,G1877,1)),"",IF((AND(FIND('112'!$M$9,G1877,1)&gt;=1,$B1877&gt;='112'!$N$8,$B1877&lt;='112'!$O$8,OR($L1877='112'!$I$6,$M1877='112'!$I$6))),"x",""))</f>
        <v/>
      </c>
      <c r="S1877" s="39" t="str">
        <f>IF(ISERROR(FIND('112'!$M$9,G1877,1)),"",IF((AND(LEFT(G1877,2)=LEFT('112'!$M$9,2),B1877&lt;'112'!$N$8,$L1877='112'!$I$6)),"x",""))</f>
        <v/>
      </c>
      <c r="T1877" s="39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>632</v>
      </c>
      <c r="V1877" s="39" t="str">
        <f>IF(OR(TH!L1877=TH!$V$7,M1877=TH!$V$7),"x","")</f>
        <v/>
      </c>
      <c r="W1877" s="39" t="str">
        <f>IF(AND(B1877&gt;='IN-NX'!$P$3,B1877&lt;='IN-NX'!$Q$3,'IN-NX'!$D$7=D1877,OR(LEFT(L1877,2)="15",AND(LEFT(M1877,2)&lt;&gt;"15",LEFT(M1877,2)&lt;&gt;"33"))),"x","")</f>
        <v/>
      </c>
      <c r="X1877" s="39" t="str">
        <f>IF(AND(OR(LEFT(TH!L1877,2)="15",LEFT(TH!M1877,2)="15"),'152-CT'!$J$8=TH!F1877),"x","")</f>
        <v/>
      </c>
      <c r="Y1877" s="39" t="str">
        <f>IF(AND(OR(LEFT(TH!L1877,2)="15",LEFT(TH!M1877,2)="15"),TK!$E$7=TH!F1877),"x","")</f>
        <v/>
      </c>
      <c r="Z1877" s="39" t="str">
        <f>IF(AND(B1877&lt;=NKC!$N$8,B1877&gt;=NKC!$M$8),"x","")</f>
        <v/>
      </c>
      <c r="AA1877" s="883"/>
    </row>
    <row r="1878" spans="1:27" s="211" customFormat="1" ht="15.75" customHeight="1">
      <c r="A1878" s="204" t="str">
        <f>IF(B1878&lt;&gt;"",IF(AND(B1878&gt;=_TM1,B1878&lt;=_TM2,OR(TH!L1878="1111",TH!M1878="1111")),TH!D1878,""),"")</f>
        <v/>
      </c>
      <c r="B1878" s="36">
        <f t="shared" si="470"/>
        <v>6</v>
      </c>
      <c r="C1878" s="191">
        <f t="shared" si="472"/>
        <v>41436</v>
      </c>
      <c r="D1878" s="37" t="s">
        <v>487</v>
      </c>
      <c r="E1878" s="37">
        <v>41436</v>
      </c>
      <c r="F1878" s="40" t="s">
        <v>849</v>
      </c>
      <c r="G1878" s="40" t="s">
        <v>850</v>
      </c>
      <c r="H1878" s="7" t="s">
        <v>1290</v>
      </c>
      <c r="I1878" s="256">
        <v>222</v>
      </c>
      <c r="J1878" s="256">
        <v>14509.234234234234</v>
      </c>
      <c r="K1878" s="602">
        <f t="shared" si="471"/>
        <v>3221050</v>
      </c>
      <c r="L1878" s="39" t="s">
        <v>173</v>
      </c>
      <c r="M1878" s="39" t="s">
        <v>167</v>
      </c>
      <c r="N1878" s="39" t="str">
        <f>IF(AND('331-CT'!$E$7=TH!H1878,OR(L1878="331",M1878="331")),"331",IF(AND(OR(L1878="131",M1878="131"),H1878='131-CT'!$E$7),"131",""))</f>
        <v/>
      </c>
      <c r="O1878" s="39" t="str">
        <f>IF(AND($B1878&gt;='111'!$N$11,$B1878&lt;='111'!$O$11,OR($L1878=$O$7,$M1878=$O$7)),"x","")</f>
        <v/>
      </c>
      <c r="P1878" s="39" t="str">
        <f>IF(AND($L1878=$O$7,$B1878&lt;'111'!$N$11),"x","")</f>
        <v/>
      </c>
      <c r="Q1878" s="39" t="str">
        <f>IF(AND($M1878=$O$7,$B1878&lt;'111'!$N$11),"x","")</f>
        <v/>
      </c>
      <c r="R1878" s="39" t="str">
        <f>IF(ISERROR(FIND('112'!$M$9,G1878,1)),"",IF((AND(FIND('112'!$M$9,G1878,1)&gt;=1,$B1878&gt;='112'!$N$8,$B1878&lt;='112'!$O$8,OR($L1878='112'!$I$6,$M1878='112'!$I$6))),"x",""))</f>
        <v/>
      </c>
      <c r="S1878" s="39" t="str">
        <f>IF(ISERROR(FIND('112'!$M$9,G1878,1)),"",IF((AND(LEFT(G1878,2)=LEFT('112'!$M$9,2),B1878&lt;'112'!$N$8,$L1878='112'!$I$6)),"x",""))</f>
        <v/>
      </c>
      <c r="T1878" s="39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>632</v>
      </c>
      <c r="V1878" s="39" t="str">
        <f>IF(OR(TH!L1878=TH!$V$7,M1878=TH!$V$7),"x","")</f>
        <v/>
      </c>
      <c r="W1878" s="39" t="str">
        <f>IF(AND(B1878&gt;='IN-NX'!$P$3,B1878&lt;='IN-NX'!$Q$3,'IN-NX'!$D$7=D1878,OR(LEFT(L1878,2)="15",AND(LEFT(M1878,2)&lt;&gt;"15",LEFT(M1878,2)&lt;&gt;"33"))),"x","")</f>
        <v/>
      </c>
      <c r="X1878" s="39" t="str">
        <f>IF(AND(OR(LEFT(TH!L1878,2)="15",LEFT(TH!M1878,2)="15"),'152-CT'!$J$8=TH!F1878),"x","")</f>
        <v/>
      </c>
      <c r="Y1878" s="39" t="str">
        <f>IF(AND(OR(LEFT(TH!L1878,2)="15",LEFT(TH!M1878,2)="15"),TK!$E$7=TH!F1878),"x","")</f>
        <v/>
      </c>
      <c r="Z1878" s="39" t="str">
        <f>IF(AND(B1878&lt;=NKC!$N$8,B1878&gt;=NKC!$M$8),"x","")</f>
        <v/>
      </c>
      <c r="AA1878" s="883"/>
    </row>
    <row r="1879" spans="1:27" s="211" customFormat="1" ht="15.75" customHeight="1">
      <c r="A1879" s="204" t="str">
        <f>IF(B1879&lt;&gt;"",IF(AND(B1879&gt;=_TM1,B1879&lt;=_TM2,OR(TH!L1879="1111",TH!M1879="1111")),TH!D1879,""),"")</f>
        <v/>
      </c>
      <c r="B1879" s="36">
        <f t="shared" si="470"/>
        <v>6</v>
      </c>
      <c r="C1879" s="191">
        <f t="shared" si="472"/>
        <v>41443</v>
      </c>
      <c r="D1879" s="37" t="s">
        <v>487</v>
      </c>
      <c r="E1879" s="37">
        <v>41443</v>
      </c>
      <c r="F1879" s="40" t="s">
        <v>851</v>
      </c>
      <c r="G1879" s="40" t="s">
        <v>852</v>
      </c>
      <c r="H1879" s="7" t="s">
        <v>1290</v>
      </c>
      <c r="I1879" s="256">
        <v>494</v>
      </c>
      <c r="J1879" s="256">
        <v>17050.975708502025</v>
      </c>
      <c r="K1879" s="602">
        <f t="shared" si="471"/>
        <v>8423182</v>
      </c>
      <c r="L1879" s="39" t="s">
        <v>173</v>
      </c>
      <c r="M1879" s="39" t="s">
        <v>167</v>
      </c>
      <c r="N1879" s="39" t="str">
        <f>IF(AND('331-CT'!$E$7=TH!H1879,OR(L1879="331",M1879="331")),"331",IF(AND(OR(L1879="131",M1879="131"),H1879='131-CT'!$E$7),"131",""))</f>
        <v/>
      </c>
      <c r="O1879" s="39" t="str">
        <f>IF(AND($B1879&gt;='111'!$N$11,$B1879&lt;='111'!$O$11,OR($L1879=$O$7,$M1879=$O$7)),"x","")</f>
        <v/>
      </c>
      <c r="P1879" s="39" t="str">
        <f>IF(AND($L1879=$O$7,$B1879&lt;'111'!$N$11),"x","")</f>
        <v/>
      </c>
      <c r="Q1879" s="39" t="str">
        <f>IF(AND($M1879=$O$7,$B1879&lt;'111'!$N$11),"x","")</f>
        <v/>
      </c>
      <c r="R1879" s="39" t="str">
        <f>IF(ISERROR(FIND('112'!$M$9,G1879,1)),"",IF((AND(FIND('112'!$M$9,G1879,1)&gt;=1,$B1879&gt;='112'!$N$8,$B1879&lt;='112'!$O$8,OR($L1879='112'!$I$6,$M1879='112'!$I$6))),"x",""))</f>
        <v/>
      </c>
      <c r="S1879" s="39" t="str">
        <f>IF(ISERROR(FIND('112'!$M$9,G1879,1)),"",IF((AND(LEFT(G1879,2)=LEFT('112'!$M$9,2),B1879&lt;'112'!$N$8,$L1879='112'!$I$6)),"x",""))</f>
        <v/>
      </c>
      <c r="T1879" s="39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>632</v>
      </c>
      <c r="V1879" s="39" t="str">
        <f>IF(OR(TH!L1879=TH!$V$7,M1879=TH!$V$7),"x","")</f>
        <v/>
      </c>
      <c r="W1879" s="39" t="str">
        <f>IF(AND(B1879&gt;='IN-NX'!$P$3,B1879&lt;='IN-NX'!$Q$3,'IN-NX'!$D$7=D1879,OR(LEFT(L1879,2)="15",AND(LEFT(M1879,2)&lt;&gt;"15",LEFT(M1879,2)&lt;&gt;"33"))),"x","")</f>
        <v/>
      </c>
      <c r="X1879" s="39" t="str">
        <f>IF(AND(OR(LEFT(TH!L1879,2)="15",LEFT(TH!M1879,2)="15"),'152-CT'!$J$8=TH!F1879),"x","")</f>
        <v/>
      </c>
      <c r="Y1879" s="39" t="str">
        <f>IF(AND(OR(LEFT(TH!L1879,2)="15",LEFT(TH!M1879,2)="15"),TK!$E$7=TH!F1879),"x","")</f>
        <v/>
      </c>
      <c r="Z1879" s="39" t="str">
        <f>IF(AND(B1879&lt;=NKC!$N$8,B1879&gt;=NKC!$M$8),"x","")</f>
        <v/>
      </c>
      <c r="AA1879" s="883"/>
    </row>
    <row r="1880" spans="1:27" s="211" customFormat="1" ht="15.75" customHeight="1">
      <c r="A1880" s="204" t="str">
        <f>IF(B1880&lt;&gt;"",IF(AND(B1880&gt;=_TM1,B1880&lt;=_TM2,OR(TH!L1880="1111",TH!M1880="1111")),TH!D1880,""),"")</f>
        <v/>
      </c>
      <c r="B1880" s="36">
        <f t="shared" si="470"/>
        <v>6</v>
      </c>
      <c r="C1880" s="191">
        <f t="shared" si="472"/>
        <v>41444</v>
      </c>
      <c r="D1880" s="37" t="s">
        <v>487</v>
      </c>
      <c r="E1880" s="37">
        <v>41444</v>
      </c>
      <c r="F1880" s="40" t="s">
        <v>742</v>
      </c>
      <c r="G1880" s="40" t="s">
        <v>853</v>
      </c>
      <c r="H1880" s="7" t="s">
        <v>1290</v>
      </c>
      <c r="I1880" s="257">
        <v>402</v>
      </c>
      <c r="J1880" s="257">
        <v>24039.236318407959</v>
      </c>
      <c r="K1880" s="602">
        <f t="shared" si="471"/>
        <v>9663773</v>
      </c>
      <c r="L1880" s="39" t="s">
        <v>173</v>
      </c>
      <c r="M1880" s="39" t="s">
        <v>167</v>
      </c>
      <c r="N1880" s="39" t="str">
        <f>IF(AND('331-CT'!$E$7=TH!H1880,OR(L1880="331",M1880="331")),"331",IF(AND(OR(L1880="131",M1880="131"),H1880='131-CT'!$E$7),"131",""))</f>
        <v/>
      </c>
      <c r="O1880" s="39" t="str">
        <f>IF(AND($B1880&gt;='111'!$N$11,$B1880&lt;='111'!$O$11,OR($L1880=$O$7,$M1880=$O$7)),"x","")</f>
        <v/>
      </c>
      <c r="P1880" s="39" t="str">
        <f>IF(AND($L1880=$O$7,$B1880&lt;'111'!$N$11),"x","")</f>
        <v/>
      </c>
      <c r="Q1880" s="39" t="str">
        <f>IF(AND($M1880=$O$7,$B1880&lt;'111'!$N$11),"x","")</f>
        <v/>
      </c>
      <c r="R1880" s="39" t="str">
        <f>IF(ISERROR(FIND('112'!$M$9,G1880,1)),"",IF((AND(FIND('112'!$M$9,G1880,1)&gt;=1,$B1880&gt;='112'!$N$8,$B1880&lt;='112'!$O$8,OR($L1880='112'!$I$6,$M1880='112'!$I$6))),"x",""))</f>
        <v/>
      </c>
      <c r="S1880" s="39" t="str">
        <f>IF(ISERROR(FIND('112'!$M$9,G1880,1)),"",IF((AND(LEFT(G1880,2)=LEFT('112'!$M$9,2),B1880&lt;'112'!$N$8,$L1880='112'!$I$6)),"x",""))</f>
        <v/>
      </c>
      <c r="T1880" s="39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>632</v>
      </c>
      <c r="V1880" s="39" t="str">
        <f>IF(OR(TH!L1880=TH!$V$7,M1880=TH!$V$7),"x","")</f>
        <v/>
      </c>
      <c r="W1880" s="39" t="str">
        <f>IF(AND(B1880&gt;='IN-NX'!$P$3,B1880&lt;='IN-NX'!$Q$3,'IN-NX'!$D$7=D1880,OR(LEFT(L1880,2)="15",AND(LEFT(M1880,2)&lt;&gt;"15",LEFT(M1880,2)&lt;&gt;"33"))),"x","")</f>
        <v/>
      </c>
      <c r="X1880" s="39" t="str">
        <f>IF(AND(OR(LEFT(TH!L1880,2)="15",LEFT(TH!M1880,2)="15"),'152-CT'!$J$8=TH!F1880),"x","")</f>
        <v/>
      </c>
      <c r="Y1880" s="39" t="str">
        <f>IF(AND(OR(LEFT(TH!L1880,2)="15",LEFT(TH!M1880,2)="15"),TK!$E$7=TH!F1880),"x","")</f>
        <v/>
      </c>
      <c r="Z1880" s="39" t="str">
        <f>IF(AND(B1880&lt;=NKC!$N$8,B1880&gt;=NKC!$M$8),"x","")</f>
        <v/>
      </c>
      <c r="AA1880" s="883"/>
    </row>
    <row r="1881" spans="1:27" s="211" customFormat="1" ht="15.75" customHeight="1">
      <c r="A1881" s="204" t="str">
        <f>IF(B1881&lt;&gt;"",IF(AND(B1881&gt;=_TM1,B1881&lt;=_TM2,OR(TH!L1881="1111",TH!M1881="1111")),TH!D1881,""),"")</f>
        <v/>
      </c>
      <c r="B1881" s="36">
        <f t="shared" si="470"/>
        <v>6</v>
      </c>
      <c r="C1881" s="191">
        <f t="shared" si="472"/>
        <v>41445</v>
      </c>
      <c r="D1881" s="37" t="s">
        <v>487</v>
      </c>
      <c r="E1881" s="37">
        <v>41445</v>
      </c>
      <c r="F1881" s="192" t="s">
        <v>815</v>
      </c>
      <c r="G1881" s="40" t="s">
        <v>854</v>
      </c>
      <c r="H1881" s="7" t="s">
        <v>1290</v>
      </c>
      <c r="I1881" s="256">
        <v>495</v>
      </c>
      <c r="J1881" s="256">
        <v>17083.624242424241</v>
      </c>
      <c r="K1881" s="602">
        <f t="shared" si="471"/>
        <v>8456394</v>
      </c>
      <c r="L1881" s="39" t="s">
        <v>173</v>
      </c>
      <c r="M1881" s="39" t="s">
        <v>167</v>
      </c>
      <c r="N1881" s="39" t="str">
        <f>IF(AND('331-CT'!$E$7=TH!H1881,OR(L1881="331",M1881="331")),"331",IF(AND(OR(L1881="131",M1881="131"),H1881='131-CT'!$E$7),"131",""))</f>
        <v/>
      </c>
      <c r="O1881" s="39" t="str">
        <f>IF(AND($B1881&gt;='111'!$N$11,$B1881&lt;='111'!$O$11,OR($L1881=$O$7,$M1881=$O$7)),"x","")</f>
        <v/>
      </c>
      <c r="P1881" s="39" t="str">
        <f>IF(AND($L1881=$O$7,$B1881&lt;'111'!$N$11),"x","")</f>
        <v/>
      </c>
      <c r="Q1881" s="39" t="str">
        <f>IF(AND($M1881=$O$7,$B1881&lt;'111'!$N$11),"x","")</f>
        <v/>
      </c>
      <c r="R1881" s="39" t="str">
        <f>IF(ISERROR(FIND('112'!$M$9,G1881,1)),"",IF((AND(FIND('112'!$M$9,G1881,1)&gt;=1,$B1881&gt;='112'!$N$8,$B1881&lt;='112'!$O$8,OR($L1881='112'!$I$6,$M1881='112'!$I$6))),"x",""))</f>
        <v/>
      </c>
      <c r="S1881" s="39" t="str">
        <f>IF(ISERROR(FIND('112'!$M$9,G1881,1)),"",IF((AND(LEFT(G1881,2)=LEFT('112'!$M$9,2),B1881&lt;'112'!$N$8,$L1881='112'!$I$6)),"x",""))</f>
        <v/>
      </c>
      <c r="T1881" s="39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>632</v>
      </c>
      <c r="V1881" s="39" t="str">
        <f>IF(OR(TH!L1881=TH!$V$7,M1881=TH!$V$7),"x","")</f>
        <v/>
      </c>
      <c r="W1881" s="39" t="str">
        <f>IF(AND(B1881&gt;='IN-NX'!$P$3,B1881&lt;='IN-NX'!$Q$3,'IN-NX'!$D$7=D1881,OR(LEFT(L1881,2)="15",AND(LEFT(M1881,2)&lt;&gt;"15",LEFT(M1881,2)&lt;&gt;"33"))),"x","")</f>
        <v/>
      </c>
      <c r="X1881" s="39" t="str">
        <f>IF(AND(OR(LEFT(TH!L1881,2)="15",LEFT(TH!M1881,2)="15"),'152-CT'!$J$8=TH!F1881),"x","")</f>
        <v/>
      </c>
      <c r="Y1881" s="39" t="str">
        <f>IF(AND(OR(LEFT(TH!L1881,2)="15",LEFT(TH!M1881,2)="15"),TK!$E$7=TH!F1881),"x","")</f>
        <v/>
      </c>
      <c r="Z1881" s="39" t="str">
        <f>IF(AND(B1881&lt;=NKC!$N$8,B1881&gt;=NKC!$M$8),"x","")</f>
        <v/>
      </c>
      <c r="AA1881" s="883"/>
    </row>
    <row r="1882" spans="1:27" s="211" customFormat="1" ht="15.75" customHeight="1">
      <c r="A1882" s="204" t="str">
        <f>IF(B1882&lt;&gt;"",IF(AND(B1882&gt;=_TM1,B1882&lt;=_TM2,OR(TH!L1882="1111",TH!M1882="1111")),TH!D1882,""),"")</f>
        <v/>
      </c>
      <c r="B1882" s="36">
        <f t="shared" si="470"/>
        <v>6</v>
      </c>
      <c r="C1882" s="191">
        <f t="shared" si="472"/>
        <v>41445</v>
      </c>
      <c r="D1882" s="37" t="s">
        <v>487</v>
      </c>
      <c r="E1882" s="37">
        <v>41445</v>
      </c>
      <c r="F1882" s="40" t="s">
        <v>817</v>
      </c>
      <c r="G1882" s="40" t="s">
        <v>854</v>
      </c>
      <c r="H1882" s="7" t="s">
        <v>1290</v>
      </c>
      <c r="I1882" s="256">
        <v>1500</v>
      </c>
      <c r="J1882" s="256">
        <v>1429.172</v>
      </c>
      <c r="K1882" s="602">
        <f t="shared" si="471"/>
        <v>2143758</v>
      </c>
      <c r="L1882" s="39" t="s">
        <v>173</v>
      </c>
      <c r="M1882" s="39" t="s">
        <v>167</v>
      </c>
      <c r="N1882" s="39" t="str">
        <f>IF(AND('331-CT'!$E$7=TH!H1882,OR(L1882="331",M1882="331")),"331",IF(AND(OR(L1882="131",M1882="131"),H1882='131-CT'!$E$7),"131",""))</f>
        <v/>
      </c>
      <c r="O1882" s="39" t="str">
        <f>IF(AND($B1882&gt;='111'!$N$11,$B1882&lt;='111'!$O$11,OR($L1882=$O$7,$M1882=$O$7)),"x","")</f>
        <v/>
      </c>
      <c r="P1882" s="39" t="str">
        <f>IF(AND($L1882=$O$7,$B1882&lt;'111'!$N$11),"x","")</f>
        <v/>
      </c>
      <c r="Q1882" s="39" t="str">
        <f>IF(AND($M1882=$O$7,$B1882&lt;'111'!$N$11),"x","")</f>
        <v/>
      </c>
      <c r="R1882" s="39" t="str">
        <f>IF(ISERROR(FIND('112'!$M$9,G1882,1)),"",IF((AND(FIND('112'!$M$9,G1882,1)&gt;=1,$B1882&gt;='112'!$N$8,$B1882&lt;='112'!$O$8,OR($L1882='112'!$I$6,$M1882='112'!$I$6))),"x",""))</f>
        <v/>
      </c>
      <c r="S1882" s="39" t="str">
        <f>IF(ISERROR(FIND('112'!$M$9,G1882,1)),"",IF((AND(LEFT(G1882,2)=LEFT('112'!$M$9,2),B1882&lt;'112'!$N$8,$L1882='112'!$I$6)),"x",""))</f>
        <v/>
      </c>
      <c r="T1882" s="39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>632</v>
      </c>
      <c r="V1882" s="39" t="str">
        <f>IF(OR(TH!L1882=TH!$V$7,M1882=TH!$V$7),"x","")</f>
        <v/>
      </c>
      <c r="W1882" s="39" t="str">
        <f>IF(AND(B1882&gt;='IN-NX'!$P$3,B1882&lt;='IN-NX'!$Q$3,'IN-NX'!$D$7=D1882,OR(LEFT(L1882,2)="15",AND(LEFT(M1882,2)&lt;&gt;"15",LEFT(M1882,2)&lt;&gt;"33"))),"x","")</f>
        <v/>
      </c>
      <c r="X1882" s="39" t="str">
        <f>IF(AND(OR(LEFT(TH!L1882,2)="15",LEFT(TH!M1882,2)="15"),'152-CT'!$J$8=TH!F1882),"x","")</f>
        <v/>
      </c>
      <c r="Y1882" s="39" t="str">
        <f>IF(AND(OR(LEFT(TH!L1882,2)="15",LEFT(TH!M1882,2)="15"),TK!$E$7=TH!F1882),"x","")</f>
        <v/>
      </c>
      <c r="Z1882" s="39" t="str">
        <f>IF(AND(B1882&lt;=NKC!$N$8,B1882&gt;=NKC!$M$8),"x","")</f>
        <v/>
      </c>
      <c r="AA1882" s="883"/>
    </row>
    <row r="1883" spans="1:27" s="211" customFormat="1" ht="15.75" customHeight="1">
      <c r="A1883" s="204" t="str">
        <f>IF(B1883&lt;&gt;"",IF(AND(B1883&gt;=_TM1,B1883&lt;=_TM2,OR(TH!L1883="1111",TH!M1883="1111")),TH!D1883,""),"")</f>
        <v/>
      </c>
      <c r="B1883" s="36">
        <f t="shared" si="470"/>
        <v>6</v>
      </c>
      <c r="C1883" s="191">
        <f t="shared" si="472"/>
        <v>41445</v>
      </c>
      <c r="D1883" s="37" t="s">
        <v>487</v>
      </c>
      <c r="E1883" s="37">
        <v>41445</v>
      </c>
      <c r="F1883" s="40" t="s">
        <v>1129</v>
      </c>
      <c r="G1883" s="40" t="s">
        <v>855</v>
      </c>
      <c r="H1883" s="7" t="s">
        <v>1290</v>
      </c>
      <c r="I1883" s="256">
        <v>212</v>
      </c>
      <c r="J1883" s="256">
        <v>6713.066037735849</v>
      </c>
      <c r="K1883" s="602">
        <f t="shared" si="471"/>
        <v>1423170</v>
      </c>
      <c r="L1883" s="39" t="s">
        <v>173</v>
      </c>
      <c r="M1883" s="39" t="s">
        <v>167</v>
      </c>
      <c r="N1883" s="39" t="str">
        <f>IF(AND('331-CT'!$E$7=TH!H1883,OR(L1883="331",M1883="331")),"331",IF(AND(OR(L1883="131",M1883="131"),H1883='131-CT'!$E$7),"131",""))</f>
        <v/>
      </c>
      <c r="O1883" s="39" t="str">
        <f>IF(AND($B1883&gt;='111'!$N$11,$B1883&lt;='111'!$O$11,OR($L1883=$O$7,$M1883=$O$7)),"x","")</f>
        <v/>
      </c>
      <c r="P1883" s="39" t="str">
        <f>IF(AND($L1883=$O$7,$B1883&lt;'111'!$N$11),"x","")</f>
        <v/>
      </c>
      <c r="Q1883" s="39" t="str">
        <f>IF(AND($M1883=$O$7,$B1883&lt;'111'!$N$11),"x","")</f>
        <v/>
      </c>
      <c r="R1883" s="39" t="str">
        <f>IF(ISERROR(FIND('112'!$M$9,G1883,1)),"",IF((AND(FIND('112'!$M$9,G1883,1)&gt;=1,$B1883&gt;='112'!$N$8,$B1883&lt;='112'!$O$8,OR($L1883='112'!$I$6,$M1883='112'!$I$6))),"x",""))</f>
        <v/>
      </c>
      <c r="S1883" s="39" t="str">
        <f>IF(ISERROR(FIND('112'!$M$9,G1883,1)),"",IF((AND(LEFT(G1883,2)=LEFT('112'!$M$9,2),B1883&lt;'112'!$N$8,$L1883='112'!$I$6)),"x",""))</f>
        <v/>
      </c>
      <c r="T1883" s="39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>632</v>
      </c>
      <c r="V1883" s="39" t="str">
        <f>IF(OR(TH!L1883=TH!$V$7,M1883=TH!$V$7),"x","")</f>
        <v/>
      </c>
      <c r="W1883" s="39" t="str">
        <f>IF(AND(B1883&gt;='IN-NX'!$P$3,B1883&lt;='IN-NX'!$Q$3,'IN-NX'!$D$7=D1883,OR(LEFT(L1883,2)="15",AND(LEFT(M1883,2)&lt;&gt;"15",LEFT(M1883,2)&lt;&gt;"33"))),"x","")</f>
        <v/>
      </c>
      <c r="X1883" s="39" t="str">
        <f>IF(AND(OR(LEFT(TH!L1883,2)="15",LEFT(TH!M1883,2)="15"),'152-CT'!$J$8=TH!F1883),"x","")</f>
        <v/>
      </c>
      <c r="Y1883" s="39" t="str">
        <f>IF(AND(OR(LEFT(TH!L1883,2)="15",LEFT(TH!M1883,2)="15"),TK!$E$7=TH!F1883),"x","")</f>
        <v/>
      </c>
      <c r="Z1883" s="39" t="str">
        <f>IF(AND(B1883&lt;=NKC!$N$8,B1883&gt;=NKC!$M$8),"x","")</f>
        <v/>
      </c>
      <c r="AA1883" s="883"/>
    </row>
    <row r="1884" spans="1:27" s="211" customFormat="1" ht="15.75" customHeight="1">
      <c r="A1884" s="204" t="str">
        <f>IF(B1884&lt;&gt;"",IF(AND(B1884&gt;=_TM1,B1884&lt;=_TM2,OR(TH!L1884="1111",TH!M1884="1111")),TH!D1884,""),"")</f>
        <v/>
      </c>
      <c r="B1884" s="36">
        <f t="shared" si="470"/>
        <v>6</v>
      </c>
      <c r="C1884" s="191">
        <f t="shared" si="472"/>
        <v>41445</v>
      </c>
      <c r="D1884" s="37" t="s">
        <v>487</v>
      </c>
      <c r="E1884" s="37">
        <v>41445</v>
      </c>
      <c r="F1884" s="40" t="s">
        <v>1128</v>
      </c>
      <c r="G1884" s="40" t="s">
        <v>855</v>
      </c>
      <c r="H1884" s="7" t="s">
        <v>1290</v>
      </c>
      <c r="I1884" s="256">
        <v>195</v>
      </c>
      <c r="J1884" s="256">
        <v>13775.364102564103</v>
      </c>
      <c r="K1884" s="602">
        <f t="shared" si="471"/>
        <v>2686196</v>
      </c>
      <c r="L1884" s="39" t="s">
        <v>173</v>
      </c>
      <c r="M1884" s="39" t="s">
        <v>167</v>
      </c>
      <c r="N1884" s="39" t="str">
        <f>IF(AND('331-CT'!$E$7=TH!H1884,OR(L1884="331",M1884="331")),"331",IF(AND(OR(L1884="131",M1884="131"),H1884='131-CT'!$E$7),"131",""))</f>
        <v/>
      </c>
      <c r="O1884" s="39" t="str">
        <f>IF(AND($B1884&gt;='111'!$N$11,$B1884&lt;='111'!$O$11,OR($L1884=$O$7,$M1884=$O$7)),"x","")</f>
        <v/>
      </c>
      <c r="P1884" s="39" t="str">
        <f>IF(AND($L1884=$O$7,$B1884&lt;'111'!$N$11),"x","")</f>
        <v/>
      </c>
      <c r="Q1884" s="39" t="str">
        <f>IF(AND($M1884=$O$7,$B1884&lt;'111'!$N$11),"x","")</f>
        <v/>
      </c>
      <c r="R1884" s="39" t="str">
        <f>IF(ISERROR(FIND('112'!$M$9,G1884,1)),"",IF((AND(FIND('112'!$M$9,G1884,1)&gt;=1,$B1884&gt;='112'!$N$8,$B1884&lt;='112'!$O$8,OR($L1884='112'!$I$6,$M1884='112'!$I$6))),"x",""))</f>
        <v/>
      </c>
      <c r="S1884" s="39" t="str">
        <f>IF(ISERROR(FIND('112'!$M$9,G1884,1)),"",IF((AND(LEFT(G1884,2)=LEFT('112'!$M$9,2),B1884&lt;'112'!$N$8,$L1884='112'!$I$6)),"x",""))</f>
        <v/>
      </c>
      <c r="T1884" s="39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>632</v>
      </c>
      <c r="V1884" s="39" t="str">
        <f>IF(OR(TH!L1884=TH!$V$7,M1884=TH!$V$7),"x","")</f>
        <v/>
      </c>
      <c r="W1884" s="39" t="str">
        <f>IF(AND(B1884&gt;='IN-NX'!$P$3,B1884&lt;='IN-NX'!$Q$3,'IN-NX'!$D$7=D1884,OR(LEFT(L1884,2)="15",AND(LEFT(M1884,2)&lt;&gt;"15",LEFT(M1884,2)&lt;&gt;"33"))),"x","")</f>
        <v/>
      </c>
      <c r="X1884" s="39" t="str">
        <f>IF(AND(OR(LEFT(TH!L1884,2)="15",LEFT(TH!M1884,2)="15"),'152-CT'!$J$8=TH!F1884),"x","")</f>
        <v/>
      </c>
      <c r="Y1884" s="39" t="str">
        <f>IF(AND(OR(LEFT(TH!L1884,2)="15",LEFT(TH!M1884,2)="15"),TK!$E$7=TH!F1884),"x","")</f>
        <v/>
      </c>
      <c r="Z1884" s="39" t="str">
        <f>IF(AND(B1884&lt;=NKC!$N$8,B1884&gt;=NKC!$M$8),"x","")</f>
        <v/>
      </c>
      <c r="AA1884" s="883"/>
    </row>
    <row r="1885" spans="1:27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470"/>
        <v>6</v>
      </c>
      <c r="C1885" s="191">
        <f t="shared" si="472"/>
        <v>41445</v>
      </c>
      <c r="D1885" s="37" t="s">
        <v>487</v>
      </c>
      <c r="E1885" s="37">
        <v>41445</v>
      </c>
      <c r="F1885" s="40" t="s">
        <v>829</v>
      </c>
      <c r="G1885" s="40" t="s">
        <v>856</v>
      </c>
      <c r="H1885" s="7" t="s">
        <v>1290</v>
      </c>
      <c r="I1885" s="256">
        <v>508</v>
      </c>
      <c r="J1885" s="256">
        <v>5039.0866141732286</v>
      </c>
      <c r="K1885" s="602">
        <f t="shared" si="471"/>
        <v>2559856</v>
      </c>
      <c r="L1885" s="39" t="s">
        <v>173</v>
      </c>
      <c r="M1885" s="39" t="s">
        <v>167</v>
      </c>
      <c r="N1885" s="39" t="str">
        <f>IF(AND('331-CT'!$E$7=TH!H1885,OR(L1885="331",M1885="331")),"331",IF(AND(OR(L1885="131",M1885="131"),H1885='131-CT'!$E$7),"131",""))</f>
        <v/>
      </c>
      <c r="O1885" s="39" t="str">
        <f>IF(AND($B1885&gt;='111'!$N$11,$B1885&lt;='111'!$O$11,OR($L1885=$O$7,$M1885=$O$7)),"x","")</f>
        <v/>
      </c>
      <c r="P1885" s="39" t="str">
        <f>IF(AND($L1885=$O$7,$B1885&lt;'111'!$N$11),"x","")</f>
        <v/>
      </c>
      <c r="Q1885" s="39" t="str">
        <f>IF(AND($M1885=$O$7,$B1885&lt;'111'!$N$11),"x","")</f>
        <v/>
      </c>
      <c r="R1885" s="39" t="str">
        <f>IF(ISERROR(FIND('112'!$M$9,G1885,1)),"",IF((AND(FIND('112'!$M$9,G1885,1)&gt;=1,$B1885&gt;='112'!$N$8,$B1885&lt;='112'!$O$8,OR($L1885='112'!$I$6,$M1885='112'!$I$6))),"x",""))</f>
        <v/>
      </c>
      <c r="S1885" s="39" t="str">
        <f>IF(ISERROR(FIND('112'!$M$9,G1885,1)),"",IF((AND(LEFT(G1885,2)=LEFT('112'!$M$9,2),B1885&lt;'112'!$N$8,$L1885='112'!$I$6)),"x",""))</f>
        <v/>
      </c>
      <c r="T1885" s="39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>632</v>
      </c>
      <c r="V1885" s="39" t="str">
        <f>IF(OR(TH!L1885=TH!$V$7,M1885=TH!$V$7),"x","")</f>
        <v/>
      </c>
      <c r="W1885" s="39" t="str">
        <f>IF(AND(B1885&gt;='IN-NX'!$P$3,B1885&lt;='IN-NX'!$Q$3,'IN-NX'!$D$7=D1885,OR(LEFT(L1885,2)="15",AND(LEFT(M1885,2)&lt;&gt;"15",LEFT(M1885,2)&lt;&gt;"33"))),"x","")</f>
        <v/>
      </c>
      <c r="X1885" s="39" t="str">
        <f>IF(AND(OR(LEFT(TH!L1885,2)="15",LEFT(TH!M1885,2)="15"),'152-CT'!$J$8=TH!F1885),"x","")</f>
        <v/>
      </c>
      <c r="Y1885" s="39" t="str">
        <f>IF(AND(OR(LEFT(TH!L1885,2)="15",LEFT(TH!M1885,2)="15"),TK!$E$7=TH!F1885),"x","")</f>
        <v/>
      </c>
      <c r="Z1885" s="39" t="str">
        <f>IF(AND(B1885&lt;=NKC!$N$8,B1885&gt;=NKC!$M$8),"x","")</f>
        <v/>
      </c>
      <c r="AA1885" s="883"/>
    </row>
    <row r="1886" spans="1:27" s="211" customFormat="1" ht="15.75" customHeight="1">
      <c r="A1886" s="204" t="str">
        <f>IF(B1886&lt;&gt;"",IF(AND(B1886&gt;=_TM1,B1886&lt;=_TM2,OR(TH!L1886="1111",TH!M1886="1111")),TH!D1886,""),"")</f>
        <v/>
      </c>
      <c r="B1886" s="36">
        <f t="shared" si="470"/>
        <v>6</v>
      </c>
      <c r="C1886" s="191">
        <f t="shared" si="472"/>
        <v>41445</v>
      </c>
      <c r="D1886" s="37" t="s">
        <v>487</v>
      </c>
      <c r="E1886" s="37">
        <v>41445</v>
      </c>
      <c r="F1886" s="40" t="s">
        <v>831</v>
      </c>
      <c r="G1886" s="40" t="s">
        <v>856</v>
      </c>
      <c r="H1886" s="7" t="s">
        <v>1290</v>
      </c>
      <c r="I1886" s="256">
        <v>305</v>
      </c>
      <c r="J1886" s="256">
        <v>4786.4852459016392</v>
      </c>
      <c r="K1886" s="602">
        <f t="shared" si="471"/>
        <v>1459878</v>
      </c>
      <c r="L1886" s="39" t="s">
        <v>173</v>
      </c>
      <c r="M1886" s="39" t="s">
        <v>167</v>
      </c>
      <c r="N1886" s="39" t="str">
        <f>IF(AND('331-CT'!$E$7=TH!H1886,OR(L1886="331",M1886="331")),"331",IF(AND(OR(L1886="131",M1886="131"),H1886='131-CT'!$E$7),"131",""))</f>
        <v/>
      </c>
      <c r="O1886" s="39" t="str">
        <f>IF(AND($B1886&gt;='111'!$N$11,$B1886&lt;='111'!$O$11,OR($L1886=$O$7,$M1886=$O$7)),"x","")</f>
        <v/>
      </c>
      <c r="P1886" s="39" t="str">
        <f>IF(AND($L1886=$O$7,$B1886&lt;'111'!$N$11),"x","")</f>
        <v/>
      </c>
      <c r="Q1886" s="39" t="str">
        <f>IF(AND($M1886=$O$7,$B1886&lt;'111'!$N$11),"x","")</f>
        <v/>
      </c>
      <c r="R1886" s="39" t="str">
        <f>IF(ISERROR(FIND('112'!$M$9,G1886,1)),"",IF((AND(FIND('112'!$M$9,G1886,1)&gt;=1,$B1886&gt;='112'!$N$8,$B1886&lt;='112'!$O$8,OR($L1886='112'!$I$6,$M1886='112'!$I$6))),"x",""))</f>
        <v/>
      </c>
      <c r="S1886" s="39" t="str">
        <f>IF(ISERROR(FIND('112'!$M$9,G1886,1)),"",IF((AND(LEFT(G1886,2)=LEFT('112'!$M$9,2),B1886&lt;'112'!$N$8,$L1886='112'!$I$6)),"x",""))</f>
        <v/>
      </c>
      <c r="T1886" s="39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>632</v>
      </c>
      <c r="V1886" s="39" t="str">
        <f>IF(OR(TH!L1886=TH!$V$7,M1886=TH!$V$7),"x","")</f>
        <v/>
      </c>
      <c r="W1886" s="39" t="str">
        <f>IF(AND(B1886&gt;='IN-NX'!$P$3,B1886&lt;='IN-NX'!$Q$3,'IN-NX'!$D$7=D1886,OR(LEFT(L1886,2)="15",AND(LEFT(M1886,2)&lt;&gt;"15",LEFT(M1886,2)&lt;&gt;"33"))),"x","")</f>
        <v/>
      </c>
      <c r="X1886" s="39" t="str">
        <f>IF(AND(OR(LEFT(TH!L1886,2)="15",LEFT(TH!M1886,2)="15"),'152-CT'!$J$8=TH!F1886),"x","")</f>
        <v/>
      </c>
      <c r="Y1886" s="39" t="str">
        <f>IF(AND(OR(LEFT(TH!L1886,2)="15",LEFT(TH!M1886,2)="15"),TK!$E$7=TH!F1886),"x","")</f>
        <v/>
      </c>
      <c r="Z1886" s="39" t="str">
        <f>IF(AND(B1886&lt;=NKC!$N$8,B1886&gt;=NKC!$M$8),"x","")</f>
        <v/>
      </c>
      <c r="AA1886" s="883"/>
    </row>
    <row r="1887" spans="1:27" s="211" customFormat="1" ht="15.75" customHeight="1">
      <c r="A1887" s="204" t="str">
        <f>IF(B1887&lt;&gt;"",IF(AND(B1887&gt;=_TM1,B1887&lt;=_TM2,OR(TH!L1887="1111",TH!M1887="1111")),TH!D1887,""),"")</f>
        <v/>
      </c>
      <c r="B1887" s="36">
        <f t="shared" si="470"/>
        <v>6</v>
      </c>
      <c r="C1887" s="191">
        <f t="shared" si="472"/>
        <v>41445</v>
      </c>
      <c r="D1887" s="37" t="s">
        <v>487</v>
      </c>
      <c r="E1887" s="37">
        <v>41445</v>
      </c>
      <c r="F1887" s="40" t="s">
        <v>1138</v>
      </c>
      <c r="G1887" s="40" t="s">
        <v>856</v>
      </c>
      <c r="H1887" s="7" t="s">
        <v>1290</v>
      </c>
      <c r="I1887" s="256">
        <v>484</v>
      </c>
      <c r="J1887" s="256">
        <v>5258.2107438016528</v>
      </c>
      <c r="K1887" s="602">
        <f t="shared" si="471"/>
        <v>2544974</v>
      </c>
      <c r="L1887" s="39" t="s">
        <v>173</v>
      </c>
      <c r="M1887" s="39" t="s">
        <v>167</v>
      </c>
      <c r="N1887" s="39" t="str">
        <f>IF(AND('331-CT'!$E$7=TH!H1887,OR(L1887="331",M1887="331")),"331",IF(AND(OR(L1887="131",M1887="131"),H1887='131-CT'!$E$7),"131",""))</f>
        <v/>
      </c>
      <c r="O1887" s="39" t="str">
        <f>IF(AND($B1887&gt;='111'!$N$11,$B1887&lt;='111'!$O$11,OR($L1887=$O$7,$M1887=$O$7)),"x","")</f>
        <v/>
      </c>
      <c r="P1887" s="39" t="str">
        <f>IF(AND($L1887=$O$7,$B1887&lt;'111'!$N$11),"x","")</f>
        <v/>
      </c>
      <c r="Q1887" s="39" t="str">
        <f>IF(AND($M1887=$O$7,$B1887&lt;'111'!$N$11),"x","")</f>
        <v/>
      </c>
      <c r="R1887" s="39" t="str">
        <f>IF(ISERROR(FIND('112'!$M$9,G1887,1)),"",IF((AND(FIND('112'!$M$9,G1887,1)&gt;=1,$B1887&gt;='112'!$N$8,$B1887&lt;='112'!$O$8,OR($L1887='112'!$I$6,$M1887='112'!$I$6))),"x",""))</f>
        <v/>
      </c>
      <c r="S1887" s="39" t="str">
        <f>IF(ISERROR(FIND('112'!$M$9,G1887,1)),"",IF((AND(LEFT(G1887,2)=LEFT('112'!$M$9,2),B1887&lt;'112'!$N$8,$L1887='112'!$I$6)),"x",""))</f>
        <v/>
      </c>
      <c r="T1887" s="39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>632</v>
      </c>
      <c r="V1887" s="39" t="str">
        <f>IF(OR(TH!L1887=TH!$V$7,M1887=TH!$V$7),"x","")</f>
        <v/>
      </c>
      <c r="W1887" s="39" t="str">
        <f>IF(AND(B1887&gt;='IN-NX'!$P$3,B1887&lt;='IN-NX'!$Q$3,'IN-NX'!$D$7=D1887,OR(LEFT(L1887,2)="15",AND(LEFT(M1887,2)&lt;&gt;"15",LEFT(M1887,2)&lt;&gt;"33"))),"x","")</f>
        <v/>
      </c>
      <c r="X1887" s="39" t="str">
        <f>IF(AND(OR(LEFT(TH!L1887,2)="15",LEFT(TH!M1887,2)="15"),'152-CT'!$J$8=TH!F1887),"x","")</f>
        <v/>
      </c>
      <c r="Y1887" s="39" t="str">
        <f>IF(AND(OR(LEFT(TH!L1887,2)="15",LEFT(TH!M1887,2)="15"),TK!$E$7=TH!F1887),"x","")</f>
        <v/>
      </c>
      <c r="Z1887" s="39" t="str">
        <f>IF(AND(B1887&lt;=NKC!$N$8,B1887&gt;=NKC!$M$8),"x","")</f>
        <v/>
      </c>
      <c r="AA1887" s="883"/>
    </row>
    <row r="1888" spans="1:27" s="211" customFormat="1" ht="15.75" customHeight="1">
      <c r="A1888" s="204" t="str">
        <f>IF(B1888&lt;&gt;"",IF(AND(B1888&gt;=_TM1,B1888&lt;=_TM2,OR(TH!L1888="1111",TH!M1888="1111")),TH!D1888,""),"")</f>
        <v/>
      </c>
      <c r="B1888" s="36">
        <f t="shared" si="470"/>
        <v>6</v>
      </c>
      <c r="C1888" s="191">
        <f t="shared" si="472"/>
        <v>41446</v>
      </c>
      <c r="D1888" s="37" t="s">
        <v>487</v>
      </c>
      <c r="E1888" s="37">
        <v>41446</v>
      </c>
      <c r="F1888" s="40" t="s">
        <v>1140</v>
      </c>
      <c r="G1888" s="40" t="s">
        <v>857</v>
      </c>
      <c r="H1888" s="7" t="s">
        <v>1290</v>
      </c>
      <c r="I1888" s="256">
        <v>1030</v>
      </c>
      <c r="J1888" s="256">
        <v>4606.3776699029122</v>
      </c>
      <c r="K1888" s="602">
        <f t="shared" si="471"/>
        <v>4744569</v>
      </c>
      <c r="L1888" s="39" t="s">
        <v>173</v>
      </c>
      <c r="M1888" s="39" t="s">
        <v>167</v>
      </c>
      <c r="N1888" s="39" t="str">
        <f>IF(AND('331-CT'!$E$7=TH!H1888,OR(L1888="331",M1888="331")),"331",IF(AND(OR(L1888="131",M1888="131"),H1888='131-CT'!$E$7),"131",""))</f>
        <v/>
      </c>
      <c r="O1888" s="39" t="str">
        <f>IF(AND($B1888&gt;='111'!$N$11,$B1888&lt;='111'!$O$11,OR($L1888=$O$7,$M1888=$O$7)),"x","")</f>
        <v/>
      </c>
      <c r="P1888" s="39" t="str">
        <f>IF(AND($L1888=$O$7,$B1888&lt;'111'!$N$11),"x","")</f>
        <v/>
      </c>
      <c r="Q1888" s="39" t="str">
        <f>IF(AND($M1888=$O$7,$B1888&lt;'111'!$N$11),"x","")</f>
        <v/>
      </c>
      <c r="R1888" s="39" t="str">
        <f>IF(ISERROR(FIND('112'!$M$9,G1888,1)),"",IF((AND(FIND('112'!$M$9,G1888,1)&gt;=1,$B1888&gt;='112'!$N$8,$B1888&lt;='112'!$O$8,OR($L1888='112'!$I$6,$M1888='112'!$I$6))),"x",""))</f>
        <v/>
      </c>
      <c r="S1888" s="39" t="str">
        <f>IF(ISERROR(FIND('112'!$M$9,G1888,1)),"",IF((AND(LEFT(G1888,2)=LEFT('112'!$M$9,2),B1888&lt;'112'!$N$8,$L1888='112'!$I$6)),"x",""))</f>
        <v/>
      </c>
      <c r="T1888" s="39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>632</v>
      </c>
      <c r="V1888" s="39" t="str">
        <f>IF(OR(TH!L1888=TH!$V$7,M1888=TH!$V$7),"x","")</f>
        <v/>
      </c>
      <c r="W1888" s="39" t="str">
        <f>IF(AND(B1888&gt;='IN-NX'!$P$3,B1888&lt;='IN-NX'!$Q$3,'IN-NX'!$D$7=D1888,OR(LEFT(L1888,2)="15",AND(LEFT(M1888,2)&lt;&gt;"15",LEFT(M1888,2)&lt;&gt;"33"))),"x","")</f>
        <v/>
      </c>
      <c r="X1888" s="39" t="str">
        <f>IF(AND(OR(LEFT(TH!L1888,2)="15",LEFT(TH!M1888,2)="15"),'152-CT'!$J$8=TH!F1888),"x","")</f>
        <v/>
      </c>
      <c r="Y1888" s="39" t="str">
        <f>IF(AND(OR(LEFT(TH!L1888,2)="15",LEFT(TH!M1888,2)="15"),TK!$E$7=TH!F1888),"x","")</f>
        <v/>
      </c>
      <c r="Z1888" s="39" t="str">
        <f>IF(AND(B1888&lt;=NKC!$N$8,B1888&gt;=NKC!$M$8),"x","")</f>
        <v/>
      </c>
      <c r="AA1888" s="883"/>
    </row>
    <row r="1889" spans="1:27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470"/>
        <v>6</v>
      </c>
      <c r="C1889" s="191">
        <f t="shared" si="472"/>
        <v>41451</v>
      </c>
      <c r="D1889" s="37" t="s">
        <v>487</v>
      </c>
      <c r="E1889" s="37">
        <v>41451</v>
      </c>
      <c r="F1889" s="192" t="s">
        <v>836</v>
      </c>
      <c r="G1889" s="40" t="s">
        <v>858</v>
      </c>
      <c r="H1889" s="7" t="s">
        <v>1290</v>
      </c>
      <c r="I1889" s="256">
        <v>500</v>
      </c>
      <c r="J1889" s="256">
        <v>10718.236000000001</v>
      </c>
      <c r="K1889" s="602">
        <f t="shared" si="471"/>
        <v>5359118</v>
      </c>
      <c r="L1889" s="39" t="s">
        <v>173</v>
      </c>
      <c r="M1889" s="39" t="s">
        <v>167</v>
      </c>
      <c r="N1889" s="39" t="str">
        <f>IF(AND('331-CT'!$E$7=TH!H1889,OR(L1889="331",M1889="331")),"331",IF(AND(OR(L1889="131",M1889="131"),H1889='131-CT'!$E$7),"131",""))</f>
        <v/>
      </c>
      <c r="O1889" s="39" t="str">
        <f>IF(AND($B1889&gt;='111'!$N$11,$B1889&lt;='111'!$O$11,OR($L1889=$O$7,$M1889=$O$7)),"x","")</f>
        <v/>
      </c>
      <c r="P1889" s="39" t="str">
        <f>IF(AND($L1889=$O$7,$B1889&lt;'111'!$N$11),"x","")</f>
        <v/>
      </c>
      <c r="Q1889" s="39" t="str">
        <f>IF(AND($M1889=$O$7,$B1889&lt;'111'!$N$11),"x","")</f>
        <v/>
      </c>
      <c r="R1889" s="39" t="str">
        <f>IF(ISERROR(FIND('112'!$M$9,G1889,1)),"",IF((AND(FIND('112'!$M$9,G1889,1)&gt;=1,$B1889&gt;='112'!$N$8,$B1889&lt;='112'!$O$8,OR($L1889='112'!$I$6,$M1889='112'!$I$6))),"x",""))</f>
        <v/>
      </c>
      <c r="S1889" s="39" t="str">
        <f>IF(ISERROR(FIND('112'!$M$9,G1889,1)),"",IF((AND(LEFT(G1889,2)=LEFT('112'!$M$9,2),B1889&lt;'112'!$N$8,$L1889='112'!$I$6)),"x",""))</f>
        <v/>
      </c>
      <c r="T1889" s="39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>632</v>
      </c>
      <c r="V1889" s="39" t="str">
        <f>IF(OR(TH!L1889=TH!$V$7,M1889=TH!$V$7),"x","")</f>
        <v/>
      </c>
      <c r="W1889" s="39" t="str">
        <f>IF(AND(B1889&gt;='IN-NX'!$P$3,B1889&lt;='IN-NX'!$Q$3,'IN-NX'!$D$7=D1889,OR(LEFT(L1889,2)="15",AND(LEFT(M1889,2)&lt;&gt;"15",LEFT(M1889,2)&lt;&gt;"33"))),"x","")</f>
        <v/>
      </c>
      <c r="X1889" s="39" t="str">
        <f>IF(AND(OR(LEFT(TH!L1889,2)="15",LEFT(TH!M1889,2)="15"),'152-CT'!$J$8=TH!F1889),"x","")</f>
        <v/>
      </c>
      <c r="Y1889" s="39" t="str">
        <f>IF(AND(OR(LEFT(TH!L1889,2)="15",LEFT(TH!M1889,2)="15"),TK!$E$7=TH!F1889),"x","")</f>
        <v/>
      </c>
      <c r="Z1889" s="39" t="str">
        <f>IF(AND(B1889&lt;=NKC!$N$8,B1889&gt;=NKC!$M$8),"x","")</f>
        <v/>
      </c>
      <c r="AA1889" s="883"/>
    </row>
    <row r="1890" spans="1:27" s="211" customFormat="1" ht="15.75" customHeight="1">
      <c r="A1890" s="204" t="str">
        <f>IF(B1890&lt;&gt;"",IF(AND(B1890&gt;=_TM1,B1890&lt;=_TM2,OR(TH!L1890="1111",TH!M1890="1111")),TH!D1890,""),"")</f>
        <v/>
      </c>
      <c r="B1890" s="36">
        <f t="shared" si="470"/>
        <v>6</v>
      </c>
      <c r="C1890" s="191">
        <f t="shared" si="472"/>
        <v>41451</v>
      </c>
      <c r="D1890" s="37" t="s">
        <v>487</v>
      </c>
      <c r="E1890" s="191">
        <v>41451</v>
      </c>
      <c r="F1890" s="192" t="s">
        <v>859</v>
      </c>
      <c r="G1890" s="487" t="s">
        <v>860</v>
      </c>
      <c r="H1890" s="7" t="s">
        <v>1290</v>
      </c>
      <c r="I1890" s="256">
        <v>1480</v>
      </c>
      <c r="J1890" s="256">
        <v>19196.235810810809</v>
      </c>
      <c r="K1890" s="602">
        <f t="shared" si="471"/>
        <v>28410429</v>
      </c>
      <c r="L1890" s="39" t="s">
        <v>173</v>
      </c>
      <c r="M1890" s="39" t="s">
        <v>167</v>
      </c>
      <c r="N1890" s="39" t="str">
        <f>IF(AND('331-CT'!$E$7=TH!H1890,OR(L1890="331",M1890="331")),"331",IF(AND(OR(L1890="131",M1890="131"),H1890='131-CT'!$E$7),"131",""))</f>
        <v/>
      </c>
      <c r="O1890" s="39" t="str">
        <f>IF(AND($B1890&gt;='111'!$N$11,$B1890&lt;='111'!$O$11,OR($L1890=$O$7,$M1890=$O$7)),"x","")</f>
        <v/>
      </c>
      <c r="P1890" s="39" t="str">
        <f>IF(AND($L1890=$O$7,$B1890&lt;'111'!$N$11),"x","")</f>
        <v/>
      </c>
      <c r="Q1890" s="39" t="str">
        <f>IF(AND($M1890=$O$7,$B1890&lt;'111'!$N$11),"x","")</f>
        <v/>
      </c>
      <c r="R1890" s="39" t="str">
        <f>IF(ISERROR(FIND('112'!$M$9,G1890,1)),"",IF((AND(FIND('112'!$M$9,G1890,1)&gt;=1,$B1890&gt;='112'!$N$8,$B1890&lt;='112'!$O$8,OR($L1890='112'!$I$6,$M1890='112'!$I$6))),"x",""))</f>
        <v/>
      </c>
      <c r="S1890" s="39" t="str">
        <f>IF(ISERROR(FIND('112'!$M$9,G1890,1)),"",IF((AND(LEFT(G1890,2)=LEFT('112'!$M$9,2),B1890&lt;'112'!$N$8,$L1890='112'!$I$6)),"x",""))</f>
        <v/>
      </c>
      <c r="T1890" s="39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>632</v>
      </c>
      <c r="V1890" s="39" t="str">
        <f>IF(OR(TH!L1890=TH!$V$7,M1890=TH!$V$7),"x","")</f>
        <v/>
      </c>
      <c r="W1890" s="39" t="str">
        <f>IF(AND(B1890&gt;='IN-NX'!$P$3,B1890&lt;='IN-NX'!$Q$3,'IN-NX'!$D$7=D1890,OR(LEFT(L1890,2)="15",AND(LEFT(M1890,2)&lt;&gt;"15",LEFT(M1890,2)&lt;&gt;"33"))),"x","")</f>
        <v/>
      </c>
      <c r="X1890" s="39" t="str">
        <f>IF(AND(OR(LEFT(TH!L1890,2)="15",LEFT(TH!M1890,2)="15"),'152-CT'!$J$8=TH!F1890),"x","")</f>
        <v/>
      </c>
      <c r="Y1890" s="39" t="str">
        <f>IF(AND(OR(LEFT(TH!L1890,2)="15",LEFT(TH!M1890,2)="15"),TK!$E$7=TH!F1890),"x","")</f>
        <v/>
      </c>
      <c r="Z1890" s="39" t="str">
        <f>IF(AND(B1890&lt;=NKC!$N$8,B1890&gt;=NKC!$M$8),"x","")</f>
        <v/>
      </c>
      <c r="AA1890" s="883"/>
    </row>
    <row r="1891" spans="1:27" s="211" customFormat="1" ht="15.75" customHeight="1">
      <c r="A1891" s="204" t="str">
        <f>IF(B1891&lt;&gt;"",IF(AND(B1891&gt;=_TM1,B1891&lt;=_TM2,OR(TH!L1891="1111",TH!M1891="1111")),TH!D1891,""),"")</f>
        <v/>
      </c>
      <c r="B1891" s="36">
        <f t="shared" si="470"/>
        <v>6</v>
      </c>
      <c r="C1891" s="191">
        <f t="shared" si="472"/>
        <v>41452</v>
      </c>
      <c r="D1891" s="37" t="s">
        <v>487</v>
      </c>
      <c r="E1891" s="191">
        <v>41452</v>
      </c>
      <c r="F1891" s="192" t="s">
        <v>1135</v>
      </c>
      <c r="G1891" s="487" t="s">
        <v>861</v>
      </c>
      <c r="H1891" s="7" t="s">
        <v>1290</v>
      </c>
      <c r="I1891" s="259">
        <v>3077</v>
      </c>
      <c r="J1891" s="259">
        <v>5872.6035099122519</v>
      </c>
      <c r="K1891" s="602">
        <f t="shared" si="471"/>
        <v>18070001</v>
      </c>
      <c r="L1891" s="39" t="s">
        <v>173</v>
      </c>
      <c r="M1891" s="39" t="s">
        <v>167</v>
      </c>
      <c r="N1891" s="39" t="str">
        <f>IF(AND('331-CT'!$E$7=TH!H1891,OR(L1891="331",M1891="331")),"331",IF(AND(OR(L1891="131",M1891="131"),H1891='131-CT'!$E$7),"131",""))</f>
        <v/>
      </c>
      <c r="O1891" s="39" t="str">
        <f>IF(AND($B1891&gt;='111'!$N$11,$B1891&lt;='111'!$O$11,OR($L1891=$O$7,$M1891=$O$7)),"x","")</f>
        <v/>
      </c>
      <c r="P1891" s="39" t="str">
        <f>IF(AND($L1891=$O$7,$B1891&lt;'111'!$N$11),"x","")</f>
        <v/>
      </c>
      <c r="Q1891" s="39" t="str">
        <f>IF(AND($M1891=$O$7,$B1891&lt;'111'!$N$11),"x","")</f>
        <v/>
      </c>
      <c r="R1891" s="39" t="str">
        <f>IF(ISERROR(FIND('112'!$M$9,G1891,1)),"",IF((AND(FIND('112'!$M$9,G1891,1)&gt;=1,$B1891&gt;='112'!$N$8,$B1891&lt;='112'!$O$8,OR($L1891='112'!$I$6,$M1891='112'!$I$6))),"x",""))</f>
        <v/>
      </c>
      <c r="S1891" s="39" t="str">
        <f>IF(ISERROR(FIND('112'!$M$9,G1891,1)),"",IF((AND(LEFT(G1891,2)=LEFT('112'!$M$9,2),B1891&lt;'112'!$N$8,$L1891='112'!$I$6)),"x",""))</f>
        <v/>
      </c>
      <c r="T1891" s="39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>632</v>
      </c>
      <c r="V1891" s="39" t="str">
        <f>IF(OR(TH!L1891=TH!$V$7,M1891=TH!$V$7),"x","")</f>
        <v/>
      </c>
      <c r="W1891" s="39" t="str">
        <f>IF(AND(B1891&gt;='IN-NX'!$P$3,B1891&lt;='IN-NX'!$Q$3,'IN-NX'!$D$7=D1891,OR(LEFT(L1891,2)="15",AND(LEFT(M1891,2)&lt;&gt;"15",LEFT(M1891,2)&lt;&gt;"33"))),"x","")</f>
        <v/>
      </c>
      <c r="X1891" s="39" t="str">
        <f>IF(AND(OR(LEFT(TH!L1891,2)="15",LEFT(TH!M1891,2)="15"),'152-CT'!$J$8=TH!F1891),"x","")</f>
        <v/>
      </c>
      <c r="Y1891" s="39" t="str">
        <f>IF(AND(OR(LEFT(TH!L1891,2)="15",LEFT(TH!M1891,2)="15"),TK!$E$7=TH!F1891),"x","")</f>
        <v/>
      </c>
      <c r="Z1891" s="39" t="str">
        <f>IF(AND(B1891&lt;=NKC!$N$8,B1891&gt;=NKC!$M$8),"x","")</f>
        <v/>
      </c>
      <c r="AA1891" s="883"/>
    </row>
    <row r="1892" spans="1:27" s="840" customFormat="1" ht="15.75" customHeight="1">
      <c r="A1892" s="902" t="str">
        <f>IF(B1892&lt;&gt;"",IF(AND(B1892&gt;=_TM1,B1892&lt;=_TM2,OR(TH!L1892="1111",TH!M1892="1111")),TH!D1892,""),"")</f>
        <v/>
      </c>
      <c r="B1892" s="838">
        <f t="shared" si="470"/>
        <v>7</v>
      </c>
      <c r="C1892" s="903">
        <f t="shared" si="472"/>
        <v>41460</v>
      </c>
      <c r="D1892" s="37" t="s">
        <v>487</v>
      </c>
      <c r="E1892" s="903">
        <v>41460</v>
      </c>
      <c r="F1892" s="925" t="s">
        <v>1163</v>
      </c>
      <c r="G1892" s="926" t="s">
        <v>862</v>
      </c>
      <c r="H1892" s="906" t="s">
        <v>1290</v>
      </c>
      <c r="I1892" s="914">
        <v>527</v>
      </c>
      <c r="J1892" s="914">
        <v>6729.5487972496712</v>
      </c>
      <c r="K1892" s="835">
        <f t="shared" si="471"/>
        <v>3546472</v>
      </c>
      <c r="L1892" s="828" t="s">
        <v>173</v>
      </c>
      <c r="M1892" s="828" t="s">
        <v>167</v>
      </c>
      <c r="N1892" s="828" t="str">
        <f>IF(AND('331-CT'!$E$7=TH!H1892,OR(L1892="331",M1892="331")),"331",IF(AND(OR(L1892="131",M1892="131"),H1892='131-CT'!$E$7),"131",""))</f>
        <v/>
      </c>
      <c r="O1892" s="828" t="str">
        <f>IF(AND($B1892&gt;='111'!$N$11,$B1892&lt;='111'!$O$11,OR($L1892=$O$7,$M1892=$O$7)),"x","")</f>
        <v/>
      </c>
      <c r="P1892" s="828" t="str">
        <f>IF(AND($L1892=$O$7,$B1892&lt;'111'!$N$11),"x","")</f>
        <v/>
      </c>
      <c r="Q1892" s="828" t="str">
        <f>IF(AND($M1892=$O$7,$B1892&lt;'111'!$N$11),"x","")</f>
        <v/>
      </c>
      <c r="R1892" s="828" t="str">
        <f>IF(ISERROR(FIND('112'!$M$9,G1892,1)),"",IF((AND(FIND('112'!$M$9,G1892,1)&gt;=1,$B1892&gt;='112'!$N$8,$B1892&lt;='112'!$O$8,OR($L1892='112'!$I$6,$M1892='112'!$I$6))),"x",""))</f>
        <v/>
      </c>
      <c r="S1892" s="828" t="str">
        <f>IF(ISERROR(FIND('112'!$M$9,G1892,1)),"",IF((AND(LEFT(G1892,2)=LEFT('112'!$M$9,2),B1892&lt;'112'!$N$8,$L1892='112'!$I$6)),"x",""))</f>
        <v/>
      </c>
      <c r="T1892" s="828" t="str">
        <f>IF(ISERROR(FIND('112'!$M$9,G1892,1)),"",IF((AND(RIGHT(G1892,2)=RIGHT('112'!$M$9,2),B1892&lt;'112'!$N$8,$M1892='112'!$I$6)),"x",""))</f>
        <v/>
      </c>
      <c r="U1892" s="828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828" t="str">
        <f>IF(OR(TH!L1892=TH!$V$7,M1892=TH!$V$7),"x","")</f>
        <v/>
      </c>
      <c r="W1892" s="828" t="str">
        <f>IF(AND(B1892&gt;='IN-NX'!$P$3,B1892&lt;='IN-NX'!$Q$3,'IN-NX'!$D$7=D1892,OR(LEFT(L1892,2)="15",AND(LEFT(M1892,2)&lt;&gt;"15",LEFT(M1892,2)&lt;&gt;"33"))),"x","")</f>
        <v/>
      </c>
      <c r="X1892" s="828" t="str">
        <f>IF(AND(OR(LEFT(TH!L1892,2)="15",LEFT(TH!M1892,2)="15"),'152-CT'!$J$8=TH!F1892),"x","")</f>
        <v/>
      </c>
      <c r="Y1892" s="828" t="str">
        <f>IF(AND(OR(LEFT(TH!L1892,2)="15",LEFT(TH!M1892,2)="15"),TK!$E$7=TH!F1892),"x","")</f>
        <v/>
      </c>
      <c r="Z1892" s="828" t="str">
        <f>IF(AND(B1892&lt;=NKC!$N$8,B1892&gt;=NKC!$M$8),"x","")</f>
        <v>x</v>
      </c>
      <c r="AA1892" s="910"/>
    </row>
    <row r="1893" spans="1:27" s="211" customFormat="1" ht="15.75" customHeight="1">
      <c r="A1893" s="204" t="str">
        <f>IF(B1893&lt;&gt;"",IF(AND(B1893&gt;=_TM1,B1893&lt;=_TM2,OR(TH!L1893="1111",TH!M1893="1111")),TH!D1893,""),"")</f>
        <v/>
      </c>
      <c r="B1893" s="36">
        <f t="shared" si="470"/>
        <v>7</v>
      </c>
      <c r="C1893" s="191">
        <f t="shared" si="472"/>
        <v>41460</v>
      </c>
      <c r="D1893" s="37" t="s">
        <v>487</v>
      </c>
      <c r="E1893" s="191">
        <v>41460</v>
      </c>
      <c r="F1893" s="192" t="s">
        <v>864</v>
      </c>
      <c r="G1893" s="485" t="s">
        <v>862</v>
      </c>
      <c r="H1893" s="7" t="s">
        <v>1290</v>
      </c>
      <c r="I1893" s="256">
        <v>506</v>
      </c>
      <c r="J1893" s="256">
        <v>6786.2365517853768</v>
      </c>
      <c r="K1893" s="602">
        <f t="shared" si="471"/>
        <v>3433836</v>
      </c>
      <c r="L1893" s="39" t="s">
        <v>173</v>
      </c>
      <c r="M1893" s="39" t="s">
        <v>167</v>
      </c>
      <c r="N1893" s="39" t="str">
        <f>IF(AND('331-CT'!$E$7=TH!H1893,OR(L1893="331",M1893="331")),"331",IF(AND(OR(L1893="131",M1893="131"),H1893='131-CT'!$E$7),"131",""))</f>
        <v/>
      </c>
      <c r="O1893" s="39" t="str">
        <f>IF(AND($B1893&gt;='111'!$N$11,$B1893&lt;='111'!$O$11,OR($L1893=$O$7,$M1893=$O$7)),"x","")</f>
        <v/>
      </c>
      <c r="P1893" s="39" t="str">
        <f>IF(AND($L1893=$O$7,$B1893&lt;'111'!$N$11),"x","")</f>
        <v/>
      </c>
      <c r="Q1893" s="39" t="str">
        <f>IF(AND($M1893=$O$7,$B1893&lt;'111'!$N$11),"x","")</f>
        <v/>
      </c>
      <c r="R1893" s="39" t="str">
        <f>IF(ISERROR(FIND('112'!$M$9,G1893,1)),"",IF((AND(FIND('112'!$M$9,G1893,1)&gt;=1,$B1893&gt;='112'!$N$8,$B1893&lt;='112'!$O$8,OR($L1893='112'!$I$6,$M1893='112'!$I$6))),"x",""))</f>
        <v/>
      </c>
      <c r="S1893" s="39" t="str">
        <f>IF(ISERROR(FIND('112'!$M$9,G1893,1)),"",IF((AND(LEFT(G1893,2)=LEFT('112'!$M$9,2),B1893&lt;'112'!$N$8,$L1893='112'!$I$6)),"x",""))</f>
        <v/>
      </c>
      <c r="T1893" s="39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39" t="str">
        <f>IF(OR(TH!L1893=TH!$V$7,M1893=TH!$V$7),"x","")</f>
        <v/>
      </c>
      <c r="W1893" s="39" t="str">
        <f>IF(AND(B1893&gt;='IN-NX'!$P$3,B1893&lt;='IN-NX'!$Q$3,'IN-NX'!$D$7=D1893,OR(LEFT(L1893,2)="15",AND(LEFT(M1893,2)&lt;&gt;"15",LEFT(M1893,2)&lt;&gt;"33"))),"x","")</f>
        <v/>
      </c>
      <c r="X1893" s="39" t="str">
        <f>IF(AND(OR(LEFT(TH!L1893,2)="15",LEFT(TH!M1893,2)="15"),'152-CT'!$J$8=TH!F1893),"x","")</f>
        <v/>
      </c>
      <c r="Y1893" s="39" t="str">
        <f>IF(AND(OR(LEFT(TH!L1893,2)="15",LEFT(TH!M1893,2)="15"),TK!$E$7=TH!F1893),"x","")</f>
        <v/>
      </c>
      <c r="Z1893" s="39" t="str">
        <f>IF(AND(B1893&lt;=NKC!$N$8,B1893&gt;=NKC!$M$8),"x","")</f>
        <v>x</v>
      </c>
      <c r="AA1893" s="883"/>
    </row>
    <row r="1894" spans="1:27" s="211" customFormat="1" ht="15.75" customHeight="1">
      <c r="A1894" s="204" t="str">
        <f>IF(B1894&lt;&gt;"",IF(AND(B1894&gt;=_TM1,B1894&lt;=_TM2,OR(TH!L1894="1111",TH!M1894="1111")),TH!D1894,""),"")</f>
        <v/>
      </c>
      <c r="B1894" s="36">
        <f t="shared" si="470"/>
        <v>7</v>
      </c>
      <c r="C1894" s="191">
        <f t="shared" si="472"/>
        <v>41463</v>
      </c>
      <c r="D1894" s="37" t="s">
        <v>487</v>
      </c>
      <c r="E1894" s="773">
        <v>41463</v>
      </c>
      <c r="F1894" s="40" t="s">
        <v>865</v>
      </c>
      <c r="G1894" s="40" t="s">
        <v>866</v>
      </c>
      <c r="H1894" s="7" t="s">
        <v>1290</v>
      </c>
      <c r="I1894" s="256">
        <v>144</v>
      </c>
      <c r="J1894" s="256">
        <v>20664.658735579844</v>
      </c>
      <c r="K1894" s="602">
        <f t="shared" si="471"/>
        <v>2975711</v>
      </c>
      <c r="L1894" s="39" t="s">
        <v>173</v>
      </c>
      <c r="M1894" s="39" t="s">
        <v>167</v>
      </c>
      <c r="N1894" s="39" t="str">
        <f>IF(AND('331-CT'!$E$7=TH!H1894,OR(L1894="331",M1894="331")),"331",IF(AND(OR(L1894="131",M1894="131"),H1894='131-CT'!$E$7),"131",""))</f>
        <v/>
      </c>
      <c r="O1894" s="39" t="str">
        <f>IF(AND($B1894&gt;='111'!$N$11,$B1894&lt;='111'!$O$11,OR($L1894=$O$7,$M1894=$O$7)),"x","")</f>
        <v/>
      </c>
      <c r="P1894" s="39" t="str">
        <f>IF(AND($L1894=$O$7,$B1894&lt;'111'!$N$11),"x","")</f>
        <v/>
      </c>
      <c r="Q1894" s="39" t="str">
        <f>IF(AND($M1894=$O$7,$B1894&lt;'111'!$N$11),"x","")</f>
        <v/>
      </c>
      <c r="R1894" s="39" t="str">
        <f>IF(ISERROR(FIND('112'!$M$9,G1894,1)),"",IF((AND(FIND('112'!$M$9,G1894,1)&gt;=1,$B1894&gt;='112'!$N$8,$B1894&lt;='112'!$O$8,OR($L1894='112'!$I$6,$M1894='112'!$I$6))),"x",""))</f>
        <v/>
      </c>
      <c r="S1894" s="39" t="str">
        <f>IF(ISERROR(FIND('112'!$M$9,G1894,1)),"",IF((AND(LEFT(G1894,2)=LEFT('112'!$M$9,2),B1894&lt;'112'!$N$8,$L1894='112'!$I$6)),"x",""))</f>
        <v/>
      </c>
      <c r="T1894" s="39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39" t="str">
        <f>IF(OR(TH!L1894=TH!$V$7,M1894=TH!$V$7),"x","")</f>
        <v/>
      </c>
      <c r="W1894" s="39" t="str">
        <f>IF(AND(B1894&gt;='IN-NX'!$P$3,B1894&lt;='IN-NX'!$Q$3,'IN-NX'!$D$7=D1894,OR(LEFT(L1894,2)="15",AND(LEFT(M1894,2)&lt;&gt;"15",LEFT(M1894,2)&lt;&gt;"33"))),"x","")</f>
        <v/>
      </c>
      <c r="X1894" s="39" t="str">
        <f>IF(AND(OR(LEFT(TH!L1894,2)="15",LEFT(TH!M1894,2)="15"),'152-CT'!$J$8=TH!F1894),"x","")</f>
        <v/>
      </c>
      <c r="Y1894" s="39" t="str">
        <f>IF(AND(OR(LEFT(TH!L1894,2)="15",LEFT(TH!M1894,2)="15"),TK!$E$7=TH!F1894),"x","")</f>
        <v/>
      </c>
      <c r="Z1894" s="39" t="str">
        <f>IF(AND(B1894&lt;=NKC!$N$8,B1894&gt;=NKC!$M$8),"x","")</f>
        <v>x</v>
      </c>
      <c r="AA1894" s="883"/>
    </row>
    <row r="1895" spans="1:27" s="211" customFormat="1" ht="15.75" customHeight="1">
      <c r="A1895" s="204" t="str">
        <f>IF(B1895&lt;&gt;"",IF(AND(B1895&gt;=_TM1,B1895&lt;=_TM2,OR(TH!L1895="1111",TH!M1895="1111")),TH!D1895,""),"")</f>
        <v/>
      </c>
      <c r="B1895" s="36">
        <f t="shared" si="470"/>
        <v>7</v>
      </c>
      <c r="C1895" s="191">
        <f t="shared" si="472"/>
        <v>41463</v>
      </c>
      <c r="D1895" s="37" t="s">
        <v>487</v>
      </c>
      <c r="E1895" s="773">
        <v>41463</v>
      </c>
      <c r="F1895" s="189" t="s">
        <v>867</v>
      </c>
      <c r="G1895" s="40" t="s">
        <v>866</v>
      </c>
      <c r="H1895" s="7" t="s">
        <v>1290</v>
      </c>
      <c r="I1895" s="256">
        <v>115</v>
      </c>
      <c r="J1895" s="256">
        <v>20664.657105145056</v>
      </c>
      <c r="K1895" s="602">
        <f t="shared" si="471"/>
        <v>2376436</v>
      </c>
      <c r="L1895" s="39" t="s">
        <v>173</v>
      </c>
      <c r="M1895" s="39" t="s">
        <v>167</v>
      </c>
      <c r="N1895" s="39" t="str">
        <f>IF(AND('331-CT'!$E$7=TH!H1895,OR(L1895="331",M1895="331")),"331",IF(AND(OR(L1895="131",M1895="131"),H1895='131-CT'!$E$7),"131",""))</f>
        <v/>
      </c>
      <c r="O1895" s="39" t="str">
        <f>IF(AND($B1895&gt;='111'!$N$11,$B1895&lt;='111'!$O$11,OR($L1895=$O$7,$M1895=$O$7)),"x","")</f>
        <v/>
      </c>
      <c r="P1895" s="39" t="str">
        <f>IF(AND($L1895=$O$7,$B1895&lt;'111'!$N$11),"x","")</f>
        <v/>
      </c>
      <c r="Q1895" s="39" t="str">
        <f>IF(AND($M1895=$O$7,$B1895&lt;'111'!$N$11),"x","")</f>
        <v/>
      </c>
      <c r="R1895" s="39" t="str">
        <f>IF(ISERROR(FIND('112'!$M$9,G1895,1)),"",IF((AND(FIND('112'!$M$9,G1895,1)&gt;=1,$B1895&gt;='112'!$N$8,$B1895&lt;='112'!$O$8,OR($L1895='112'!$I$6,$M1895='112'!$I$6))),"x",""))</f>
        <v/>
      </c>
      <c r="S1895" s="39" t="str">
        <f>IF(ISERROR(FIND('112'!$M$9,G1895,1)),"",IF((AND(LEFT(G1895,2)=LEFT('112'!$M$9,2),B1895&lt;'112'!$N$8,$L1895='112'!$I$6)),"x",""))</f>
        <v/>
      </c>
      <c r="T1895" s="39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39" t="str">
        <f>IF(OR(TH!L1895=TH!$V$7,M1895=TH!$V$7),"x","")</f>
        <v/>
      </c>
      <c r="W1895" s="39" t="str">
        <f>IF(AND(B1895&gt;='IN-NX'!$P$3,B1895&lt;='IN-NX'!$Q$3,'IN-NX'!$D$7=D1895,OR(LEFT(L1895,2)="15",AND(LEFT(M1895,2)&lt;&gt;"15",LEFT(M1895,2)&lt;&gt;"33"))),"x","")</f>
        <v/>
      </c>
      <c r="X1895" s="39" t="str">
        <f>IF(AND(OR(LEFT(TH!L1895,2)="15",LEFT(TH!M1895,2)="15"),'152-CT'!$J$8=TH!F1895),"x","")</f>
        <v/>
      </c>
      <c r="Y1895" s="39" t="str">
        <f>IF(AND(OR(LEFT(TH!L1895,2)="15",LEFT(TH!M1895,2)="15"),TK!$E$7=TH!F1895),"x","")</f>
        <v/>
      </c>
      <c r="Z1895" s="39" t="str">
        <f>IF(AND(B1895&lt;=NKC!$N$8,B1895&gt;=NKC!$M$8),"x","")</f>
        <v>x</v>
      </c>
      <c r="AA1895" s="883"/>
    </row>
    <row r="1896" spans="1:27" s="211" customFormat="1" ht="15.75" customHeight="1">
      <c r="A1896" s="204" t="str">
        <f>IF(B1896&lt;&gt;"",IF(AND(B1896&gt;=_TM1,B1896&lt;=_TM2,OR(TH!L1896="1111",TH!M1896="1111")),TH!D1896,""),"")</f>
        <v/>
      </c>
      <c r="B1896" s="36">
        <f t="shared" ref="B1896:B1959" si="473">IF(C1896&lt;&gt;"",MONTH(C1896),"")</f>
        <v>7</v>
      </c>
      <c r="C1896" s="191">
        <f t="shared" si="472"/>
        <v>41463</v>
      </c>
      <c r="D1896" s="37" t="s">
        <v>487</v>
      </c>
      <c r="E1896" s="773">
        <v>41463</v>
      </c>
      <c r="F1896" s="189" t="s">
        <v>721</v>
      </c>
      <c r="G1896" s="40" t="s">
        <v>868</v>
      </c>
      <c r="H1896" s="7" t="s">
        <v>1290</v>
      </c>
      <c r="I1896" s="256">
        <v>592</v>
      </c>
      <c r="J1896" s="256">
        <v>5530.7786680122754</v>
      </c>
      <c r="K1896" s="602">
        <f t="shared" si="471"/>
        <v>3274221</v>
      </c>
      <c r="L1896" s="39" t="s">
        <v>173</v>
      </c>
      <c r="M1896" s="39" t="s">
        <v>167</v>
      </c>
      <c r="N1896" s="39" t="str">
        <f>IF(AND('331-CT'!$E$7=TH!H1896,OR(L1896="331",M1896="331")),"331",IF(AND(OR(L1896="131",M1896="131"),H1896='131-CT'!$E$7),"131",""))</f>
        <v/>
      </c>
      <c r="O1896" s="39" t="str">
        <f>IF(AND($B1896&gt;='111'!$N$11,$B1896&lt;='111'!$O$11,OR($L1896=$O$7,$M1896=$O$7)),"x","")</f>
        <v/>
      </c>
      <c r="P1896" s="39" t="str">
        <f>IF(AND($L1896=$O$7,$B1896&lt;'111'!$N$11),"x","")</f>
        <v/>
      </c>
      <c r="Q1896" s="39" t="str">
        <f>IF(AND($M1896=$O$7,$B1896&lt;'111'!$N$11),"x","")</f>
        <v/>
      </c>
      <c r="R1896" s="39" t="str">
        <f>IF(ISERROR(FIND('112'!$M$9,G1896,1)),"",IF((AND(FIND('112'!$M$9,G1896,1)&gt;=1,$B1896&gt;='112'!$N$8,$B1896&lt;='112'!$O$8,OR($L1896='112'!$I$6,$M1896='112'!$I$6))),"x",""))</f>
        <v/>
      </c>
      <c r="S1896" s="39" t="str">
        <f>IF(ISERROR(FIND('112'!$M$9,G1896,1)),"",IF((AND(LEFT(G1896,2)=LEFT('112'!$M$9,2),B1896&lt;'112'!$N$8,$L1896='112'!$I$6)),"x",""))</f>
        <v/>
      </c>
      <c r="T1896" s="39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39" t="str">
        <f>IF(OR(TH!L1896=TH!$V$7,M1896=TH!$V$7),"x","")</f>
        <v/>
      </c>
      <c r="W1896" s="39" t="str">
        <f>IF(AND(B1896&gt;='IN-NX'!$P$3,B1896&lt;='IN-NX'!$Q$3,'IN-NX'!$D$7=D1896,OR(LEFT(L1896,2)="15",AND(LEFT(M1896,2)&lt;&gt;"15",LEFT(M1896,2)&lt;&gt;"33"))),"x","")</f>
        <v/>
      </c>
      <c r="X1896" s="39" t="str">
        <f>IF(AND(OR(LEFT(TH!L1896,2)="15",LEFT(TH!M1896,2)="15"),'152-CT'!$J$8=TH!F1896),"x","")</f>
        <v/>
      </c>
      <c r="Y1896" s="39" t="str">
        <f>IF(AND(OR(LEFT(TH!L1896,2)="15",LEFT(TH!M1896,2)="15"),TK!$E$7=TH!F1896),"x","")</f>
        <v/>
      </c>
      <c r="Z1896" s="39" t="str">
        <f>IF(AND(B1896&lt;=NKC!$N$8,B1896&gt;=NKC!$M$8),"x","")</f>
        <v>x</v>
      </c>
      <c r="AA1896" s="883"/>
    </row>
    <row r="1897" spans="1:27" s="211" customFormat="1" ht="15.75" customHeight="1">
      <c r="A1897" s="204" t="str">
        <f>IF(B1897&lt;&gt;"",IF(AND(B1897&gt;=_TM1,B1897&lt;=_TM2,OR(TH!L1897="1111",TH!M1897="1111")),TH!D1897,""),"")</f>
        <v/>
      </c>
      <c r="B1897" s="36">
        <f t="shared" si="473"/>
        <v>7</v>
      </c>
      <c r="C1897" s="191">
        <f t="shared" si="472"/>
        <v>41463</v>
      </c>
      <c r="D1897" s="37" t="s">
        <v>487</v>
      </c>
      <c r="E1897" s="773">
        <v>41463</v>
      </c>
      <c r="F1897" s="189" t="s">
        <v>723</v>
      </c>
      <c r="G1897" s="40" t="s">
        <v>868</v>
      </c>
      <c r="H1897" s="7" t="s">
        <v>1290</v>
      </c>
      <c r="I1897" s="256">
        <v>609</v>
      </c>
      <c r="J1897" s="256">
        <v>4577.8868759739307</v>
      </c>
      <c r="K1897" s="602">
        <f t="shared" si="471"/>
        <v>2787933</v>
      </c>
      <c r="L1897" s="39" t="s">
        <v>173</v>
      </c>
      <c r="M1897" s="39" t="s">
        <v>167</v>
      </c>
      <c r="N1897" s="39" t="str">
        <f>IF(AND('331-CT'!$E$7=TH!H1897,OR(L1897="331",M1897="331")),"331",IF(AND(OR(L1897="131",M1897="131"),H1897='131-CT'!$E$7),"131",""))</f>
        <v/>
      </c>
      <c r="O1897" s="39" t="str">
        <f>IF(AND($B1897&gt;='111'!$N$11,$B1897&lt;='111'!$O$11,OR($L1897=$O$7,$M1897=$O$7)),"x","")</f>
        <v/>
      </c>
      <c r="P1897" s="39" t="str">
        <f>IF(AND($L1897=$O$7,$B1897&lt;'111'!$N$11),"x","")</f>
        <v/>
      </c>
      <c r="Q1897" s="39" t="str">
        <f>IF(AND($M1897=$O$7,$B1897&lt;'111'!$N$11),"x","")</f>
        <v/>
      </c>
      <c r="R1897" s="39" t="str">
        <f>IF(ISERROR(FIND('112'!$M$9,G1897,1)),"",IF((AND(FIND('112'!$M$9,G1897,1)&gt;=1,$B1897&gt;='112'!$N$8,$B1897&lt;='112'!$O$8,OR($L1897='112'!$I$6,$M1897='112'!$I$6))),"x",""))</f>
        <v/>
      </c>
      <c r="S1897" s="39" t="str">
        <f>IF(ISERROR(FIND('112'!$M$9,G1897,1)),"",IF((AND(LEFT(G1897,2)=LEFT('112'!$M$9,2),B1897&lt;'112'!$N$8,$L1897='112'!$I$6)),"x",""))</f>
        <v/>
      </c>
      <c r="T1897" s="39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39" t="str">
        <f>IF(OR(TH!L1897=TH!$V$7,M1897=TH!$V$7),"x","")</f>
        <v/>
      </c>
      <c r="W1897" s="39" t="str">
        <f>IF(AND(B1897&gt;='IN-NX'!$P$3,B1897&lt;='IN-NX'!$Q$3,'IN-NX'!$D$7=D1897,OR(LEFT(L1897,2)="15",AND(LEFT(M1897,2)&lt;&gt;"15",LEFT(M1897,2)&lt;&gt;"33"))),"x","")</f>
        <v/>
      </c>
      <c r="X1897" s="39" t="str">
        <f>IF(AND(OR(LEFT(TH!L1897,2)="15",LEFT(TH!M1897,2)="15"),'152-CT'!$J$8=TH!F1897),"x","")</f>
        <v/>
      </c>
      <c r="Y1897" s="39" t="str">
        <f>IF(AND(OR(LEFT(TH!L1897,2)="15",LEFT(TH!M1897,2)="15"),TK!$E$7=TH!F1897),"x","")</f>
        <v/>
      </c>
      <c r="Z1897" s="39" t="str">
        <f>IF(AND(B1897&lt;=NKC!$N$8,B1897&gt;=NKC!$M$8),"x","")</f>
        <v>x</v>
      </c>
      <c r="AA1897" s="883"/>
    </row>
    <row r="1898" spans="1:27" s="211" customFormat="1" ht="15.75" customHeight="1">
      <c r="A1898" s="204" t="str">
        <f>IF(B1898&lt;&gt;"",IF(AND(B1898&gt;=_TM1,B1898&lt;=_TM2,OR(TH!L1898="1111",TH!M1898="1111")),TH!D1898,""),"")</f>
        <v/>
      </c>
      <c r="B1898" s="36">
        <f t="shared" si="473"/>
        <v>7</v>
      </c>
      <c r="C1898" s="191">
        <f t="shared" si="472"/>
        <v>41463</v>
      </c>
      <c r="D1898" s="37" t="s">
        <v>487</v>
      </c>
      <c r="E1898" s="773">
        <v>41463</v>
      </c>
      <c r="F1898" s="189" t="s">
        <v>869</v>
      </c>
      <c r="G1898" s="40" t="s">
        <v>868</v>
      </c>
      <c r="H1898" s="7" t="s">
        <v>1290</v>
      </c>
      <c r="I1898" s="256">
        <v>813</v>
      </c>
      <c r="J1898" s="256">
        <v>8774.8914385318712</v>
      </c>
      <c r="K1898" s="602">
        <f t="shared" si="471"/>
        <v>7133987</v>
      </c>
      <c r="L1898" s="39" t="s">
        <v>173</v>
      </c>
      <c r="M1898" s="39" t="s">
        <v>167</v>
      </c>
      <c r="N1898" s="39" t="str">
        <f>IF(AND('331-CT'!$E$7=TH!H1898,OR(L1898="331",M1898="331")),"331",IF(AND(OR(L1898="131",M1898="131"),H1898='131-CT'!$E$7),"131",""))</f>
        <v/>
      </c>
      <c r="O1898" s="39" t="str">
        <f>IF(AND($B1898&gt;='111'!$N$11,$B1898&lt;='111'!$O$11,OR($L1898=$O$7,$M1898=$O$7)),"x","")</f>
        <v/>
      </c>
      <c r="P1898" s="39" t="str">
        <f>IF(AND($L1898=$O$7,$B1898&lt;'111'!$N$11),"x","")</f>
        <v/>
      </c>
      <c r="Q1898" s="39" t="str">
        <f>IF(AND($M1898=$O$7,$B1898&lt;'111'!$N$11),"x","")</f>
        <v/>
      </c>
      <c r="R1898" s="39" t="str">
        <f>IF(ISERROR(FIND('112'!$M$9,G1898,1)),"",IF((AND(FIND('112'!$M$9,G1898,1)&gt;=1,$B1898&gt;='112'!$N$8,$B1898&lt;='112'!$O$8,OR($L1898='112'!$I$6,$M1898='112'!$I$6))),"x",""))</f>
        <v/>
      </c>
      <c r="S1898" s="39" t="str">
        <f>IF(ISERROR(FIND('112'!$M$9,G1898,1)),"",IF((AND(LEFT(G1898,2)=LEFT('112'!$M$9,2),B1898&lt;'112'!$N$8,$L1898='112'!$I$6)),"x",""))</f>
        <v/>
      </c>
      <c r="T1898" s="39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39" t="str">
        <f>IF(OR(TH!L1898=TH!$V$7,M1898=TH!$V$7),"x","")</f>
        <v/>
      </c>
      <c r="W1898" s="39" t="str">
        <f>IF(AND(B1898&gt;='IN-NX'!$P$3,B1898&lt;='IN-NX'!$Q$3,'IN-NX'!$D$7=D1898,OR(LEFT(L1898,2)="15",AND(LEFT(M1898,2)&lt;&gt;"15",LEFT(M1898,2)&lt;&gt;"33"))),"x","")</f>
        <v/>
      </c>
      <c r="X1898" s="39" t="str">
        <f>IF(AND(OR(LEFT(TH!L1898,2)="15",LEFT(TH!M1898,2)="15"),'152-CT'!$J$8=TH!F1898),"x","")</f>
        <v/>
      </c>
      <c r="Y1898" s="39" t="str">
        <f>IF(AND(OR(LEFT(TH!L1898,2)="15",LEFT(TH!M1898,2)="15"),TK!$E$7=TH!F1898),"x","")</f>
        <v/>
      </c>
      <c r="Z1898" s="39" t="str">
        <f>IF(AND(B1898&lt;=NKC!$N$8,B1898&gt;=NKC!$M$8),"x","")</f>
        <v>x</v>
      </c>
      <c r="AA1898" s="883"/>
    </row>
    <row r="1899" spans="1:27" s="211" customFormat="1" ht="15.75" customHeight="1">
      <c r="A1899" s="204" t="str">
        <f>IF(B1899&lt;&gt;"",IF(AND(B1899&gt;=_TM1,B1899&lt;=_TM2,OR(TH!L1899="1111",TH!M1899="1111")),TH!D1899,""),"")</f>
        <v/>
      </c>
      <c r="B1899" s="36">
        <f t="shared" si="473"/>
        <v>7</v>
      </c>
      <c r="C1899" s="191">
        <f t="shared" si="472"/>
        <v>41463</v>
      </c>
      <c r="D1899" s="37" t="s">
        <v>487</v>
      </c>
      <c r="E1899" s="773">
        <v>41463</v>
      </c>
      <c r="F1899" s="297" t="s">
        <v>870</v>
      </c>
      <c r="G1899" s="40" t="s">
        <v>868</v>
      </c>
      <c r="H1899" s="7" t="s">
        <v>1290</v>
      </c>
      <c r="I1899" s="256">
        <v>656</v>
      </c>
      <c r="J1899" s="256">
        <v>7703.346235579841</v>
      </c>
      <c r="K1899" s="602">
        <f t="shared" si="471"/>
        <v>5053395</v>
      </c>
      <c r="L1899" s="39" t="s">
        <v>173</v>
      </c>
      <c r="M1899" s="39" t="s">
        <v>167</v>
      </c>
      <c r="N1899" s="39" t="str">
        <f>IF(AND('331-CT'!$E$7=TH!H1899,OR(L1899="331",M1899="331")),"331",IF(AND(OR(L1899="131",M1899="131"),H1899='131-CT'!$E$7),"131",""))</f>
        <v/>
      </c>
      <c r="O1899" s="39" t="str">
        <f>IF(AND($B1899&gt;='111'!$N$11,$B1899&lt;='111'!$O$11,OR($L1899=$O$7,$M1899=$O$7)),"x","")</f>
        <v/>
      </c>
      <c r="P1899" s="39" t="str">
        <f>IF(AND($L1899=$O$7,$B1899&lt;'111'!$N$11),"x","")</f>
        <v/>
      </c>
      <c r="Q1899" s="39" t="str">
        <f>IF(AND($M1899=$O$7,$B1899&lt;'111'!$N$11),"x","")</f>
        <v/>
      </c>
      <c r="R1899" s="39" t="str">
        <f>IF(ISERROR(FIND('112'!$M$9,G1899,1)),"",IF((AND(FIND('112'!$M$9,G1899,1)&gt;=1,$B1899&gt;='112'!$N$8,$B1899&lt;='112'!$O$8,OR($L1899='112'!$I$6,$M1899='112'!$I$6))),"x",""))</f>
        <v/>
      </c>
      <c r="S1899" s="39" t="str">
        <f>IF(ISERROR(FIND('112'!$M$9,G1899,1)),"",IF((AND(LEFT(G1899,2)=LEFT('112'!$M$9,2),B1899&lt;'112'!$N$8,$L1899='112'!$I$6)),"x",""))</f>
        <v/>
      </c>
      <c r="T1899" s="39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39" t="str">
        <f>IF(OR(TH!L1899=TH!$V$7,M1899=TH!$V$7),"x","")</f>
        <v/>
      </c>
      <c r="W1899" s="39" t="str">
        <f>IF(AND(B1899&gt;='IN-NX'!$P$3,B1899&lt;='IN-NX'!$Q$3,'IN-NX'!$D$7=D1899,OR(LEFT(L1899,2)="15",AND(LEFT(M1899,2)&lt;&gt;"15",LEFT(M1899,2)&lt;&gt;"33"))),"x","")</f>
        <v/>
      </c>
      <c r="X1899" s="39" t="str">
        <f>IF(AND(OR(LEFT(TH!L1899,2)="15",LEFT(TH!M1899,2)="15"),'152-CT'!$J$8=TH!F1899),"x","")</f>
        <v/>
      </c>
      <c r="Y1899" s="39" t="str">
        <f>IF(AND(OR(LEFT(TH!L1899,2)="15",LEFT(TH!M1899,2)="15"),TK!$E$7=TH!F1899),"x","")</f>
        <v/>
      </c>
      <c r="Z1899" s="39" t="str">
        <f>IF(AND(B1899&lt;=NKC!$N$8,B1899&gt;=NKC!$M$8),"x","")</f>
        <v>x</v>
      </c>
      <c r="AA1899" s="883"/>
    </row>
    <row r="1900" spans="1:27" s="211" customFormat="1" ht="15.75" customHeight="1">
      <c r="A1900" s="204" t="str">
        <f>IF(B1900&lt;&gt;"",IF(AND(B1900&gt;=_TM1,B1900&lt;=_TM2,OR(TH!L1900="1111",TH!M1900="1111")),TH!D1900,""),"")</f>
        <v/>
      </c>
      <c r="B1900" s="36">
        <f t="shared" si="473"/>
        <v>7</v>
      </c>
      <c r="C1900" s="191">
        <f t="shared" si="472"/>
        <v>41475</v>
      </c>
      <c r="D1900" s="37" t="s">
        <v>487</v>
      </c>
      <c r="E1900" s="773">
        <v>41475</v>
      </c>
      <c r="F1900" s="297" t="s">
        <v>729</v>
      </c>
      <c r="G1900" s="40" t="s">
        <v>871</v>
      </c>
      <c r="H1900" s="7" t="s">
        <v>1290</v>
      </c>
      <c r="I1900" s="256">
        <v>1027</v>
      </c>
      <c r="J1900" s="256">
        <v>8485.9565082185945</v>
      </c>
      <c r="K1900" s="602">
        <f t="shared" ref="K1900:K1963" si="474">ROUND(I1900*J1900,0)</f>
        <v>8715077</v>
      </c>
      <c r="L1900" s="39" t="s">
        <v>173</v>
      </c>
      <c r="M1900" s="39" t="s">
        <v>167</v>
      </c>
      <c r="N1900" s="39" t="str">
        <f>IF(AND('331-CT'!$E$7=TH!H1900,OR(L1900="331",M1900="331")),"331",IF(AND(OR(L1900="131",M1900="131"),H1900='131-CT'!$E$7),"131",""))</f>
        <v/>
      </c>
      <c r="O1900" s="39" t="str">
        <f>IF(AND($B1900&gt;='111'!$N$11,$B1900&lt;='111'!$O$11,OR($L1900=$O$7,$M1900=$O$7)),"x","")</f>
        <v/>
      </c>
      <c r="P1900" s="39" t="str">
        <f>IF(AND($L1900=$O$7,$B1900&lt;'111'!$N$11),"x","")</f>
        <v/>
      </c>
      <c r="Q1900" s="39" t="str">
        <f>IF(AND($M1900=$O$7,$B1900&lt;'111'!$N$11),"x","")</f>
        <v/>
      </c>
      <c r="R1900" s="39" t="str">
        <f>IF(ISERROR(FIND('112'!$M$9,G1900,1)),"",IF((AND(FIND('112'!$M$9,G1900,1)&gt;=1,$B1900&gt;='112'!$N$8,$B1900&lt;='112'!$O$8,OR($L1900='112'!$I$6,$M1900='112'!$I$6))),"x",""))</f>
        <v/>
      </c>
      <c r="S1900" s="39" t="str">
        <f>IF(ISERROR(FIND('112'!$M$9,G1900,1)),"",IF((AND(LEFT(G1900,2)=LEFT('112'!$M$9,2),B1900&lt;'112'!$N$8,$L1900='112'!$I$6)),"x",""))</f>
        <v/>
      </c>
      <c r="T1900" s="39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39" t="str">
        <f>IF(OR(TH!L1900=TH!$V$7,M1900=TH!$V$7),"x","")</f>
        <v/>
      </c>
      <c r="W1900" s="39" t="str">
        <f>IF(AND(B1900&gt;='IN-NX'!$P$3,B1900&lt;='IN-NX'!$Q$3,'IN-NX'!$D$7=D1900,OR(LEFT(L1900,2)="15",AND(LEFT(M1900,2)&lt;&gt;"15",LEFT(M1900,2)&lt;&gt;"33"))),"x","")</f>
        <v/>
      </c>
      <c r="X1900" s="39" t="str">
        <f>IF(AND(OR(LEFT(TH!L1900,2)="15",LEFT(TH!M1900,2)="15"),'152-CT'!$J$8=TH!F1900),"x","")</f>
        <v/>
      </c>
      <c r="Y1900" s="39" t="str">
        <f>IF(AND(OR(LEFT(TH!L1900,2)="15",LEFT(TH!M1900,2)="15"),TK!$E$7=TH!F1900),"x","")</f>
        <v/>
      </c>
      <c r="Z1900" s="39" t="str">
        <f>IF(AND(B1900&lt;=NKC!$N$8,B1900&gt;=NKC!$M$8),"x","")</f>
        <v>x</v>
      </c>
      <c r="AA1900" s="883"/>
    </row>
    <row r="1901" spans="1:27" s="211" customFormat="1" ht="15.75" customHeight="1">
      <c r="A1901" s="204" t="str">
        <f>IF(B1901&lt;&gt;"",IF(AND(B1901&gt;=_TM1,B1901&lt;=_TM2,OR(TH!L1901="1111",TH!M1901="1111")),TH!D1901,""),"")</f>
        <v/>
      </c>
      <c r="B1901" s="36">
        <f t="shared" si="473"/>
        <v>7</v>
      </c>
      <c r="C1901" s="191">
        <f t="shared" si="472"/>
        <v>41475</v>
      </c>
      <c r="D1901" s="37" t="s">
        <v>487</v>
      </c>
      <c r="E1901" s="184">
        <v>41475</v>
      </c>
      <c r="F1901" s="189" t="s">
        <v>836</v>
      </c>
      <c r="G1901" s="604" t="s">
        <v>872</v>
      </c>
      <c r="H1901" s="7" t="s">
        <v>1290</v>
      </c>
      <c r="I1901" s="256">
        <v>749</v>
      </c>
      <c r="J1901" s="256">
        <v>9919.8165293048096</v>
      </c>
      <c r="K1901" s="602">
        <f t="shared" si="474"/>
        <v>7429943</v>
      </c>
      <c r="L1901" s="39" t="s">
        <v>173</v>
      </c>
      <c r="M1901" s="39" t="s">
        <v>167</v>
      </c>
      <c r="N1901" s="39" t="str">
        <f>IF(AND('331-CT'!$E$7=TH!H1901,OR(L1901="331",M1901="331")),"331",IF(AND(OR(L1901="131",M1901="131"),H1901='131-CT'!$E$7),"131",""))</f>
        <v/>
      </c>
      <c r="O1901" s="39" t="str">
        <f>IF(AND($B1901&gt;='111'!$N$11,$B1901&lt;='111'!$O$11,OR($L1901=$O$7,$M1901=$O$7)),"x","")</f>
        <v/>
      </c>
      <c r="P1901" s="39" t="str">
        <f>IF(AND($L1901=$O$7,$B1901&lt;'111'!$N$11),"x","")</f>
        <v/>
      </c>
      <c r="Q1901" s="39" t="str">
        <f>IF(AND($M1901=$O$7,$B1901&lt;'111'!$N$11),"x","")</f>
        <v/>
      </c>
      <c r="R1901" s="39" t="str">
        <f>IF(ISERROR(FIND('112'!$M$9,G1901,1)),"",IF((AND(FIND('112'!$M$9,G1901,1)&gt;=1,$B1901&gt;='112'!$N$8,$B1901&lt;='112'!$O$8,OR($L1901='112'!$I$6,$M1901='112'!$I$6))),"x",""))</f>
        <v/>
      </c>
      <c r="S1901" s="39" t="str">
        <f>IF(ISERROR(FIND('112'!$M$9,G1901,1)),"",IF((AND(LEFT(G1901,2)=LEFT('112'!$M$9,2),B1901&lt;'112'!$N$8,$L1901='112'!$I$6)),"x",""))</f>
        <v/>
      </c>
      <c r="T1901" s="39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39" t="str">
        <f>IF(OR(TH!L1901=TH!$V$7,M1901=TH!$V$7),"x","")</f>
        <v/>
      </c>
      <c r="W1901" s="39" t="str">
        <f>IF(AND(B1901&gt;='IN-NX'!$P$3,B1901&lt;='IN-NX'!$Q$3,'IN-NX'!$D$7=D1901,OR(LEFT(L1901,2)="15",AND(LEFT(M1901,2)&lt;&gt;"15",LEFT(M1901,2)&lt;&gt;"33"))),"x","")</f>
        <v/>
      </c>
      <c r="X1901" s="39" t="str">
        <f>IF(AND(OR(LEFT(TH!L1901,2)="15",LEFT(TH!M1901,2)="15"),'152-CT'!$J$8=TH!F1901),"x","")</f>
        <v/>
      </c>
      <c r="Y1901" s="39" t="str">
        <f>IF(AND(OR(LEFT(TH!L1901,2)="15",LEFT(TH!M1901,2)="15"),TK!$E$7=TH!F1901),"x","")</f>
        <v/>
      </c>
      <c r="Z1901" s="39" t="str">
        <f>IF(AND(B1901&lt;=NKC!$N$8,B1901&gt;=NKC!$M$8),"x","")</f>
        <v>x</v>
      </c>
      <c r="AA1901" s="883"/>
    </row>
    <row r="1902" spans="1:27" s="211" customFormat="1" ht="15.75" customHeight="1">
      <c r="A1902" s="204" t="str">
        <f>IF(B1902&lt;&gt;"",IF(AND(B1902&gt;=_TM1,B1902&lt;=_TM2,OR(TH!L1902="1111",TH!M1902="1111")),TH!D1902,""),"")</f>
        <v/>
      </c>
      <c r="B1902" s="36">
        <f t="shared" si="473"/>
        <v>7</v>
      </c>
      <c r="C1902" s="191">
        <f t="shared" si="472"/>
        <v>41477</v>
      </c>
      <c r="D1902" s="37" t="s">
        <v>487</v>
      </c>
      <c r="E1902" s="191">
        <v>41477</v>
      </c>
      <c r="F1902" s="192" t="s">
        <v>1154</v>
      </c>
      <c r="G1902" s="487" t="s">
        <v>873</v>
      </c>
      <c r="H1902" s="7" t="s">
        <v>1290</v>
      </c>
      <c r="I1902" s="256">
        <v>1527</v>
      </c>
      <c r="J1902" s="256">
        <v>4464.9053383958217</v>
      </c>
      <c r="K1902" s="602">
        <f t="shared" si="474"/>
        <v>6817910</v>
      </c>
      <c r="L1902" s="39" t="s">
        <v>173</v>
      </c>
      <c r="M1902" s="39" t="s">
        <v>167</v>
      </c>
      <c r="N1902" s="39" t="str">
        <f>IF(AND('331-CT'!$E$7=TH!H1902,OR(L1902="331",M1902="331")),"331",IF(AND(OR(L1902="131",M1902="131"),H1902='131-CT'!$E$7),"131",""))</f>
        <v/>
      </c>
      <c r="O1902" s="39" t="str">
        <f>IF(AND($B1902&gt;='111'!$N$11,$B1902&lt;='111'!$O$11,OR($L1902=$O$7,$M1902=$O$7)),"x","")</f>
        <v/>
      </c>
      <c r="P1902" s="39" t="str">
        <f>IF(AND($L1902=$O$7,$B1902&lt;'111'!$N$11),"x","")</f>
        <v/>
      </c>
      <c r="Q1902" s="39" t="str">
        <f>IF(AND($M1902=$O$7,$B1902&lt;'111'!$N$11),"x","")</f>
        <v/>
      </c>
      <c r="R1902" s="39" t="str">
        <f>IF(ISERROR(FIND('112'!$M$9,G1902,1)),"",IF((AND(FIND('112'!$M$9,G1902,1)&gt;=1,$B1902&gt;='112'!$N$8,$B1902&lt;='112'!$O$8,OR($L1902='112'!$I$6,$M1902='112'!$I$6))),"x",""))</f>
        <v/>
      </c>
      <c r="S1902" s="39" t="str">
        <f>IF(ISERROR(FIND('112'!$M$9,G1902,1)),"",IF((AND(LEFT(G1902,2)=LEFT('112'!$M$9,2),B1902&lt;'112'!$N$8,$L1902='112'!$I$6)),"x",""))</f>
        <v/>
      </c>
      <c r="T1902" s="39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39" t="str">
        <f>IF(OR(TH!L1902=TH!$V$7,M1902=TH!$V$7),"x","")</f>
        <v/>
      </c>
      <c r="W1902" s="39" t="str">
        <f>IF(AND(B1902&gt;='IN-NX'!$P$3,B1902&lt;='IN-NX'!$Q$3,'IN-NX'!$D$7=D1902,OR(LEFT(L1902,2)="15",AND(LEFT(M1902,2)&lt;&gt;"15",LEFT(M1902,2)&lt;&gt;"33"))),"x","")</f>
        <v/>
      </c>
      <c r="X1902" s="39" t="str">
        <f>IF(AND(OR(LEFT(TH!L1902,2)="15",LEFT(TH!M1902,2)="15"),'152-CT'!$J$8=TH!F1902),"x","")</f>
        <v/>
      </c>
      <c r="Y1902" s="39" t="str">
        <f>IF(AND(OR(LEFT(TH!L1902,2)="15",LEFT(TH!M1902,2)="15"),TK!$E$7=TH!F1902),"x","")</f>
        <v/>
      </c>
      <c r="Z1902" s="39" t="str">
        <f>IF(AND(B1902&lt;=NKC!$N$8,B1902&gt;=NKC!$M$8),"x","")</f>
        <v>x</v>
      </c>
      <c r="AA1902" s="883"/>
    </row>
    <row r="1903" spans="1:27" s="211" customFormat="1" ht="15.75" customHeight="1">
      <c r="A1903" s="204" t="str">
        <f>IF(B1903&lt;&gt;"",IF(AND(B1903&gt;=_TM1,B1903&lt;=_TM2,OR(TH!L1903="1111",TH!M1903="1111")),TH!D1903,""),"")</f>
        <v/>
      </c>
      <c r="B1903" s="36">
        <f t="shared" si="473"/>
        <v>7</v>
      </c>
      <c r="C1903" s="191">
        <f t="shared" si="472"/>
        <v>41477</v>
      </c>
      <c r="D1903" s="37" t="s">
        <v>487</v>
      </c>
      <c r="E1903" s="191">
        <v>41477</v>
      </c>
      <c r="F1903" s="192" t="s">
        <v>874</v>
      </c>
      <c r="G1903" s="487" t="s">
        <v>873</v>
      </c>
      <c r="H1903" s="7" t="s">
        <v>1290</v>
      </c>
      <c r="I1903" s="256">
        <v>996</v>
      </c>
      <c r="J1903" s="256">
        <v>10749.606275740483</v>
      </c>
      <c r="K1903" s="602">
        <f t="shared" si="474"/>
        <v>10706608</v>
      </c>
      <c r="L1903" s="39" t="s">
        <v>173</v>
      </c>
      <c r="M1903" s="39" t="s">
        <v>167</v>
      </c>
      <c r="N1903" s="39" t="str">
        <f>IF(AND('331-CT'!$E$7=TH!H1903,OR(L1903="331",M1903="331")),"331",IF(AND(OR(L1903="131",M1903="131"),H1903='131-CT'!$E$7),"131",""))</f>
        <v/>
      </c>
      <c r="O1903" s="39" t="str">
        <f>IF(AND($B1903&gt;='111'!$N$11,$B1903&lt;='111'!$O$11,OR($L1903=$O$7,$M1903=$O$7)),"x","")</f>
        <v/>
      </c>
      <c r="P1903" s="39" t="str">
        <f>IF(AND($L1903=$O$7,$B1903&lt;'111'!$N$11),"x","")</f>
        <v/>
      </c>
      <c r="Q1903" s="39" t="str">
        <f>IF(AND($M1903=$O$7,$B1903&lt;'111'!$N$11),"x","")</f>
        <v/>
      </c>
      <c r="R1903" s="39" t="str">
        <f>IF(ISERROR(FIND('112'!$M$9,G1903,1)),"",IF((AND(FIND('112'!$M$9,G1903,1)&gt;=1,$B1903&gt;='112'!$N$8,$B1903&lt;='112'!$O$8,OR($L1903='112'!$I$6,$M1903='112'!$I$6))),"x",""))</f>
        <v/>
      </c>
      <c r="S1903" s="39" t="str">
        <f>IF(ISERROR(FIND('112'!$M$9,G1903,1)),"",IF((AND(LEFT(G1903,2)=LEFT('112'!$M$9,2),B1903&lt;'112'!$N$8,$L1903='112'!$I$6)),"x",""))</f>
        <v/>
      </c>
      <c r="T1903" s="39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39" t="str">
        <f>IF(OR(TH!L1903=TH!$V$7,M1903=TH!$V$7),"x","")</f>
        <v/>
      </c>
      <c r="W1903" s="39" t="str">
        <f>IF(AND(B1903&gt;='IN-NX'!$P$3,B1903&lt;='IN-NX'!$Q$3,'IN-NX'!$D$7=D1903,OR(LEFT(L1903,2)="15",AND(LEFT(M1903,2)&lt;&gt;"15",LEFT(M1903,2)&lt;&gt;"33"))),"x","")</f>
        <v/>
      </c>
      <c r="X1903" s="39" t="str">
        <f>IF(AND(OR(LEFT(TH!L1903,2)="15",LEFT(TH!M1903,2)="15"),'152-CT'!$J$8=TH!F1903),"x","")</f>
        <v/>
      </c>
      <c r="Y1903" s="39" t="str">
        <f>IF(AND(OR(LEFT(TH!L1903,2)="15",LEFT(TH!M1903,2)="15"),TK!$E$7=TH!F1903),"x","")</f>
        <v/>
      </c>
      <c r="Z1903" s="39" t="str">
        <f>IF(AND(B1903&lt;=NKC!$N$8,B1903&gt;=NKC!$M$8),"x","")</f>
        <v>x</v>
      </c>
      <c r="AA1903" s="883"/>
    </row>
    <row r="1904" spans="1:27" s="211" customFormat="1" ht="15.75" customHeight="1">
      <c r="A1904" s="204" t="str">
        <f>IF(B1904&lt;&gt;"",IF(AND(B1904&gt;=_TM1,B1904&lt;=_TM2,OR(TH!L1904="1111",TH!M1904="1111")),TH!D1904,""),"")</f>
        <v/>
      </c>
      <c r="B1904" s="36">
        <f t="shared" si="473"/>
        <v>7</v>
      </c>
      <c r="C1904" s="191">
        <f t="shared" si="472"/>
        <v>41477</v>
      </c>
      <c r="D1904" s="37" t="s">
        <v>487</v>
      </c>
      <c r="E1904" s="191">
        <v>41477</v>
      </c>
      <c r="F1904" s="192" t="s">
        <v>875</v>
      </c>
      <c r="G1904" s="487" t="s">
        <v>876</v>
      </c>
      <c r="H1904" s="7" t="s">
        <v>1290</v>
      </c>
      <c r="I1904" s="256">
        <v>50</v>
      </c>
      <c r="J1904" s="256">
        <v>36988.59623557984</v>
      </c>
      <c r="K1904" s="602">
        <f t="shared" si="474"/>
        <v>1849430</v>
      </c>
      <c r="L1904" s="39" t="s">
        <v>173</v>
      </c>
      <c r="M1904" s="39" t="s">
        <v>167</v>
      </c>
      <c r="N1904" s="39" t="str">
        <f>IF(AND('331-CT'!$E$7=TH!H1904,OR(L1904="331",M1904="331")),"331",IF(AND(OR(L1904="131",M1904="131"),H1904='131-CT'!$E$7),"131",""))</f>
        <v/>
      </c>
      <c r="O1904" s="39" t="str">
        <f>IF(AND($B1904&gt;='111'!$N$11,$B1904&lt;='111'!$O$11,OR($L1904=$O$7,$M1904=$O$7)),"x","")</f>
        <v/>
      </c>
      <c r="P1904" s="39" t="str">
        <f>IF(AND($L1904=$O$7,$B1904&lt;'111'!$N$11),"x","")</f>
        <v/>
      </c>
      <c r="Q1904" s="39" t="str">
        <f>IF(AND($M1904=$O$7,$B1904&lt;'111'!$N$11),"x","")</f>
        <v/>
      </c>
      <c r="R1904" s="39" t="str">
        <f>IF(ISERROR(FIND('112'!$M$9,G1904,1)),"",IF((AND(FIND('112'!$M$9,G1904,1)&gt;=1,$B1904&gt;='112'!$N$8,$B1904&lt;='112'!$O$8,OR($L1904='112'!$I$6,$M1904='112'!$I$6))),"x",""))</f>
        <v/>
      </c>
      <c r="S1904" s="39" t="str">
        <f>IF(ISERROR(FIND('112'!$M$9,G1904,1)),"",IF((AND(LEFT(G1904,2)=LEFT('112'!$M$9,2),B1904&lt;'112'!$N$8,$L1904='112'!$I$6)),"x",""))</f>
        <v/>
      </c>
      <c r="T1904" s="39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39" t="str">
        <f>IF(OR(TH!L1904=TH!$V$7,M1904=TH!$V$7),"x","")</f>
        <v/>
      </c>
      <c r="W1904" s="39" t="str">
        <f>IF(AND(B1904&gt;='IN-NX'!$P$3,B1904&lt;='IN-NX'!$Q$3,'IN-NX'!$D$7=D1904,OR(LEFT(L1904,2)="15",AND(LEFT(M1904,2)&lt;&gt;"15",LEFT(M1904,2)&lt;&gt;"33"))),"x","")</f>
        <v/>
      </c>
      <c r="X1904" s="39" t="str">
        <f>IF(AND(OR(LEFT(TH!L1904,2)="15",LEFT(TH!M1904,2)="15"),'152-CT'!$J$8=TH!F1904),"x","")</f>
        <v/>
      </c>
      <c r="Y1904" s="39" t="str">
        <f>IF(AND(OR(LEFT(TH!L1904,2)="15",LEFT(TH!M1904,2)="15"),TK!$E$7=TH!F1904),"x","")</f>
        <v/>
      </c>
      <c r="Z1904" s="39" t="str">
        <f>IF(AND(B1904&lt;=NKC!$N$8,B1904&gt;=NKC!$M$8),"x","")</f>
        <v>x</v>
      </c>
      <c r="AA1904" s="883"/>
    </row>
    <row r="1905" spans="1:27" s="211" customFormat="1" ht="15.75" customHeight="1">
      <c r="A1905" s="204" t="str">
        <f>IF(B1905&lt;&gt;"",IF(AND(B1905&gt;=_TM1,B1905&lt;=_TM2,OR(TH!L1905="1111",TH!M1905="1111")),TH!D1905,""),"")</f>
        <v/>
      </c>
      <c r="B1905" s="36">
        <f t="shared" si="473"/>
        <v>7</v>
      </c>
      <c r="C1905" s="191">
        <f t="shared" si="472"/>
        <v>41477</v>
      </c>
      <c r="D1905" s="37" t="s">
        <v>487</v>
      </c>
      <c r="E1905" s="37">
        <v>41477</v>
      </c>
      <c r="F1905" s="40" t="s">
        <v>878</v>
      </c>
      <c r="G1905" s="40" t="s">
        <v>876</v>
      </c>
      <c r="H1905" s="7" t="s">
        <v>1290</v>
      </c>
      <c r="I1905" s="256">
        <v>50</v>
      </c>
      <c r="J1905" s="256">
        <v>40749.59623557984</v>
      </c>
      <c r="K1905" s="602">
        <f t="shared" si="474"/>
        <v>2037480</v>
      </c>
      <c r="L1905" s="39" t="s">
        <v>173</v>
      </c>
      <c r="M1905" s="39" t="s">
        <v>167</v>
      </c>
      <c r="N1905" s="39" t="str">
        <f>IF(AND('331-CT'!$E$7=TH!H1905,OR(L1905="331",M1905="331")),"331",IF(AND(OR(L1905="131",M1905="131"),H1905='131-CT'!$E$7),"131",""))</f>
        <v/>
      </c>
      <c r="O1905" s="39" t="str">
        <f>IF(AND($B1905&gt;='111'!$N$11,$B1905&lt;='111'!$O$11,OR($L1905=$O$7,$M1905=$O$7)),"x","")</f>
        <v/>
      </c>
      <c r="P1905" s="39" t="str">
        <f>IF(AND($L1905=$O$7,$B1905&lt;'111'!$N$11),"x","")</f>
        <v/>
      </c>
      <c r="Q1905" s="39" t="str">
        <f>IF(AND($M1905=$O$7,$B1905&lt;'111'!$N$11),"x","")</f>
        <v/>
      </c>
      <c r="R1905" s="39" t="str">
        <f>IF(ISERROR(FIND('112'!$M$9,G1905,1)),"",IF((AND(FIND('112'!$M$9,G1905,1)&gt;=1,$B1905&gt;='112'!$N$8,$B1905&lt;='112'!$O$8,OR($L1905='112'!$I$6,$M1905='112'!$I$6))),"x",""))</f>
        <v/>
      </c>
      <c r="S1905" s="39" t="str">
        <f>IF(ISERROR(FIND('112'!$M$9,G1905,1)),"",IF((AND(LEFT(G1905,2)=LEFT('112'!$M$9,2),B1905&lt;'112'!$N$8,$L1905='112'!$I$6)),"x",""))</f>
        <v/>
      </c>
      <c r="T1905" s="39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39" t="str">
        <f>IF(OR(TH!L1905=TH!$V$7,M1905=TH!$V$7),"x","")</f>
        <v/>
      </c>
      <c r="W1905" s="39" t="str">
        <f>IF(AND(B1905&gt;='IN-NX'!$P$3,B1905&lt;='IN-NX'!$Q$3,'IN-NX'!$D$7=D1905,OR(LEFT(L1905,2)="15",AND(LEFT(M1905,2)&lt;&gt;"15",LEFT(M1905,2)&lt;&gt;"33"))),"x","")</f>
        <v/>
      </c>
      <c r="X1905" s="39" t="str">
        <f>IF(AND(OR(LEFT(TH!L1905,2)="15",LEFT(TH!M1905,2)="15"),'152-CT'!$J$8=TH!F1905),"x","")</f>
        <v/>
      </c>
      <c r="Y1905" s="39" t="str">
        <f>IF(AND(OR(LEFT(TH!L1905,2)="15",LEFT(TH!M1905,2)="15"),TK!$E$7=TH!F1905),"x","")</f>
        <v/>
      </c>
      <c r="Z1905" s="39" t="str">
        <f>IF(AND(B1905&lt;=NKC!$N$8,B1905&gt;=NKC!$M$8),"x","")</f>
        <v>x</v>
      </c>
      <c r="AA1905" s="883"/>
    </row>
    <row r="1906" spans="1:27" s="211" customFormat="1" ht="15.75" customHeight="1">
      <c r="A1906" s="204" t="str">
        <f>IF(B1906&lt;&gt;"",IF(AND(B1906&gt;=_TM1,B1906&lt;=_TM2,OR(TH!L1906="1111",TH!M1906="1111")),TH!D1906,""),"")</f>
        <v/>
      </c>
      <c r="B1906" s="36">
        <f t="shared" si="473"/>
        <v>7</v>
      </c>
      <c r="C1906" s="191">
        <f t="shared" si="472"/>
        <v>41477</v>
      </c>
      <c r="D1906" s="37" t="s">
        <v>487</v>
      </c>
      <c r="E1906" s="37">
        <v>41477</v>
      </c>
      <c r="F1906" s="40" t="s">
        <v>879</v>
      </c>
      <c r="G1906" s="40" t="s">
        <v>876</v>
      </c>
      <c r="H1906" s="7" t="s">
        <v>1290</v>
      </c>
      <c r="I1906" s="256">
        <v>20</v>
      </c>
      <c r="J1906" s="256">
        <v>49462.096235579847</v>
      </c>
      <c r="K1906" s="602">
        <f t="shared" si="474"/>
        <v>989242</v>
      </c>
      <c r="L1906" s="39" t="s">
        <v>173</v>
      </c>
      <c r="M1906" s="39" t="s">
        <v>167</v>
      </c>
      <c r="N1906" s="39" t="str">
        <f>IF(AND('331-CT'!$E$7=TH!H1906,OR(L1906="331",M1906="331")),"331",IF(AND(OR(L1906="131",M1906="131"),H1906='131-CT'!$E$7),"131",""))</f>
        <v/>
      </c>
      <c r="O1906" s="39" t="str">
        <f>IF(AND($B1906&gt;='111'!$N$11,$B1906&lt;='111'!$O$11,OR($L1906=$O$7,$M1906=$O$7)),"x","")</f>
        <v/>
      </c>
      <c r="P1906" s="39" t="str">
        <f>IF(AND($L1906=$O$7,$B1906&lt;'111'!$N$11),"x","")</f>
        <v/>
      </c>
      <c r="Q1906" s="39" t="str">
        <f>IF(AND($M1906=$O$7,$B1906&lt;'111'!$N$11),"x","")</f>
        <v/>
      </c>
      <c r="R1906" s="39" t="str">
        <f>IF(ISERROR(FIND('112'!$M$9,G1906,1)),"",IF((AND(FIND('112'!$M$9,G1906,1)&gt;=1,$B1906&gt;='112'!$N$8,$B1906&lt;='112'!$O$8,OR($L1906='112'!$I$6,$M1906='112'!$I$6))),"x",""))</f>
        <v/>
      </c>
      <c r="S1906" s="39" t="str">
        <f>IF(ISERROR(FIND('112'!$M$9,G1906,1)),"",IF((AND(LEFT(G1906,2)=LEFT('112'!$M$9,2),B1906&lt;'112'!$N$8,$L1906='112'!$I$6)),"x",""))</f>
        <v/>
      </c>
      <c r="T1906" s="39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39" t="str">
        <f>IF(OR(TH!L1906=TH!$V$7,M1906=TH!$V$7),"x","")</f>
        <v/>
      </c>
      <c r="W1906" s="39" t="str">
        <f>IF(AND(B1906&gt;='IN-NX'!$P$3,B1906&lt;='IN-NX'!$Q$3,'IN-NX'!$D$7=D1906,OR(LEFT(L1906,2)="15",AND(LEFT(M1906,2)&lt;&gt;"15",LEFT(M1906,2)&lt;&gt;"33"))),"x","")</f>
        <v/>
      </c>
      <c r="X1906" s="39" t="str">
        <f>IF(AND(OR(LEFT(TH!L1906,2)="15",LEFT(TH!M1906,2)="15"),'152-CT'!$J$8=TH!F1906),"x","")</f>
        <v/>
      </c>
      <c r="Y1906" s="39" t="str">
        <f>IF(AND(OR(LEFT(TH!L1906,2)="15",LEFT(TH!M1906,2)="15"),TK!$E$7=TH!F1906),"x","")</f>
        <v/>
      </c>
      <c r="Z1906" s="39" t="str">
        <f>IF(AND(B1906&lt;=NKC!$N$8,B1906&gt;=NKC!$M$8),"x","")</f>
        <v>x</v>
      </c>
      <c r="AA1906" s="883"/>
    </row>
    <row r="1907" spans="1:27" s="211" customFormat="1" ht="15.75" customHeight="1">
      <c r="A1907" s="204" t="str">
        <f>IF(B1907&lt;&gt;"",IF(AND(B1907&gt;=_TM1,B1907&lt;=_TM2,OR(TH!L1907="1111",TH!M1907="1111")),TH!D1907,""),"")</f>
        <v/>
      </c>
      <c r="B1907" s="36">
        <f t="shared" si="473"/>
        <v>7</v>
      </c>
      <c r="C1907" s="191">
        <f t="shared" si="472"/>
        <v>41477</v>
      </c>
      <c r="D1907" s="37" t="s">
        <v>487</v>
      </c>
      <c r="E1907" s="191">
        <v>41477</v>
      </c>
      <c r="F1907" s="192" t="s">
        <v>880</v>
      </c>
      <c r="G1907" s="487" t="s">
        <v>876</v>
      </c>
      <c r="H1907" s="7" t="s">
        <v>1290</v>
      </c>
      <c r="I1907" s="256">
        <v>20</v>
      </c>
      <c r="J1907" s="256">
        <v>53358.696235579831</v>
      </c>
      <c r="K1907" s="602">
        <f t="shared" si="474"/>
        <v>1067174</v>
      </c>
      <c r="L1907" s="39" t="s">
        <v>173</v>
      </c>
      <c r="M1907" s="39" t="s">
        <v>167</v>
      </c>
      <c r="N1907" s="39" t="str">
        <f>IF(AND('331-CT'!$E$7=TH!H1907,OR(L1907="331",M1907="331")),"331",IF(AND(OR(L1907="131",M1907="131"),H1907='131-CT'!$E$7),"131",""))</f>
        <v/>
      </c>
      <c r="O1907" s="39" t="str">
        <f>IF(AND($B1907&gt;='111'!$N$11,$B1907&lt;='111'!$O$11,OR($L1907=$O$7,$M1907=$O$7)),"x","")</f>
        <v/>
      </c>
      <c r="P1907" s="39" t="str">
        <f>IF(AND($L1907=$O$7,$B1907&lt;'111'!$N$11),"x","")</f>
        <v/>
      </c>
      <c r="Q1907" s="39" t="str">
        <f>IF(AND($M1907=$O$7,$B1907&lt;'111'!$N$11),"x","")</f>
        <v/>
      </c>
      <c r="R1907" s="39" t="str">
        <f>IF(ISERROR(FIND('112'!$M$9,G1907,1)),"",IF((AND(FIND('112'!$M$9,G1907,1)&gt;=1,$B1907&gt;='112'!$N$8,$B1907&lt;='112'!$O$8,OR($L1907='112'!$I$6,$M1907='112'!$I$6))),"x",""))</f>
        <v/>
      </c>
      <c r="S1907" s="39" t="str">
        <f>IF(ISERROR(FIND('112'!$M$9,G1907,1)),"",IF((AND(LEFT(G1907,2)=LEFT('112'!$M$9,2),B1907&lt;'112'!$N$8,$L1907='112'!$I$6)),"x",""))</f>
        <v/>
      </c>
      <c r="T1907" s="39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39" t="str">
        <f>IF(OR(TH!L1907=TH!$V$7,M1907=TH!$V$7),"x","")</f>
        <v/>
      </c>
      <c r="W1907" s="39" t="str">
        <f>IF(AND(B1907&gt;='IN-NX'!$P$3,B1907&lt;='IN-NX'!$Q$3,'IN-NX'!$D$7=D1907,OR(LEFT(L1907,2)="15",AND(LEFT(M1907,2)&lt;&gt;"15",LEFT(M1907,2)&lt;&gt;"33"))),"x","")</f>
        <v/>
      </c>
      <c r="X1907" s="39" t="str">
        <f>IF(AND(OR(LEFT(TH!L1907,2)="15",LEFT(TH!M1907,2)="15"),'152-CT'!$J$8=TH!F1907),"x","")</f>
        <v/>
      </c>
      <c r="Y1907" s="39" t="str">
        <f>IF(AND(OR(LEFT(TH!L1907,2)="15",LEFT(TH!M1907,2)="15"),TK!$E$7=TH!F1907),"x","")</f>
        <v/>
      </c>
      <c r="Z1907" s="39" t="str">
        <f>IF(AND(B1907&lt;=NKC!$N$8,B1907&gt;=NKC!$M$8),"x","")</f>
        <v>x</v>
      </c>
      <c r="AA1907" s="883"/>
    </row>
    <row r="1908" spans="1:27" s="211" customFormat="1" ht="15.75" customHeight="1">
      <c r="A1908" s="204" t="str">
        <f>IF(B1908&lt;&gt;"",IF(AND(B1908&gt;=_TM1,B1908&lt;=_TM2,OR(TH!L1908="1111",TH!M1908="1111")),TH!D1908,""),"")</f>
        <v/>
      </c>
      <c r="B1908" s="36">
        <f t="shared" si="473"/>
        <v>7</v>
      </c>
      <c r="C1908" s="191">
        <f t="shared" si="472"/>
        <v>41477</v>
      </c>
      <c r="D1908" s="37" t="s">
        <v>487</v>
      </c>
      <c r="E1908" s="191">
        <v>41477</v>
      </c>
      <c r="F1908" s="192" t="s">
        <v>881</v>
      </c>
      <c r="G1908" s="487" t="s">
        <v>876</v>
      </c>
      <c r="H1908" s="7" t="s">
        <v>1290</v>
      </c>
      <c r="I1908" s="256">
        <v>20</v>
      </c>
      <c r="J1908" s="256">
        <v>55306.996235579834</v>
      </c>
      <c r="K1908" s="602">
        <f t="shared" si="474"/>
        <v>1106140</v>
      </c>
      <c r="L1908" s="39" t="s">
        <v>173</v>
      </c>
      <c r="M1908" s="39" t="s">
        <v>167</v>
      </c>
      <c r="N1908" s="39" t="str">
        <f>IF(AND('331-CT'!$E$7=TH!H1908,OR(L1908="331",M1908="331")),"331",IF(AND(OR(L1908="131",M1908="131"),H1908='131-CT'!$E$7),"131",""))</f>
        <v/>
      </c>
      <c r="O1908" s="39" t="str">
        <f>IF(AND($B1908&gt;='111'!$N$11,$B1908&lt;='111'!$O$11,OR($L1908=$O$7,$M1908=$O$7)),"x","")</f>
        <v/>
      </c>
      <c r="P1908" s="39" t="str">
        <f>IF(AND($L1908=$O$7,$B1908&lt;'111'!$N$11),"x","")</f>
        <v/>
      </c>
      <c r="Q1908" s="39" t="str">
        <f>IF(AND($M1908=$O$7,$B1908&lt;'111'!$N$11),"x","")</f>
        <v/>
      </c>
      <c r="R1908" s="39" t="str">
        <f>IF(ISERROR(FIND('112'!$M$9,G1908,1)),"",IF((AND(FIND('112'!$M$9,G1908,1)&gt;=1,$B1908&gt;='112'!$N$8,$B1908&lt;='112'!$O$8,OR($L1908='112'!$I$6,$M1908='112'!$I$6))),"x",""))</f>
        <v/>
      </c>
      <c r="S1908" s="39" t="str">
        <f>IF(ISERROR(FIND('112'!$M$9,G1908,1)),"",IF((AND(LEFT(G1908,2)=LEFT('112'!$M$9,2),B1908&lt;'112'!$N$8,$L1908='112'!$I$6)),"x",""))</f>
        <v/>
      </c>
      <c r="T1908" s="39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39" t="str">
        <f>IF(OR(TH!L1908=TH!$V$7,M1908=TH!$V$7),"x","")</f>
        <v/>
      </c>
      <c r="W1908" s="39" t="str">
        <f>IF(AND(B1908&gt;='IN-NX'!$P$3,B1908&lt;='IN-NX'!$Q$3,'IN-NX'!$D$7=D1908,OR(LEFT(L1908,2)="15",AND(LEFT(M1908,2)&lt;&gt;"15",LEFT(M1908,2)&lt;&gt;"33"))),"x","")</f>
        <v/>
      </c>
      <c r="X1908" s="39" t="str">
        <f>IF(AND(OR(LEFT(TH!L1908,2)="15",LEFT(TH!M1908,2)="15"),'152-CT'!$J$8=TH!F1908),"x","")</f>
        <v/>
      </c>
      <c r="Y1908" s="39" t="str">
        <f>IF(AND(OR(LEFT(TH!L1908,2)="15",LEFT(TH!M1908,2)="15"),TK!$E$7=TH!F1908),"x","")</f>
        <v/>
      </c>
      <c r="Z1908" s="39" t="str">
        <f>IF(AND(B1908&lt;=NKC!$N$8,B1908&gt;=NKC!$M$8),"x","")</f>
        <v>x</v>
      </c>
      <c r="AA1908" s="883"/>
    </row>
    <row r="1909" spans="1:27" s="211" customFormat="1" ht="15.75" customHeight="1">
      <c r="A1909" s="204" t="str">
        <f>IF(B1909&lt;&gt;"",IF(AND(B1909&gt;=_TM1,B1909&lt;=_TM2,OR(TH!L1909="1111",TH!M1909="1111")),TH!D1909,""),"")</f>
        <v/>
      </c>
      <c r="B1909" s="36">
        <f t="shared" si="473"/>
        <v>7</v>
      </c>
      <c r="C1909" s="191">
        <f t="shared" si="472"/>
        <v>41477</v>
      </c>
      <c r="D1909" s="37" t="s">
        <v>487</v>
      </c>
      <c r="E1909" s="191">
        <v>41477</v>
      </c>
      <c r="F1909" s="192" t="s">
        <v>882</v>
      </c>
      <c r="G1909" s="487" t="s">
        <v>876</v>
      </c>
      <c r="H1909" s="7" t="s">
        <v>1290</v>
      </c>
      <c r="I1909" s="256">
        <v>20</v>
      </c>
      <c r="J1909" s="256">
        <v>59203.596235579833</v>
      </c>
      <c r="K1909" s="602">
        <f t="shared" si="474"/>
        <v>1184072</v>
      </c>
      <c r="L1909" s="39" t="s">
        <v>173</v>
      </c>
      <c r="M1909" s="39" t="s">
        <v>167</v>
      </c>
      <c r="N1909" s="39" t="str">
        <f>IF(AND('331-CT'!$E$7=TH!H1909,OR(L1909="331",M1909="331")),"331",IF(AND(OR(L1909="131",M1909="131"),H1909='131-CT'!$E$7),"131",""))</f>
        <v/>
      </c>
      <c r="O1909" s="39" t="str">
        <f>IF(AND($B1909&gt;='111'!$N$11,$B1909&lt;='111'!$O$11,OR($L1909=$O$7,$M1909=$O$7)),"x","")</f>
        <v/>
      </c>
      <c r="P1909" s="39" t="str">
        <f>IF(AND($L1909=$O$7,$B1909&lt;'111'!$N$11),"x","")</f>
        <v/>
      </c>
      <c r="Q1909" s="39" t="str">
        <f>IF(AND($M1909=$O$7,$B1909&lt;'111'!$N$11),"x","")</f>
        <v/>
      </c>
      <c r="R1909" s="39" t="str">
        <f>IF(ISERROR(FIND('112'!$M$9,G1909,1)),"",IF((AND(FIND('112'!$M$9,G1909,1)&gt;=1,$B1909&gt;='112'!$N$8,$B1909&lt;='112'!$O$8,OR($L1909='112'!$I$6,$M1909='112'!$I$6))),"x",""))</f>
        <v/>
      </c>
      <c r="S1909" s="39" t="str">
        <f>IF(ISERROR(FIND('112'!$M$9,G1909,1)),"",IF((AND(LEFT(G1909,2)=LEFT('112'!$M$9,2),B1909&lt;'112'!$N$8,$L1909='112'!$I$6)),"x",""))</f>
        <v/>
      </c>
      <c r="T1909" s="39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39" t="str">
        <f>IF(OR(TH!L1909=TH!$V$7,M1909=TH!$V$7),"x","")</f>
        <v/>
      </c>
      <c r="W1909" s="39" t="str">
        <f>IF(AND(B1909&gt;='IN-NX'!$P$3,B1909&lt;='IN-NX'!$Q$3,'IN-NX'!$D$7=D1909,OR(LEFT(L1909,2)="15",AND(LEFT(M1909,2)&lt;&gt;"15",LEFT(M1909,2)&lt;&gt;"33"))),"x","")</f>
        <v/>
      </c>
      <c r="X1909" s="39" t="str">
        <f>IF(AND(OR(LEFT(TH!L1909,2)="15",LEFT(TH!M1909,2)="15"),'152-CT'!$J$8=TH!F1909),"x","")</f>
        <v/>
      </c>
      <c r="Y1909" s="39" t="str">
        <f>IF(AND(OR(LEFT(TH!L1909,2)="15",LEFT(TH!M1909,2)="15"),TK!$E$7=TH!F1909),"x","")</f>
        <v/>
      </c>
      <c r="Z1909" s="39" t="str">
        <f>IF(AND(B1909&lt;=NKC!$N$8,B1909&gt;=NKC!$M$8),"x","")</f>
        <v>x</v>
      </c>
      <c r="AA1909" s="883"/>
    </row>
    <row r="1910" spans="1:27" s="211" customFormat="1" ht="15.75" customHeight="1">
      <c r="A1910" s="204" t="str">
        <f>IF(B1910&lt;&gt;"",IF(AND(B1910&gt;=_TM1,B1910&lt;=_TM2,OR(TH!L1910="1111",TH!M1910="1111")),TH!D1910,""),"")</f>
        <v/>
      </c>
      <c r="B1910" s="36">
        <f t="shared" si="473"/>
        <v>7</v>
      </c>
      <c r="C1910" s="191">
        <f t="shared" si="472"/>
        <v>41479</v>
      </c>
      <c r="D1910" s="37" t="s">
        <v>487</v>
      </c>
      <c r="E1910" s="191">
        <v>41479</v>
      </c>
      <c r="F1910" s="192" t="s">
        <v>883</v>
      </c>
      <c r="G1910" s="487" t="s">
        <v>884</v>
      </c>
      <c r="H1910" s="7" t="s">
        <v>1290</v>
      </c>
      <c r="I1910" s="256">
        <v>259</v>
      </c>
      <c r="J1910" s="256">
        <v>7470.9282819118889</v>
      </c>
      <c r="K1910" s="602">
        <f t="shared" si="474"/>
        <v>1934970</v>
      </c>
      <c r="L1910" s="39" t="s">
        <v>173</v>
      </c>
      <c r="M1910" s="39" t="s">
        <v>167</v>
      </c>
      <c r="N1910" s="39" t="str">
        <f>IF(AND('331-CT'!$E$7=TH!H1910,OR(L1910="331",M1910="331")),"331",IF(AND(OR(L1910="131",M1910="131"),H1910='131-CT'!$E$7),"131",""))</f>
        <v/>
      </c>
      <c r="O1910" s="39" t="str">
        <f>IF(AND($B1910&gt;='111'!$N$11,$B1910&lt;='111'!$O$11,OR($L1910=$O$7,$M1910=$O$7)),"x","")</f>
        <v/>
      </c>
      <c r="P1910" s="39" t="str">
        <f>IF(AND($L1910=$O$7,$B1910&lt;'111'!$N$11),"x","")</f>
        <v/>
      </c>
      <c r="Q1910" s="39" t="str">
        <f>IF(AND($M1910=$O$7,$B1910&lt;'111'!$N$11),"x","")</f>
        <v/>
      </c>
      <c r="R1910" s="39" t="str">
        <f>IF(ISERROR(FIND('112'!$M$9,G1910,1)),"",IF((AND(FIND('112'!$M$9,G1910,1)&gt;=1,$B1910&gt;='112'!$N$8,$B1910&lt;='112'!$O$8,OR($L1910='112'!$I$6,$M1910='112'!$I$6))),"x",""))</f>
        <v/>
      </c>
      <c r="S1910" s="39" t="str">
        <f>IF(ISERROR(FIND('112'!$M$9,G1910,1)),"",IF((AND(LEFT(G1910,2)=LEFT('112'!$M$9,2),B1910&lt;'112'!$N$8,$L1910='112'!$I$6)),"x",""))</f>
        <v/>
      </c>
      <c r="T1910" s="39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39" t="str">
        <f>IF(OR(TH!L1910=TH!$V$7,M1910=TH!$V$7),"x","")</f>
        <v/>
      </c>
      <c r="W1910" s="39" t="str">
        <f>IF(AND(B1910&gt;='IN-NX'!$P$3,B1910&lt;='IN-NX'!$Q$3,'IN-NX'!$D$7=D1910,OR(LEFT(L1910,2)="15",AND(LEFT(M1910,2)&lt;&gt;"15",LEFT(M1910,2)&lt;&gt;"33"))),"x","")</f>
        <v/>
      </c>
      <c r="X1910" s="39" t="str">
        <f>IF(AND(OR(LEFT(TH!L1910,2)="15",LEFT(TH!M1910,2)="15"),'152-CT'!$J$8=TH!F1910),"x","")</f>
        <v/>
      </c>
      <c r="Y1910" s="39" t="str">
        <f>IF(AND(OR(LEFT(TH!L1910,2)="15",LEFT(TH!M1910,2)="15"),TK!$E$7=TH!F1910),"x","")</f>
        <v/>
      </c>
      <c r="Z1910" s="39" t="str">
        <f>IF(AND(B1910&lt;=NKC!$N$8,B1910&gt;=NKC!$M$8),"x","")</f>
        <v>x</v>
      </c>
      <c r="AA1910" s="883"/>
    </row>
    <row r="1911" spans="1:27" s="211" customFormat="1" ht="15.75" customHeight="1">
      <c r="A1911" s="204" t="str">
        <f>IF(B1911&lt;&gt;"",IF(AND(B1911&gt;=_TM1,B1911&lt;=_TM2,OR(TH!L1911="1111",TH!M1911="1111")),TH!D1911,""),"")</f>
        <v/>
      </c>
      <c r="B1911" s="36">
        <f t="shared" si="473"/>
        <v>7</v>
      </c>
      <c r="C1911" s="191">
        <f t="shared" si="472"/>
        <v>41479</v>
      </c>
      <c r="D1911" s="37" t="s">
        <v>487</v>
      </c>
      <c r="E1911" s="191">
        <v>41479</v>
      </c>
      <c r="F1911" s="192" t="s">
        <v>841</v>
      </c>
      <c r="G1911" s="487" t="s">
        <v>884</v>
      </c>
      <c r="H1911" s="7" t="s">
        <v>1290</v>
      </c>
      <c r="I1911" s="256">
        <v>101</v>
      </c>
      <c r="J1911" s="256">
        <v>10078.596235579842</v>
      </c>
      <c r="K1911" s="602">
        <f t="shared" si="474"/>
        <v>1017938</v>
      </c>
      <c r="L1911" s="39" t="s">
        <v>173</v>
      </c>
      <c r="M1911" s="39" t="s">
        <v>167</v>
      </c>
      <c r="N1911" s="39" t="str">
        <f>IF(AND('331-CT'!$E$7=TH!H1911,OR(L1911="331",M1911="331")),"331",IF(AND(OR(L1911="131",M1911="131"),H1911='131-CT'!$E$7),"131",""))</f>
        <v/>
      </c>
      <c r="O1911" s="39" t="str">
        <f>IF(AND($B1911&gt;='111'!$N$11,$B1911&lt;='111'!$O$11,OR($L1911=$O$7,$M1911=$O$7)),"x","")</f>
        <v/>
      </c>
      <c r="P1911" s="39" t="str">
        <f>IF(AND($L1911=$O$7,$B1911&lt;'111'!$N$11),"x","")</f>
        <v/>
      </c>
      <c r="Q1911" s="39" t="str">
        <f>IF(AND($M1911=$O$7,$B1911&lt;'111'!$N$11),"x","")</f>
        <v/>
      </c>
      <c r="R1911" s="39" t="str">
        <f>IF(ISERROR(FIND('112'!$M$9,G1911,1)),"",IF((AND(FIND('112'!$M$9,G1911,1)&gt;=1,$B1911&gt;='112'!$N$8,$B1911&lt;='112'!$O$8,OR($L1911='112'!$I$6,$M1911='112'!$I$6))),"x",""))</f>
        <v/>
      </c>
      <c r="S1911" s="39" t="str">
        <f>IF(ISERROR(FIND('112'!$M$9,G1911,1)),"",IF((AND(LEFT(G1911,2)=LEFT('112'!$M$9,2),B1911&lt;'112'!$N$8,$L1911='112'!$I$6)),"x",""))</f>
        <v/>
      </c>
      <c r="T1911" s="39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39" t="str">
        <f>IF(OR(TH!L1911=TH!$V$7,M1911=TH!$V$7),"x","")</f>
        <v/>
      </c>
      <c r="W1911" s="39" t="str">
        <f>IF(AND(B1911&gt;='IN-NX'!$P$3,B1911&lt;='IN-NX'!$Q$3,'IN-NX'!$D$7=D1911,OR(LEFT(L1911,2)="15",AND(LEFT(M1911,2)&lt;&gt;"15",LEFT(M1911,2)&lt;&gt;"33"))),"x","")</f>
        <v/>
      </c>
      <c r="X1911" s="39" t="str">
        <f>IF(AND(OR(LEFT(TH!L1911,2)="15",LEFT(TH!M1911,2)="15"),'152-CT'!$J$8=TH!F1911),"x","")</f>
        <v/>
      </c>
      <c r="Y1911" s="39" t="str">
        <f>IF(AND(OR(LEFT(TH!L1911,2)="15",LEFT(TH!M1911,2)="15"),TK!$E$7=TH!F1911),"x","")</f>
        <v/>
      </c>
      <c r="Z1911" s="39" t="str">
        <f>IF(AND(B1911&lt;=NKC!$N$8,B1911&gt;=NKC!$M$8),"x","")</f>
        <v>x</v>
      </c>
      <c r="AA1911" s="883"/>
    </row>
    <row r="1912" spans="1:27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473"/>
        <v>7</v>
      </c>
      <c r="C1912" s="191">
        <f t="shared" si="472"/>
        <v>41479</v>
      </c>
      <c r="D1912" s="37" t="s">
        <v>487</v>
      </c>
      <c r="E1912" s="191">
        <v>41479</v>
      </c>
      <c r="F1912" s="192" t="s">
        <v>842</v>
      </c>
      <c r="G1912" s="487" t="s">
        <v>884</v>
      </c>
      <c r="H1912" s="7" t="s">
        <v>1290</v>
      </c>
      <c r="I1912" s="256">
        <v>98</v>
      </c>
      <c r="J1912" s="256">
        <v>9907.596235579842</v>
      </c>
      <c r="K1912" s="602">
        <f t="shared" si="474"/>
        <v>970944</v>
      </c>
      <c r="L1912" s="39" t="s">
        <v>173</v>
      </c>
      <c r="M1912" s="39" t="s">
        <v>167</v>
      </c>
      <c r="N1912" s="39" t="str">
        <f>IF(AND('331-CT'!$E$7=TH!H1912,OR(L1912="331",M1912="331")),"331",IF(AND(OR(L1912="131",M1912="131"),H1912='131-CT'!$E$7),"131",""))</f>
        <v/>
      </c>
      <c r="O1912" s="39" t="str">
        <f>IF(AND($B1912&gt;='111'!$N$11,$B1912&lt;='111'!$O$11,OR($L1912=$O$7,$M1912=$O$7)),"x","")</f>
        <v/>
      </c>
      <c r="P1912" s="39" t="str">
        <f>IF(AND($L1912=$O$7,$B1912&lt;'111'!$N$11),"x","")</f>
        <v/>
      </c>
      <c r="Q1912" s="39" t="str">
        <f>IF(AND($M1912=$O$7,$B1912&lt;'111'!$N$11),"x","")</f>
        <v/>
      </c>
      <c r="R1912" s="39" t="str">
        <f>IF(ISERROR(FIND('112'!$M$9,G1912,1)),"",IF((AND(FIND('112'!$M$9,G1912,1)&gt;=1,$B1912&gt;='112'!$N$8,$B1912&lt;='112'!$O$8,OR($L1912='112'!$I$6,$M1912='112'!$I$6))),"x",""))</f>
        <v/>
      </c>
      <c r="S1912" s="39" t="str">
        <f>IF(ISERROR(FIND('112'!$M$9,G1912,1)),"",IF((AND(LEFT(G1912,2)=LEFT('112'!$M$9,2),B1912&lt;'112'!$N$8,$L1912='112'!$I$6)),"x",""))</f>
        <v/>
      </c>
      <c r="T1912" s="39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39" t="str">
        <f>IF(OR(TH!L1912=TH!$V$7,M1912=TH!$V$7),"x","")</f>
        <v/>
      </c>
      <c r="W1912" s="39" t="str">
        <f>IF(AND(B1912&gt;='IN-NX'!$P$3,B1912&lt;='IN-NX'!$Q$3,'IN-NX'!$D$7=D1912,OR(LEFT(L1912,2)="15",AND(LEFT(M1912,2)&lt;&gt;"15",LEFT(M1912,2)&lt;&gt;"33"))),"x","")</f>
        <v/>
      </c>
      <c r="X1912" s="39" t="str">
        <f>IF(AND(OR(LEFT(TH!L1912,2)="15",LEFT(TH!M1912,2)="15"),'152-CT'!$J$8=TH!F1912),"x","")</f>
        <v/>
      </c>
      <c r="Y1912" s="39" t="str">
        <f>IF(AND(OR(LEFT(TH!L1912,2)="15",LEFT(TH!M1912,2)="15"),TK!$E$7=TH!F1912),"x","")</f>
        <v/>
      </c>
      <c r="Z1912" s="39" t="str">
        <f>IF(AND(B1912&lt;=NKC!$N$8,B1912&gt;=NKC!$M$8),"x","")</f>
        <v>x</v>
      </c>
      <c r="AA1912" s="883"/>
    </row>
    <row r="1913" spans="1:27" s="211" customFormat="1" ht="15.75" customHeight="1">
      <c r="A1913" s="204" t="str">
        <f>IF(B1913&lt;&gt;"",IF(AND(B1913&gt;=_TM1,B1913&lt;=_TM2,OR(TH!L1913="1111",TH!M1913="1111")),TH!D1913,""),"")</f>
        <v/>
      </c>
      <c r="B1913" s="36">
        <f t="shared" si="473"/>
        <v>7</v>
      </c>
      <c r="C1913" s="191">
        <f t="shared" si="472"/>
        <v>41480</v>
      </c>
      <c r="D1913" s="37" t="s">
        <v>487</v>
      </c>
      <c r="E1913" s="191">
        <v>41480</v>
      </c>
      <c r="F1913" s="192" t="s">
        <v>885</v>
      </c>
      <c r="G1913" s="487" t="s">
        <v>886</v>
      </c>
      <c r="H1913" s="7" t="s">
        <v>1290</v>
      </c>
      <c r="I1913" s="256">
        <v>200</v>
      </c>
      <c r="J1913" s="256">
        <v>6541.8462355798429</v>
      </c>
      <c r="K1913" s="602">
        <f t="shared" si="474"/>
        <v>1308369</v>
      </c>
      <c r="L1913" s="39" t="s">
        <v>173</v>
      </c>
      <c r="M1913" s="39" t="s">
        <v>167</v>
      </c>
      <c r="N1913" s="39" t="str">
        <f>IF(AND('331-CT'!$E$7=TH!H1913,OR(L1913="331",M1913="331")),"331",IF(AND(OR(L1913="131",M1913="131"),H1913='131-CT'!$E$7),"131",""))</f>
        <v/>
      </c>
      <c r="O1913" s="39" t="str">
        <f>IF(AND($B1913&gt;='111'!$N$11,$B1913&lt;='111'!$O$11,OR($L1913=$O$7,$M1913=$O$7)),"x","")</f>
        <v/>
      </c>
      <c r="P1913" s="39" t="str">
        <f>IF(AND($L1913=$O$7,$B1913&lt;'111'!$N$11),"x","")</f>
        <v/>
      </c>
      <c r="Q1913" s="39" t="str">
        <f>IF(AND($M1913=$O$7,$B1913&lt;'111'!$N$11),"x","")</f>
        <v/>
      </c>
      <c r="R1913" s="39" t="str">
        <f>IF(ISERROR(FIND('112'!$M$9,G1913,1)),"",IF((AND(FIND('112'!$M$9,G1913,1)&gt;=1,$B1913&gt;='112'!$N$8,$B1913&lt;='112'!$O$8,OR($L1913='112'!$I$6,$M1913='112'!$I$6))),"x",""))</f>
        <v/>
      </c>
      <c r="S1913" s="39" t="str">
        <f>IF(ISERROR(FIND('112'!$M$9,G1913,1)),"",IF((AND(LEFT(G1913,2)=LEFT('112'!$M$9,2),B1913&lt;'112'!$N$8,$L1913='112'!$I$6)),"x",""))</f>
        <v/>
      </c>
      <c r="T1913" s="39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39" t="str">
        <f>IF(OR(TH!L1913=TH!$V$7,M1913=TH!$V$7),"x","")</f>
        <v/>
      </c>
      <c r="W1913" s="39" t="str">
        <f>IF(AND(B1913&gt;='IN-NX'!$P$3,B1913&lt;='IN-NX'!$Q$3,'IN-NX'!$D$7=D1913,OR(LEFT(L1913,2)="15",AND(LEFT(M1913,2)&lt;&gt;"15",LEFT(M1913,2)&lt;&gt;"33"))),"x","")</f>
        <v/>
      </c>
      <c r="X1913" s="39" t="str">
        <f>IF(AND(OR(LEFT(TH!L1913,2)="15",LEFT(TH!M1913,2)="15"),'152-CT'!$J$8=TH!F1913),"x","")</f>
        <v/>
      </c>
      <c r="Y1913" s="39" t="str">
        <f>IF(AND(OR(LEFT(TH!L1913,2)="15",LEFT(TH!M1913,2)="15"),TK!$E$7=TH!F1913),"x","")</f>
        <v/>
      </c>
      <c r="Z1913" s="39" t="str">
        <f>IF(AND(B1913&lt;=NKC!$N$8,B1913&gt;=NKC!$M$8),"x","")</f>
        <v>x</v>
      </c>
      <c r="AA1913" s="883"/>
    </row>
    <row r="1914" spans="1:27" s="211" customFormat="1" ht="15.75" customHeight="1">
      <c r="A1914" s="204" t="str">
        <f>IF(B1914&lt;&gt;"",IF(AND(B1914&gt;=_TM1,B1914&lt;=_TM2,OR(TH!L1914="1111",TH!M1914="1111")),TH!D1914,""),"")</f>
        <v/>
      </c>
      <c r="B1914" s="36">
        <f t="shared" si="473"/>
        <v>7</v>
      </c>
      <c r="C1914" s="191">
        <f t="shared" si="472"/>
        <v>41480</v>
      </c>
      <c r="D1914" s="37" t="s">
        <v>487</v>
      </c>
      <c r="E1914" s="191">
        <v>41480</v>
      </c>
      <c r="F1914" s="192" t="s">
        <v>1119</v>
      </c>
      <c r="G1914" s="487" t="s">
        <v>886</v>
      </c>
      <c r="H1914" s="7" t="s">
        <v>1290</v>
      </c>
      <c r="I1914" s="256">
        <v>496</v>
      </c>
      <c r="J1914" s="256">
        <v>7726.3704291282302</v>
      </c>
      <c r="K1914" s="602">
        <f t="shared" si="474"/>
        <v>3832280</v>
      </c>
      <c r="L1914" s="39" t="s">
        <v>173</v>
      </c>
      <c r="M1914" s="39" t="s">
        <v>167</v>
      </c>
      <c r="N1914" s="39" t="str">
        <f>IF(AND('331-CT'!$E$7=TH!H1914,OR(L1914="331",M1914="331")),"331",IF(AND(OR(L1914="131",M1914="131"),H1914='131-CT'!$E$7),"131",""))</f>
        <v/>
      </c>
      <c r="O1914" s="39" t="str">
        <f>IF(AND($B1914&gt;='111'!$N$11,$B1914&lt;='111'!$O$11,OR($L1914=$O$7,$M1914=$O$7)),"x","")</f>
        <v/>
      </c>
      <c r="P1914" s="39" t="str">
        <f>IF(AND($L1914=$O$7,$B1914&lt;'111'!$N$11),"x","")</f>
        <v/>
      </c>
      <c r="Q1914" s="39" t="str">
        <f>IF(AND($M1914=$O$7,$B1914&lt;'111'!$N$11),"x","")</f>
        <v/>
      </c>
      <c r="R1914" s="39" t="str">
        <f>IF(ISERROR(FIND('112'!$M$9,G1914,1)),"",IF((AND(FIND('112'!$M$9,G1914,1)&gt;=1,$B1914&gt;='112'!$N$8,$B1914&lt;='112'!$O$8,OR($L1914='112'!$I$6,$M1914='112'!$I$6))),"x",""))</f>
        <v/>
      </c>
      <c r="S1914" s="39" t="str">
        <f>IF(ISERROR(FIND('112'!$M$9,G1914,1)),"",IF((AND(LEFT(G1914,2)=LEFT('112'!$M$9,2),B1914&lt;'112'!$N$8,$L1914='112'!$I$6)),"x",""))</f>
        <v/>
      </c>
      <c r="T1914" s="39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39" t="str">
        <f>IF(OR(TH!L1914=TH!$V$7,M1914=TH!$V$7),"x","")</f>
        <v/>
      </c>
      <c r="W1914" s="39" t="str">
        <f>IF(AND(B1914&gt;='IN-NX'!$P$3,B1914&lt;='IN-NX'!$Q$3,'IN-NX'!$D$7=D1914,OR(LEFT(L1914,2)="15",AND(LEFT(M1914,2)&lt;&gt;"15",LEFT(M1914,2)&lt;&gt;"33"))),"x","")</f>
        <v/>
      </c>
      <c r="X1914" s="39" t="str">
        <f>IF(AND(OR(LEFT(TH!L1914,2)="15",LEFT(TH!M1914,2)="15"),'152-CT'!$J$8=TH!F1914),"x","")</f>
        <v/>
      </c>
      <c r="Y1914" s="39" t="str">
        <f>IF(AND(OR(LEFT(TH!L1914,2)="15",LEFT(TH!M1914,2)="15"),TK!$E$7=TH!F1914),"x","")</f>
        <v/>
      </c>
      <c r="Z1914" s="39" t="str">
        <f>IF(AND(B1914&lt;=NKC!$N$8,B1914&gt;=NKC!$M$8),"x","")</f>
        <v>x</v>
      </c>
      <c r="AA1914" s="883"/>
    </row>
    <row r="1915" spans="1:27" s="211" customFormat="1" ht="15.75" customHeight="1">
      <c r="A1915" s="204" t="str">
        <f>IF(B1915&lt;&gt;"",IF(AND(B1915&gt;=_TM1,B1915&lt;=_TM2,OR(TH!L1915="1111",TH!M1915="1111")),TH!D1915,""),"")</f>
        <v/>
      </c>
      <c r="B1915" s="36">
        <f t="shared" si="473"/>
        <v>7</v>
      </c>
      <c r="C1915" s="191">
        <f t="shared" si="472"/>
        <v>41480</v>
      </c>
      <c r="D1915" s="37" t="s">
        <v>487</v>
      </c>
      <c r="E1915" s="191">
        <v>41480</v>
      </c>
      <c r="F1915" s="192" t="s">
        <v>1163</v>
      </c>
      <c r="G1915" s="487" t="s">
        <v>886</v>
      </c>
      <c r="H1915" s="7" t="s">
        <v>1290</v>
      </c>
      <c r="I1915" s="256">
        <v>505</v>
      </c>
      <c r="J1915" s="256">
        <v>6989.8437603323173</v>
      </c>
      <c r="K1915" s="602">
        <f t="shared" si="474"/>
        <v>3529871</v>
      </c>
      <c r="L1915" s="39" t="s">
        <v>173</v>
      </c>
      <c r="M1915" s="39" t="s">
        <v>167</v>
      </c>
      <c r="N1915" s="39" t="str">
        <f>IF(AND('331-CT'!$E$7=TH!H1915,OR(L1915="331",M1915="331")),"331",IF(AND(OR(L1915="131",M1915="131"),H1915='131-CT'!$E$7),"131",""))</f>
        <v/>
      </c>
      <c r="O1915" s="39" t="str">
        <f>IF(AND($B1915&gt;='111'!$N$11,$B1915&lt;='111'!$O$11,OR($L1915=$O$7,$M1915=$O$7)),"x","")</f>
        <v/>
      </c>
      <c r="P1915" s="39" t="str">
        <f>IF(AND($L1915=$O$7,$B1915&lt;'111'!$N$11),"x","")</f>
        <v/>
      </c>
      <c r="Q1915" s="39" t="str">
        <f>IF(AND($M1915=$O$7,$B1915&lt;'111'!$N$11),"x","")</f>
        <v/>
      </c>
      <c r="R1915" s="39" t="str">
        <f>IF(ISERROR(FIND('112'!$M$9,G1915,1)),"",IF((AND(FIND('112'!$M$9,G1915,1)&gt;=1,$B1915&gt;='112'!$N$8,$B1915&lt;='112'!$O$8,OR($L1915='112'!$I$6,$M1915='112'!$I$6))),"x",""))</f>
        <v/>
      </c>
      <c r="S1915" s="39" t="str">
        <f>IF(ISERROR(FIND('112'!$M$9,G1915,1)),"",IF((AND(LEFT(G1915,2)=LEFT('112'!$M$9,2),B1915&lt;'112'!$N$8,$L1915='112'!$I$6)),"x",""))</f>
        <v/>
      </c>
      <c r="T1915" s="39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39" t="str">
        <f>IF(OR(TH!L1915=TH!$V$7,M1915=TH!$V$7),"x","")</f>
        <v/>
      </c>
      <c r="W1915" s="39" t="str">
        <f>IF(AND(B1915&gt;='IN-NX'!$P$3,B1915&lt;='IN-NX'!$Q$3,'IN-NX'!$D$7=D1915,OR(LEFT(L1915,2)="15",AND(LEFT(M1915,2)&lt;&gt;"15",LEFT(M1915,2)&lt;&gt;"33"))),"x","")</f>
        <v/>
      </c>
      <c r="X1915" s="39" t="str">
        <f>IF(AND(OR(LEFT(TH!L1915,2)="15",LEFT(TH!M1915,2)="15"),'152-CT'!$J$8=TH!F1915),"x","")</f>
        <v/>
      </c>
      <c r="Y1915" s="39" t="str">
        <f>IF(AND(OR(LEFT(TH!L1915,2)="15",LEFT(TH!M1915,2)="15"),TK!$E$7=TH!F1915),"x","")</f>
        <v/>
      </c>
      <c r="Z1915" s="39" t="str">
        <f>IF(AND(B1915&lt;=NKC!$N$8,B1915&gt;=NKC!$M$8),"x","")</f>
        <v>x</v>
      </c>
      <c r="AA1915" s="883"/>
    </row>
    <row r="1916" spans="1:27" s="211" customFormat="1" ht="15.75" customHeight="1">
      <c r="A1916" s="204" t="str">
        <f>IF(B1916&lt;&gt;"",IF(AND(B1916&gt;=_TM1,B1916&lt;=_TM2,OR(TH!L1916="1111",TH!M1916="1111")),TH!D1916,""),"")</f>
        <v/>
      </c>
      <c r="B1916" s="36">
        <f t="shared" si="473"/>
        <v>7</v>
      </c>
      <c r="C1916" s="191">
        <f t="shared" si="472"/>
        <v>41480</v>
      </c>
      <c r="D1916" s="37" t="s">
        <v>487</v>
      </c>
      <c r="E1916" s="191">
        <v>41480</v>
      </c>
      <c r="F1916" s="192" t="s">
        <v>887</v>
      </c>
      <c r="G1916" s="487" t="s">
        <v>886</v>
      </c>
      <c r="H1916" s="7" t="s">
        <v>1290</v>
      </c>
      <c r="I1916" s="256">
        <v>1000</v>
      </c>
      <c r="J1916" s="256">
        <v>6615.596235579842</v>
      </c>
      <c r="K1916" s="602">
        <f t="shared" si="474"/>
        <v>6615596</v>
      </c>
      <c r="L1916" s="39" t="s">
        <v>173</v>
      </c>
      <c r="M1916" s="39" t="s">
        <v>167</v>
      </c>
      <c r="N1916" s="39" t="str">
        <f>IF(AND('331-CT'!$E$7=TH!H1916,OR(L1916="331",M1916="331")),"331",IF(AND(OR(L1916="131",M1916="131"),H1916='131-CT'!$E$7),"131",""))</f>
        <v/>
      </c>
      <c r="O1916" s="39" t="str">
        <f>IF(AND($B1916&gt;='111'!$N$11,$B1916&lt;='111'!$O$11,OR($L1916=$O$7,$M1916=$O$7)),"x","")</f>
        <v/>
      </c>
      <c r="P1916" s="39" t="str">
        <f>IF(AND($L1916=$O$7,$B1916&lt;'111'!$N$11),"x","")</f>
        <v/>
      </c>
      <c r="Q1916" s="39" t="str">
        <f>IF(AND($M1916=$O$7,$B1916&lt;'111'!$N$11),"x","")</f>
        <v/>
      </c>
      <c r="R1916" s="39" t="str">
        <f>IF(ISERROR(FIND('112'!$M$9,G1916,1)),"",IF((AND(FIND('112'!$M$9,G1916,1)&gt;=1,$B1916&gt;='112'!$N$8,$B1916&lt;='112'!$O$8,OR($L1916='112'!$I$6,$M1916='112'!$I$6))),"x",""))</f>
        <v/>
      </c>
      <c r="S1916" s="39" t="str">
        <f>IF(ISERROR(FIND('112'!$M$9,G1916,1)),"",IF((AND(LEFT(G1916,2)=LEFT('112'!$M$9,2),B1916&lt;'112'!$N$8,$L1916='112'!$I$6)),"x",""))</f>
        <v/>
      </c>
      <c r="T1916" s="39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39" t="str">
        <f>IF(OR(TH!L1916=TH!$V$7,M1916=TH!$V$7),"x","")</f>
        <v/>
      </c>
      <c r="W1916" s="39" t="str">
        <f>IF(AND(B1916&gt;='IN-NX'!$P$3,B1916&lt;='IN-NX'!$Q$3,'IN-NX'!$D$7=D1916,OR(LEFT(L1916,2)="15",AND(LEFT(M1916,2)&lt;&gt;"15",LEFT(M1916,2)&lt;&gt;"33"))),"x","")</f>
        <v/>
      </c>
      <c r="X1916" s="39" t="str">
        <f>IF(AND(OR(LEFT(TH!L1916,2)="15",LEFT(TH!M1916,2)="15"),'152-CT'!$J$8=TH!F1916),"x","")</f>
        <v/>
      </c>
      <c r="Y1916" s="39" t="str">
        <f>IF(AND(OR(LEFT(TH!L1916,2)="15",LEFT(TH!M1916,2)="15"),TK!$E$7=TH!F1916),"x","")</f>
        <v/>
      </c>
      <c r="Z1916" s="39" t="str">
        <f>IF(AND(B1916&lt;=NKC!$N$8,B1916&gt;=NKC!$M$8),"x","")</f>
        <v>x</v>
      </c>
      <c r="AA1916" s="883"/>
    </row>
    <row r="1917" spans="1:27" s="211" customFormat="1" ht="15.75" customHeight="1">
      <c r="A1917" s="204" t="str">
        <f>IF(B1917&lt;&gt;"",IF(AND(B1917&gt;=_TM1,B1917&lt;=_TM2,OR(TH!L1917="1111",TH!M1917="1111")),TH!D1917,""),"")</f>
        <v/>
      </c>
      <c r="B1917" s="36">
        <f t="shared" si="473"/>
        <v>7</v>
      </c>
      <c r="C1917" s="191">
        <f t="shared" si="472"/>
        <v>41481</v>
      </c>
      <c r="D1917" s="37" t="s">
        <v>487</v>
      </c>
      <c r="E1917" s="191">
        <v>41481</v>
      </c>
      <c r="F1917" s="192" t="s">
        <v>1135</v>
      </c>
      <c r="G1917" s="487" t="s">
        <v>888</v>
      </c>
      <c r="H1917" s="7" t="s">
        <v>1290</v>
      </c>
      <c r="I1917" s="256">
        <v>3000</v>
      </c>
      <c r="J1917" s="256">
        <v>6119.7605689131751</v>
      </c>
      <c r="K1917" s="602">
        <f t="shared" si="474"/>
        <v>18359282</v>
      </c>
      <c r="L1917" s="39" t="s">
        <v>173</v>
      </c>
      <c r="M1917" s="39" t="s">
        <v>167</v>
      </c>
      <c r="N1917" s="39" t="str">
        <f>IF(AND('331-CT'!$E$7=TH!H1917,OR(L1917="331",M1917="331")),"331",IF(AND(OR(L1917="131",M1917="131"),H1917='131-CT'!$E$7),"131",""))</f>
        <v/>
      </c>
      <c r="O1917" s="39" t="str">
        <f>IF(AND($B1917&gt;='111'!$N$11,$B1917&lt;='111'!$O$11,OR($L1917=$O$7,$M1917=$O$7)),"x","")</f>
        <v/>
      </c>
      <c r="P1917" s="39" t="str">
        <f>IF(AND($L1917=$O$7,$B1917&lt;'111'!$N$11),"x","")</f>
        <v/>
      </c>
      <c r="Q1917" s="39" t="str">
        <f>IF(AND($M1917=$O$7,$B1917&lt;'111'!$N$11),"x","")</f>
        <v/>
      </c>
      <c r="R1917" s="39" t="str">
        <f>IF(ISERROR(FIND('112'!$M$9,G1917,1)),"",IF((AND(FIND('112'!$M$9,G1917,1)&gt;=1,$B1917&gt;='112'!$N$8,$B1917&lt;='112'!$O$8,OR($L1917='112'!$I$6,$M1917='112'!$I$6))),"x",""))</f>
        <v/>
      </c>
      <c r="S1917" s="39" t="str">
        <f>IF(ISERROR(FIND('112'!$M$9,G1917,1)),"",IF((AND(LEFT(G1917,2)=LEFT('112'!$M$9,2),B1917&lt;'112'!$N$8,$L1917='112'!$I$6)),"x",""))</f>
        <v/>
      </c>
      <c r="T1917" s="39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39" t="str">
        <f>IF(OR(TH!L1917=TH!$V$7,M1917=TH!$V$7),"x","")</f>
        <v/>
      </c>
      <c r="W1917" s="39" t="str">
        <f>IF(AND(B1917&gt;='IN-NX'!$P$3,B1917&lt;='IN-NX'!$Q$3,'IN-NX'!$D$7=D1917,OR(LEFT(L1917,2)="15",AND(LEFT(M1917,2)&lt;&gt;"15",LEFT(M1917,2)&lt;&gt;"33"))),"x","")</f>
        <v/>
      </c>
      <c r="X1917" s="39" t="str">
        <f>IF(AND(OR(LEFT(TH!L1917,2)="15",LEFT(TH!M1917,2)="15"),'152-CT'!$J$8=TH!F1917),"x","")</f>
        <v/>
      </c>
      <c r="Y1917" s="39" t="str">
        <f>IF(AND(OR(LEFT(TH!L1917,2)="15",LEFT(TH!M1917,2)="15"),TK!$E$7=TH!F1917),"x","")</f>
        <v/>
      </c>
      <c r="Z1917" s="39" t="str">
        <f>IF(AND(B1917&lt;=NKC!$N$8,B1917&gt;=NKC!$M$8),"x","")</f>
        <v>x</v>
      </c>
      <c r="AA1917" s="883"/>
    </row>
    <row r="1918" spans="1:27" s="211" customFormat="1" ht="15.75" customHeight="1">
      <c r="A1918" s="204" t="str">
        <f>IF(B1918&lt;&gt;"",IF(AND(B1918&gt;=_TM1,B1918&lt;=_TM2,OR(TH!L1918="1111",TH!M1918="1111")),TH!D1918,""),"")</f>
        <v/>
      </c>
      <c r="B1918" s="36">
        <f t="shared" si="473"/>
        <v>7</v>
      </c>
      <c r="C1918" s="191">
        <f t="shared" si="472"/>
        <v>41484</v>
      </c>
      <c r="D1918" s="37" t="s">
        <v>487</v>
      </c>
      <c r="E1918" s="191">
        <v>41484</v>
      </c>
      <c r="F1918" s="192" t="s">
        <v>836</v>
      </c>
      <c r="G1918" s="487" t="s">
        <v>889</v>
      </c>
      <c r="H1918" s="7" t="s">
        <v>1290</v>
      </c>
      <c r="I1918" s="256">
        <v>500</v>
      </c>
      <c r="J1918" s="256">
        <v>9217.0142355798434</v>
      </c>
      <c r="K1918" s="602">
        <f t="shared" si="474"/>
        <v>4608507</v>
      </c>
      <c r="L1918" s="39" t="s">
        <v>173</v>
      </c>
      <c r="M1918" s="39" t="s">
        <v>167</v>
      </c>
      <c r="N1918" s="39" t="str">
        <f>IF(AND('331-CT'!$E$7=TH!H1918,OR(L1918="331",M1918="331")),"331",IF(AND(OR(L1918="131",M1918="131"),H1918='131-CT'!$E$7),"131",""))</f>
        <v/>
      </c>
      <c r="O1918" s="39" t="str">
        <f>IF(AND($B1918&gt;='111'!$N$11,$B1918&lt;='111'!$O$11,OR($L1918=$O$7,$M1918=$O$7)),"x","")</f>
        <v/>
      </c>
      <c r="P1918" s="39" t="str">
        <f>IF(AND($L1918=$O$7,$B1918&lt;'111'!$N$11),"x","")</f>
        <v/>
      </c>
      <c r="Q1918" s="39" t="str">
        <f>IF(AND($M1918=$O$7,$B1918&lt;'111'!$N$11),"x","")</f>
        <v/>
      </c>
      <c r="R1918" s="39" t="str">
        <f>IF(ISERROR(FIND('112'!$M$9,G1918,1)),"",IF((AND(FIND('112'!$M$9,G1918,1)&gt;=1,$B1918&gt;='112'!$N$8,$B1918&lt;='112'!$O$8,OR($L1918='112'!$I$6,$M1918='112'!$I$6))),"x",""))</f>
        <v/>
      </c>
      <c r="S1918" s="39" t="str">
        <f>IF(ISERROR(FIND('112'!$M$9,G1918,1)),"",IF((AND(LEFT(G1918,2)=LEFT('112'!$M$9,2),B1918&lt;'112'!$N$8,$L1918='112'!$I$6)),"x",""))</f>
        <v/>
      </c>
      <c r="T1918" s="39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39" t="str">
        <f>IF(OR(TH!L1918=TH!$V$7,M1918=TH!$V$7),"x","")</f>
        <v/>
      </c>
      <c r="W1918" s="39" t="str">
        <f>IF(AND(B1918&gt;='IN-NX'!$P$3,B1918&lt;='IN-NX'!$Q$3,'IN-NX'!$D$7=D1918,OR(LEFT(L1918,2)="15",AND(LEFT(M1918,2)&lt;&gt;"15",LEFT(M1918,2)&lt;&gt;"33"))),"x","")</f>
        <v/>
      </c>
      <c r="X1918" s="39" t="str">
        <f>IF(AND(OR(LEFT(TH!L1918,2)="15",LEFT(TH!M1918,2)="15"),'152-CT'!$J$8=TH!F1918),"x","")</f>
        <v/>
      </c>
      <c r="Y1918" s="39" t="str">
        <f>IF(AND(OR(LEFT(TH!L1918,2)="15",LEFT(TH!M1918,2)="15"),TK!$E$7=TH!F1918),"x","")</f>
        <v/>
      </c>
      <c r="Z1918" s="39" t="str">
        <f>IF(AND(B1918&lt;=NKC!$N$8,B1918&gt;=NKC!$M$8),"x","")</f>
        <v>x</v>
      </c>
      <c r="AA1918" s="883"/>
    </row>
    <row r="1919" spans="1:27" s="211" customFormat="1" ht="15.75" customHeight="1">
      <c r="A1919" s="204" t="str">
        <f>IF(B1919&lt;&gt;"",IF(AND(B1919&gt;=_TM1,B1919&lt;=_TM2,OR(TH!L1919="1111",TH!M1919="1111")),TH!D1919,""),"")</f>
        <v/>
      </c>
      <c r="B1919" s="36">
        <f t="shared" si="473"/>
        <v>8</v>
      </c>
      <c r="C1919" s="191">
        <f t="shared" si="472"/>
        <v>41487</v>
      </c>
      <c r="D1919" s="37" t="s">
        <v>487</v>
      </c>
      <c r="E1919" s="191">
        <v>41487</v>
      </c>
      <c r="F1919" s="192" t="s">
        <v>1143</v>
      </c>
      <c r="G1919" s="487" t="s">
        <v>890</v>
      </c>
      <c r="H1919" s="7" t="s">
        <v>1290</v>
      </c>
      <c r="I1919" s="256">
        <v>99</v>
      </c>
      <c r="J1919" s="256">
        <v>12653.586134569741</v>
      </c>
      <c r="K1919" s="602">
        <f t="shared" si="474"/>
        <v>1252705</v>
      </c>
      <c r="L1919" s="39" t="s">
        <v>173</v>
      </c>
      <c r="M1919" s="39" t="s">
        <v>167</v>
      </c>
      <c r="N1919" s="39" t="str">
        <f>IF(AND('331-CT'!$E$7=TH!H1919,OR(L1919="331",M1919="331")),"331",IF(AND(OR(L1919="131",M1919="131"),H1919='131-CT'!$E$7),"131",""))</f>
        <v/>
      </c>
      <c r="O1919" s="39" t="str">
        <f>IF(AND($B1919&gt;='111'!$N$11,$B1919&lt;='111'!$O$11,OR($L1919=$O$7,$M1919=$O$7)),"x","")</f>
        <v/>
      </c>
      <c r="P1919" s="39" t="str">
        <f>IF(AND($L1919=$O$7,$B1919&lt;'111'!$N$11),"x","")</f>
        <v/>
      </c>
      <c r="Q1919" s="39" t="str">
        <f>IF(AND($M1919=$O$7,$B1919&lt;'111'!$N$11),"x","")</f>
        <v/>
      </c>
      <c r="R1919" s="39" t="str">
        <f>IF(ISERROR(FIND('112'!$M$9,G1919,1)),"",IF((AND(FIND('112'!$M$9,G1919,1)&gt;=1,$B1919&gt;='112'!$N$8,$B1919&lt;='112'!$O$8,OR($L1919='112'!$I$6,$M1919='112'!$I$6))),"x",""))</f>
        <v/>
      </c>
      <c r="S1919" s="39" t="str">
        <f>IF(ISERROR(FIND('112'!$M$9,G1919,1)),"",IF((AND(LEFT(G1919,2)=LEFT('112'!$M$9,2),B1919&lt;'112'!$N$8,$L1919='112'!$I$6)),"x",""))</f>
        <v/>
      </c>
      <c r="T1919" s="39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39" t="str">
        <f>IF(OR(TH!L1919=TH!$V$7,M1919=TH!$V$7),"x","")</f>
        <v/>
      </c>
      <c r="W1919" s="39" t="str">
        <f>IF(AND(B1919&gt;='IN-NX'!$P$3,B1919&lt;='IN-NX'!$Q$3,'IN-NX'!$D$7=D1919,OR(LEFT(L1919,2)="15",AND(LEFT(M1919,2)&lt;&gt;"15",LEFT(M1919,2)&lt;&gt;"33"))),"x","")</f>
        <v/>
      </c>
      <c r="X1919" s="39" t="str">
        <f>IF(AND(OR(LEFT(TH!L1919,2)="15",LEFT(TH!M1919,2)="15"),'152-CT'!$J$8=TH!F1919),"x","")</f>
        <v/>
      </c>
      <c r="Y1919" s="39" t="str">
        <f>IF(AND(OR(LEFT(TH!L1919,2)="15",LEFT(TH!M1919,2)="15"),TK!$E$7=TH!F1919),"x","")</f>
        <v/>
      </c>
      <c r="Z1919" s="39" t="str">
        <f>IF(AND(B1919&lt;=NKC!$N$8,B1919&gt;=NKC!$M$8),"x","")</f>
        <v>x</v>
      </c>
      <c r="AA1919" s="883"/>
    </row>
    <row r="1920" spans="1:27" s="211" customFormat="1" ht="15.75" customHeight="1">
      <c r="A1920" s="204" t="str">
        <f>IF(B1920&lt;&gt;"",IF(AND(B1920&gt;=_TM1,B1920&lt;=_TM2,OR(TH!L1920="1111",TH!M1920="1111")),TH!D1920,""),"")</f>
        <v/>
      </c>
      <c r="B1920" s="36">
        <f t="shared" si="473"/>
        <v>8</v>
      </c>
      <c r="C1920" s="191">
        <f t="shared" si="472"/>
        <v>41487</v>
      </c>
      <c r="D1920" s="37" t="s">
        <v>487</v>
      </c>
      <c r="E1920" s="191">
        <v>41487</v>
      </c>
      <c r="F1920" s="192" t="s">
        <v>865</v>
      </c>
      <c r="G1920" s="487" t="s">
        <v>891</v>
      </c>
      <c r="H1920" s="7" t="s">
        <v>1290</v>
      </c>
      <c r="I1920" s="256">
        <v>200</v>
      </c>
      <c r="J1920" s="256">
        <v>20664.656235579845</v>
      </c>
      <c r="K1920" s="602">
        <f t="shared" si="474"/>
        <v>4132931</v>
      </c>
      <c r="L1920" s="39" t="s">
        <v>173</v>
      </c>
      <c r="M1920" s="39" t="s">
        <v>167</v>
      </c>
      <c r="N1920" s="39" t="str">
        <f>IF(AND('331-CT'!$E$7=TH!H1920,OR(L1920="331",M1920="331")),"331",IF(AND(OR(L1920="131",M1920="131"),H1920='131-CT'!$E$7),"131",""))</f>
        <v/>
      </c>
      <c r="O1920" s="39" t="str">
        <f>IF(AND($B1920&gt;='111'!$N$11,$B1920&lt;='111'!$O$11,OR($L1920=$O$7,$M1920=$O$7)),"x","")</f>
        <v/>
      </c>
      <c r="P1920" s="39" t="str">
        <f>IF(AND($L1920=$O$7,$B1920&lt;'111'!$N$11),"x","")</f>
        <v/>
      </c>
      <c r="Q1920" s="39" t="str">
        <f>IF(AND($M1920=$O$7,$B1920&lt;'111'!$N$11),"x","")</f>
        <v/>
      </c>
      <c r="R1920" s="39" t="str">
        <f>IF(ISERROR(FIND('112'!$M$9,G1920,1)),"",IF((AND(FIND('112'!$M$9,G1920,1)&gt;=1,$B1920&gt;='112'!$N$8,$B1920&lt;='112'!$O$8,OR($L1920='112'!$I$6,$M1920='112'!$I$6))),"x",""))</f>
        <v/>
      </c>
      <c r="S1920" s="39" t="str">
        <f>IF(ISERROR(FIND('112'!$M$9,G1920,1)),"",IF((AND(LEFT(G1920,2)=LEFT('112'!$M$9,2),B1920&lt;'112'!$N$8,$L1920='112'!$I$6)),"x",""))</f>
        <v/>
      </c>
      <c r="T1920" s="39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39" t="str">
        <f>IF(OR(TH!L1920=TH!$V$7,M1920=TH!$V$7),"x","")</f>
        <v/>
      </c>
      <c r="W1920" s="39" t="str">
        <f>IF(AND(B1920&gt;='IN-NX'!$P$3,B1920&lt;='IN-NX'!$Q$3,'IN-NX'!$D$7=D1920,OR(LEFT(L1920,2)="15",AND(LEFT(M1920,2)&lt;&gt;"15",LEFT(M1920,2)&lt;&gt;"33"))),"x","")</f>
        <v/>
      </c>
      <c r="X1920" s="39" t="str">
        <f>IF(AND(OR(LEFT(TH!L1920,2)="15",LEFT(TH!M1920,2)="15"),'152-CT'!$J$8=TH!F1920),"x","")</f>
        <v/>
      </c>
      <c r="Y1920" s="39" t="str">
        <f>IF(AND(OR(LEFT(TH!L1920,2)="15",LEFT(TH!M1920,2)="15"),TK!$E$7=TH!F1920),"x","")</f>
        <v/>
      </c>
      <c r="Z1920" s="39" t="str">
        <f>IF(AND(B1920&lt;=NKC!$N$8,B1920&gt;=NKC!$M$8),"x","")</f>
        <v>x</v>
      </c>
      <c r="AA1920" s="883"/>
    </row>
    <row r="1921" spans="1:27" s="211" customFormat="1" ht="15.75" customHeight="1">
      <c r="A1921" s="204" t="str">
        <f>IF(B1921&lt;&gt;"",IF(AND(B1921&gt;=_TM1,B1921&lt;=_TM2,OR(TH!L1921="1111",TH!M1921="1111")),TH!D1921,""),"")</f>
        <v/>
      </c>
      <c r="B1921" s="36">
        <f t="shared" si="473"/>
        <v>8</v>
      </c>
      <c r="C1921" s="191">
        <f t="shared" si="472"/>
        <v>41488</v>
      </c>
      <c r="D1921" s="37" t="s">
        <v>487</v>
      </c>
      <c r="E1921" s="191">
        <v>41488</v>
      </c>
      <c r="F1921" s="192" t="s">
        <v>885</v>
      </c>
      <c r="G1921" s="487" t="s">
        <v>892</v>
      </c>
      <c r="H1921" s="7" t="s">
        <v>1290</v>
      </c>
      <c r="I1921" s="256">
        <v>510</v>
      </c>
      <c r="J1921" s="256">
        <v>7971.0668238151375</v>
      </c>
      <c r="K1921" s="602">
        <f t="shared" si="474"/>
        <v>4065244</v>
      </c>
      <c r="L1921" s="39" t="s">
        <v>173</v>
      </c>
      <c r="M1921" s="39" t="s">
        <v>167</v>
      </c>
      <c r="N1921" s="39" t="str">
        <f>IF(AND('331-CT'!$E$7=TH!H1921,OR(L1921="331",M1921="331")),"331",IF(AND(OR(L1921="131",M1921="131"),H1921='131-CT'!$E$7),"131",""))</f>
        <v/>
      </c>
      <c r="O1921" s="39" t="str">
        <f>IF(AND($B1921&gt;='111'!$N$11,$B1921&lt;='111'!$O$11,OR($L1921=$O$7,$M1921=$O$7)),"x","")</f>
        <v/>
      </c>
      <c r="P1921" s="39" t="str">
        <f>IF(AND($L1921=$O$7,$B1921&lt;'111'!$N$11),"x","")</f>
        <v/>
      </c>
      <c r="Q1921" s="39" t="str">
        <f>IF(AND($M1921=$O$7,$B1921&lt;'111'!$N$11),"x","")</f>
        <v/>
      </c>
      <c r="R1921" s="39" t="str">
        <f>IF(ISERROR(FIND('112'!$M$9,G1921,1)),"",IF((AND(FIND('112'!$M$9,G1921,1)&gt;=1,$B1921&gt;='112'!$N$8,$B1921&lt;='112'!$O$8,OR($L1921='112'!$I$6,$M1921='112'!$I$6))),"x",""))</f>
        <v/>
      </c>
      <c r="S1921" s="39" t="str">
        <f>IF(ISERROR(FIND('112'!$M$9,G1921,1)),"",IF((AND(LEFT(G1921,2)=LEFT('112'!$M$9,2),B1921&lt;'112'!$N$8,$L1921='112'!$I$6)),"x",""))</f>
        <v/>
      </c>
      <c r="T1921" s="39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39" t="str">
        <f>IF(OR(TH!L1921=TH!$V$7,M1921=TH!$V$7),"x","")</f>
        <v/>
      </c>
      <c r="W1921" s="39" t="str">
        <f>IF(AND(B1921&gt;='IN-NX'!$P$3,B1921&lt;='IN-NX'!$Q$3,'IN-NX'!$D$7=D1921,OR(LEFT(L1921,2)="15",AND(LEFT(M1921,2)&lt;&gt;"15",LEFT(M1921,2)&lt;&gt;"33"))),"x","")</f>
        <v/>
      </c>
      <c r="X1921" s="39" t="str">
        <f>IF(AND(OR(LEFT(TH!L1921,2)="15",LEFT(TH!M1921,2)="15"),'152-CT'!$J$8=TH!F1921),"x","")</f>
        <v/>
      </c>
      <c r="Y1921" s="39" t="str">
        <f>IF(AND(OR(LEFT(TH!L1921,2)="15",LEFT(TH!M1921,2)="15"),TK!$E$7=TH!F1921),"x","")</f>
        <v/>
      </c>
      <c r="Z1921" s="39" t="str">
        <f>IF(AND(B1921&lt;=NKC!$N$8,B1921&gt;=NKC!$M$8),"x","")</f>
        <v>x</v>
      </c>
      <c r="AA1921" s="883"/>
    </row>
    <row r="1922" spans="1:27" s="211" customFormat="1" ht="15.75" customHeight="1">
      <c r="A1922" s="204" t="str">
        <f>IF(B1922&lt;&gt;"",IF(AND(B1922&gt;=_TM1,B1922&lt;=_TM2,OR(TH!L1922="1111",TH!M1922="1111")),TH!D1922,""),"")</f>
        <v/>
      </c>
      <c r="B1922" s="36">
        <f t="shared" si="473"/>
        <v>8</v>
      </c>
      <c r="C1922" s="191">
        <f t="shared" si="472"/>
        <v>41488</v>
      </c>
      <c r="D1922" s="37" t="s">
        <v>487</v>
      </c>
      <c r="E1922" s="191">
        <v>41488</v>
      </c>
      <c r="F1922" s="192" t="s">
        <v>1147</v>
      </c>
      <c r="G1922" s="487" t="s">
        <v>893</v>
      </c>
      <c r="H1922" s="7" t="s">
        <v>1290</v>
      </c>
      <c r="I1922" s="256">
        <v>2813</v>
      </c>
      <c r="J1922" s="256">
        <v>4074.1191648368626</v>
      </c>
      <c r="K1922" s="602">
        <f t="shared" si="474"/>
        <v>11460497</v>
      </c>
      <c r="L1922" s="39" t="s">
        <v>173</v>
      </c>
      <c r="M1922" s="39" t="s">
        <v>167</v>
      </c>
      <c r="N1922" s="39" t="str">
        <f>IF(AND('331-CT'!$E$7=TH!H1922,OR(L1922="331",M1922="331")),"331",IF(AND(OR(L1922="131",M1922="131"),H1922='131-CT'!$E$7),"131",""))</f>
        <v/>
      </c>
      <c r="O1922" s="39" t="str">
        <f>IF(AND($B1922&gt;='111'!$N$11,$B1922&lt;='111'!$O$11,OR($L1922=$O$7,$M1922=$O$7)),"x","")</f>
        <v/>
      </c>
      <c r="P1922" s="39" t="str">
        <f>IF(AND($L1922=$O$7,$B1922&lt;'111'!$N$11),"x","")</f>
        <v/>
      </c>
      <c r="Q1922" s="39" t="str">
        <f>IF(AND($M1922=$O$7,$B1922&lt;'111'!$N$11),"x","")</f>
        <v/>
      </c>
      <c r="R1922" s="39" t="str">
        <f>IF(ISERROR(FIND('112'!$M$9,G1922,1)),"",IF((AND(FIND('112'!$M$9,G1922,1)&gt;=1,$B1922&gt;='112'!$N$8,$B1922&lt;='112'!$O$8,OR($L1922='112'!$I$6,$M1922='112'!$I$6))),"x",""))</f>
        <v/>
      </c>
      <c r="S1922" s="39" t="str">
        <f>IF(ISERROR(FIND('112'!$M$9,G1922,1)),"",IF((AND(LEFT(G1922,2)=LEFT('112'!$M$9,2),B1922&lt;'112'!$N$8,$L1922='112'!$I$6)),"x",""))</f>
        <v/>
      </c>
      <c r="T1922" s="39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39" t="str">
        <f>IF(OR(TH!L1922=TH!$V$7,M1922=TH!$V$7),"x","")</f>
        <v/>
      </c>
      <c r="W1922" s="39" t="str">
        <f>IF(AND(B1922&gt;='IN-NX'!$P$3,B1922&lt;='IN-NX'!$Q$3,'IN-NX'!$D$7=D1922,OR(LEFT(L1922,2)="15",AND(LEFT(M1922,2)&lt;&gt;"15",LEFT(M1922,2)&lt;&gt;"33"))),"x","")</f>
        <v/>
      </c>
      <c r="X1922" s="39" t="str">
        <f>IF(AND(OR(LEFT(TH!L1922,2)="15",LEFT(TH!M1922,2)="15"),'152-CT'!$J$8=TH!F1922),"x","")</f>
        <v/>
      </c>
      <c r="Y1922" s="39" t="str">
        <f>IF(AND(OR(LEFT(TH!L1922,2)="15",LEFT(TH!M1922,2)="15"),TK!$E$7=TH!F1922),"x","")</f>
        <v/>
      </c>
      <c r="Z1922" s="39" t="str">
        <f>IF(AND(B1922&lt;=NKC!$N$8,B1922&gt;=NKC!$M$8),"x","")</f>
        <v>x</v>
      </c>
      <c r="AA1922" s="883"/>
    </row>
    <row r="1923" spans="1:27" s="211" customFormat="1" ht="15.75" customHeight="1">
      <c r="A1923" s="204" t="str">
        <f>IF(B1923&lt;&gt;"",IF(AND(B1923&gt;=_TM1,B1923&lt;=_TM2,OR(TH!L1923="1111",TH!M1923="1111")),TH!D1923,""),"")</f>
        <v/>
      </c>
      <c r="B1923" s="36">
        <f t="shared" si="473"/>
        <v>8</v>
      </c>
      <c r="C1923" s="191">
        <f t="shared" si="472"/>
        <v>41489</v>
      </c>
      <c r="D1923" s="37" t="s">
        <v>487</v>
      </c>
      <c r="E1923" s="191">
        <v>41489</v>
      </c>
      <c r="F1923" s="192" t="s">
        <v>1147</v>
      </c>
      <c r="G1923" s="487" t="s">
        <v>895</v>
      </c>
      <c r="H1923" s="7" t="s">
        <v>1290</v>
      </c>
      <c r="I1923" s="256">
        <v>2805</v>
      </c>
      <c r="J1923" s="256">
        <v>4076.488570695707</v>
      </c>
      <c r="K1923" s="602">
        <f t="shared" si="474"/>
        <v>11434550</v>
      </c>
      <c r="L1923" s="39" t="s">
        <v>173</v>
      </c>
      <c r="M1923" s="39" t="s">
        <v>167</v>
      </c>
      <c r="N1923" s="39" t="str">
        <f>IF(AND('331-CT'!$E$7=TH!H1923,OR(L1923="331",M1923="331")),"331",IF(AND(OR(L1923="131",M1923="131"),H1923='131-CT'!$E$7),"131",""))</f>
        <v/>
      </c>
      <c r="O1923" s="39" t="str">
        <f>IF(AND($B1923&gt;='111'!$N$11,$B1923&lt;='111'!$O$11,OR($L1923=$O$7,$M1923=$O$7)),"x","")</f>
        <v/>
      </c>
      <c r="P1923" s="39" t="str">
        <f>IF(AND($L1923=$O$7,$B1923&lt;'111'!$N$11),"x","")</f>
        <v/>
      </c>
      <c r="Q1923" s="39" t="str">
        <f>IF(AND($M1923=$O$7,$B1923&lt;'111'!$N$11),"x","")</f>
        <v/>
      </c>
      <c r="R1923" s="39" t="str">
        <f>IF(ISERROR(FIND('112'!$M$9,G1923,1)),"",IF((AND(FIND('112'!$M$9,G1923,1)&gt;=1,$B1923&gt;='112'!$N$8,$B1923&lt;='112'!$O$8,OR($L1923='112'!$I$6,$M1923='112'!$I$6))),"x",""))</f>
        <v/>
      </c>
      <c r="S1923" s="39" t="str">
        <f>IF(ISERROR(FIND('112'!$M$9,G1923,1)),"",IF((AND(LEFT(G1923,2)=LEFT('112'!$M$9,2),B1923&lt;'112'!$N$8,$L1923='112'!$I$6)),"x",""))</f>
        <v/>
      </c>
      <c r="T1923" s="39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39" t="str">
        <f>IF(OR(TH!L1923=TH!$V$7,M1923=TH!$V$7),"x","")</f>
        <v/>
      </c>
      <c r="W1923" s="39" t="str">
        <f>IF(AND(B1923&gt;='IN-NX'!$P$3,B1923&lt;='IN-NX'!$Q$3,'IN-NX'!$D$7=D1923,OR(LEFT(L1923,2)="15",AND(LEFT(M1923,2)&lt;&gt;"15",LEFT(M1923,2)&lt;&gt;"33"))),"x","")</f>
        <v/>
      </c>
      <c r="X1923" s="39" t="str">
        <f>IF(AND(OR(LEFT(TH!L1923,2)="15",LEFT(TH!M1923,2)="15"),'152-CT'!$J$8=TH!F1923),"x","")</f>
        <v/>
      </c>
      <c r="Y1923" s="39" t="str">
        <f>IF(AND(OR(LEFT(TH!L1923,2)="15",LEFT(TH!M1923,2)="15"),TK!$E$7=TH!F1923),"x","")</f>
        <v/>
      </c>
      <c r="Z1923" s="39" t="str">
        <f>IF(AND(B1923&lt;=NKC!$N$8,B1923&gt;=NKC!$M$8),"x","")</f>
        <v>x</v>
      </c>
      <c r="AA1923" s="883"/>
    </row>
    <row r="1924" spans="1:27" s="211" customFormat="1" ht="15.75" customHeight="1">
      <c r="A1924" s="204" t="str">
        <f>IF(B1924&lt;&gt;"",IF(AND(B1924&gt;=_TM1,B1924&lt;=_TM2,OR(TH!L1924="1111",TH!M1924="1111")),TH!D1924,""),"")</f>
        <v/>
      </c>
      <c r="B1924" s="36">
        <f t="shared" si="473"/>
        <v>8</v>
      </c>
      <c r="C1924" s="191">
        <f t="shared" si="472"/>
        <v>41492</v>
      </c>
      <c r="D1924" s="37" t="s">
        <v>487</v>
      </c>
      <c r="E1924" s="37">
        <v>41492</v>
      </c>
      <c r="F1924" s="40" t="s">
        <v>1147</v>
      </c>
      <c r="G1924" s="40" t="s">
        <v>896</v>
      </c>
      <c r="H1924" s="7" t="s">
        <v>1290</v>
      </c>
      <c r="I1924" s="256">
        <v>2829</v>
      </c>
      <c r="J1924" s="256">
        <v>4076.4583776795243</v>
      </c>
      <c r="K1924" s="602">
        <f t="shared" si="474"/>
        <v>11532301</v>
      </c>
      <c r="L1924" s="39" t="s">
        <v>173</v>
      </c>
      <c r="M1924" s="39" t="s">
        <v>167</v>
      </c>
      <c r="N1924" s="39" t="str">
        <f>IF(AND('331-CT'!$E$7=TH!H1924,OR(L1924="331",M1924="331")),"331",IF(AND(OR(L1924="131",M1924="131"),H1924='131-CT'!$E$7),"131",""))</f>
        <v/>
      </c>
      <c r="O1924" s="39" t="str">
        <f>IF(AND($B1924&gt;='111'!$N$11,$B1924&lt;='111'!$O$11,OR($L1924=$O$7,$M1924=$O$7)),"x","")</f>
        <v/>
      </c>
      <c r="P1924" s="39" t="str">
        <f>IF(AND($L1924=$O$7,$B1924&lt;'111'!$N$11),"x","")</f>
        <v/>
      </c>
      <c r="Q1924" s="39" t="str">
        <f>IF(AND($M1924=$O$7,$B1924&lt;'111'!$N$11),"x","")</f>
        <v/>
      </c>
      <c r="R1924" s="39" t="str">
        <f>IF(ISERROR(FIND('112'!$M$9,G1924,1)),"",IF((AND(FIND('112'!$M$9,G1924,1)&gt;=1,$B1924&gt;='112'!$N$8,$B1924&lt;='112'!$O$8,OR($L1924='112'!$I$6,$M1924='112'!$I$6))),"x",""))</f>
        <v/>
      </c>
      <c r="S1924" s="39" t="str">
        <f>IF(ISERROR(FIND('112'!$M$9,G1924,1)),"",IF((AND(LEFT(G1924,2)=LEFT('112'!$M$9,2),B1924&lt;'112'!$N$8,$L1924='112'!$I$6)),"x",""))</f>
        <v/>
      </c>
      <c r="T1924" s="39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39" t="str">
        <f>IF(OR(TH!L1924=TH!$V$7,M1924=TH!$V$7),"x","")</f>
        <v/>
      </c>
      <c r="W1924" s="39" t="str">
        <f>IF(AND(B1924&gt;='IN-NX'!$P$3,B1924&lt;='IN-NX'!$Q$3,'IN-NX'!$D$7=D1924,OR(LEFT(L1924,2)="15",AND(LEFT(M1924,2)&lt;&gt;"15",LEFT(M1924,2)&lt;&gt;"33"))),"x","")</f>
        <v/>
      </c>
      <c r="X1924" s="39" t="str">
        <f>IF(AND(OR(LEFT(TH!L1924,2)="15",LEFT(TH!M1924,2)="15"),'152-CT'!$J$8=TH!F1924),"x","")</f>
        <v/>
      </c>
      <c r="Y1924" s="39" t="str">
        <f>IF(AND(OR(LEFT(TH!L1924,2)="15",LEFT(TH!M1924,2)="15"),TK!$E$7=TH!F1924),"x","")</f>
        <v/>
      </c>
      <c r="Z1924" s="39" t="str">
        <f>IF(AND(B1924&lt;=NKC!$N$8,B1924&gt;=NKC!$M$8),"x","")</f>
        <v>x</v>
      </c>
      <c r="AA1924" s="883"/>
    </row>
    <row r="1925" spans="1:27" s="211" customFormat="1" ht="15.75" customHeight="1">
      <c r="A1925" s="204" t="str">
        <f>IF(B1925&lt;&gt;"",IF(AND(B1925&gt;=_TM1,B1925&lt;=_TM2,OR(TH!L1925="1111",TH!M1925="1111")),TH!D1925,""),"")</f>
        <v/>
      </c>
      <c r="B1925" s="36">
        <f t="shared" si="473"/>
        <v>8</v>
      </c>
      <c r="C1925" s="191">
        <f t="shared" si="472"/>
        <v>41492</v>
      </c>
      <c r="D1925" s="37" t="s">
        <v>487</v>
      </c>
      <c r="E1925" s="37">
        <v>41492</v>
      </c>
      <c r="F1925" s="40" t="s">
        <v>897</v>
      </c>
      <c r="G1925" s="40" t="s">
        <v>898</v>
      </c>
      <c r="H1925" s="7" t="s">
        <v>1290</v>
      </c>
      <c r="I1925" s="256">
        <v>1010</v>
      </c>
      <c r="J1925" s="256">
        <v>6615.596235579842</v>
      </c>
      <c r="K1925" s="602">
        <f t="shared" si="474"/>
        <v>6681752</v>
      </c>
      <c r="L1925" s="39" t="s">
        <v>173</v>
      </c>
      <c r="M1925" s="39" t="s">
        <v>167</v>
      </c>
      <c r="N1925" s="39" t="str">
        <f>IF(AND('331-CT'!$E$7=TH!H1925,OR(L1925="331",M1925="331")),"331",IF(AND(OR(L1925="131",M1925="131"),H1925='131-CT'!$E$7),"131",""))</f>
        <v/>
      </c>
      <c r="O1925" s="39" t="str">
        <f>IF(AND($B1925&gt;='111'!$N$11,$B1925&lt;='111'!$O$11,OR($L1925=$O$7,$M1925=$O$7)),"x","")</f>
        <v/>
      </c>
      <c r="P1925" s="39" t="str">
        <f>IF(AND($L1925=$O$7,$B1925&lt;'111'!$N$11),"x","")</f>
        <v/>
      </c>
      <c r="Q1925" s="39" t="str">
        <f>IF(AND($M1925=$O$7,$B1925&lt;'111'!$N$11),"x","")</f>
        <v/>
      </c>
      <c r="R1925" s="39" t="str">
        <f>IF(ISERROR(FIND('112'!$M$9,G1925,1)),"",IF((AND(FIND('112'!$M$9,G1925,1)&gt;=1,$B1925&gt;='112'!$N$8,$B1925&lt;='112'!$O$8,OR($L1925='112'!$I$6,$M1925='112'!$I$6))),"x",""))</f>
        <v/>
      </c>
      <c r="S1925" s="39" t="str">
        <f>IF(ISERROR(FIND('112'!$M$9,G1925,1)),"",IF((AND(LEFT(G1925,2)=LEFT('112'!$M$9,2),B1925&lt;'112'!$N$8,$L1925='112'!$I$6)),"x",""))</f>
        <v/>
      </c>
      <c r="T1925" s="39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39" t="str">
        <f>IF(OR(TH!L1925=TH!$V$7,M1925=TH!$V$7),"x","")</f>
        <v/>
      </c>
      <c r="W1925" s="39" t="str">
        <f>IF(AND(B1925&gt;='IN-NX'!$P$3,B1925&lt;='IN-NX'!$Q$3,'IN-NX'!$D$7=D1925,OR(LEFT(L1925,2)="15",AND(LEFT(M1925,2)&lt;&gt;"15",LEFT(M1925,2)&lt;&gt;"33"))),"x","")</f>
        <v/>
      </c>
      <c r="X1925" s="39" t="str">
        <f>IF(AND(OR(LEFT(TH!L1925,2)="15",LEFT(TH!M1925,2)="15"),'152-CT'!$J$8=TH!F1925),"x","")</f>
        <v/>
      </c>
      <c r="Y1925" s="39" t="str">
        <f>IF(AND(OR(LEFT(TH!L1925,2)="15",LEFT(TH!M1925,2)="15"),TK!$E$7=TH!F1925),"x","")</f>
        <v/>
      </c>
      <c r="Z1925" s="39" t="str">
        <f>IF(AND(B1925&lt;=NKC!$N$8,B1925&gt;=NKC!$M$8),"x","")</f>
        <v>x</v>
      </c>
      <c r="AA1925" s="883"/>
    </row>
    <row r="1926" spans="1:27" s="211" customFormat="1" ht="15.75" customHeight="1">
      <c r="A1926" s="204" t="str">
        <f>IF(B1926&lt;&gt;"",IF(AND(B1926&gt;=_TM1,B1926&lt;=_TM2,OR(TH!L1926="1111",TH!M1926="1111")),TH!D1926,""),"")</f>
        <v/>
      </c>
      <c r="B1926" s="36">
        <f t="shared" si="473"/>
        <v>8</v>
      </c>
      <c r="C1926" s="191">
        <f t="shared" si="472"/>
        <v>41492</v>
      </c>
      <c r="D1926" s="37" t="s">
        <v>487</v>
      </c>
      <c r="E1926" s="37">
        <v>41492</v>
      </c>
      <c r="F1926" s="40" t="s">
        <v>1136</v>
      </c>
      <c r="G1926" s="40" t="s">
        <v>898</v>
      </c>
      <c r="H1926" s="7" t="s">
        <v>1290</v>
      </c>
      <c r="I1926" s="256">
        <v>960</v>
      </c>
      <c r="J1926" s="256">
        <v>4008.3462355798424</v>
      </c>
      <c r="K1926" s="602">
        <f t="shared" si="474"/>
        <v>3848012</v>
      </c>
      <c r="L1926" s="39" t="s">
        <v>173</v>
      </c>
      <c r="M1926" s="39" t="s">
        <v>167</v>
      </c>
      <c r="N1926" s="39" t="str">
        <f>IF(AND('331-CT'!$E$7=TH!H1926,OR(L1926="331",M1926="331")),"331",IF(AND(OR(L1926="131",M1926="131"),H1926='131-CT'!$E$7),"131",""))</f>
        <v/>
      </c>
      <c r="O1926" s="39" t="str">
        <f>IF(AND($B1926&gt;='111'!$N$11,$B1926&lt;='111'!$O$11,OR($L1926=$O$7,$M1926=$O$7)),"x","")</f>
        <v/>
      </c>
      <c r="P1926" s="39" t="str">
        <f>IF(AND($L1926=$O$7,$B1926&lt;'111'!$N$11),"x","")</f>
        <v/>
      </c>
      <c r="Q1926" s="39" t="str">
        <f>IF(AND($M1926=$O$7,$B1926&lt;'111'!$N$11),"x","")</f>
        <v/>
      </c>
      <c r="R1926" s="39" t="str">
        <f>IF(ISERROR(FIND('112'!$M$9,G1926,1)),"",IF((AND(FIND('112'!$M$9,G1926,1)&gt;=1,$B1926&gt;='112'!$N$8,$B1926&lt;='112'!$O$8,OR($L1926='112'!$I$6,$M1926='112'!$I$6))),"x",""))</f>
        <v/>
      </c>
      <c r="S1926" s="39" t="str">
        <f>IF(ISERROR(FIND('112'!$M$9,G1926,1)),"",IF((AND(LEFT(G1926,2)=LEFT('112'!$M$9,2),B1926&lt;'112'!$N$8,$L1926='112'!$I$6)),"x",""))</f>
        <v/>
      </c>
      <c r="T1926" s="39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39" t="str">
        <f>IF(OR(TH!L1926=TH!$V$7,M1926=TH!$V$7),"x","")</f>
        <v/>
      </c>
      <c r="W1926" s="39" t="str">
        <f>IF(AND(B1926&gt;='IN-NX'!$P$3,B1926&lt;='IN-NX'!$Q$3,'IN-NX'!$D$7=D1926,OR(LEFT(L1926,2)="15",AND(LEFT(M1926,2)&lt;&gt;"15",LEFT(M1926,2)&lt;&gt;"33"))),"x","")</f>
        <v/>
      </c>
      <c r="X1926" s="39" t="str">
        <f>IF(AND(OR(LEFT(TH!L1926,2)="15",LEFT(TH!M1926,2)="15"),'152-CT'!$J$8=TH!F1926),"x","")</f>
        <v/>
      </c>
      <c r="Y1926" s="39" t="str">
        <f>IF(AND(OR(LEFT(TH!L1926,2)="15",LEFT(TH!M1926,2)="15"),TK!$E$7=TH!F1926),"x","")</f>
        <v/>
      </c>
      <c r="Z1926" s="39" t="str">
        <f>IF(AND(B1926&lt;=NKC!$N$8,B1926&gt;=NKC!$M$8),"x","")</f>
        <v>x</v>
      </c>
      <c r="AA1926" s="883"/>
    </row>
    <row r="1927" spans="1:27" s="211" customFormat="1" ht="15.75" customHeight="1">
      <c r="A1927" s="204" t="str">
        <f>IF(B1927&lt;&gt;"",IF(AND(B1927&gt;=_TM1,B1927&lt;=_TM2,OR(TH!L1927="1111",TH!M1927="1111")),TH!D1927,""),"")</f>
        <v/>
      </c>
      <c r="B1927" s="36">
        <f t="shared" si="473"/>
        <v>8</v>
      </c>
      <c r="C1927" s="191">
        <f t="shared" si="472"/>
        <v>41492</v>
      </c>
      <c r="D1927" s="37" t="s">
        <v>487</v>
      </c>
      <c r="E1927" s="37">
        <v>41492</v>
      </c>
      <c r="F1927" s="40" t="s">
        <v>723</v>
      </c>
      <c r="G1927" s="40" t="s">
        <v>899</v>
      </c>
      <c r="H1927" s="7" t="s">
        <v>1290</v>
      </c>
      <c r="I1927" s="256">
        <v>1307</v>
      </c>
      <c r="J1927" s="256">
        <v>4949.5082478216164</v>
      </c>
      <c r="K1927" s="602">
        <f t="shared" si="474"/>
        <v>6469007</v>
      </c>
      <c r="L1927" s="39" t="s">
        <v>173</v>
      </c>
      <c r="M1927" s="39" t="s">
        <v>167</v>
      </c>
      <c r="N1927" s="39" t="str">
        <f>IF(AND('331-CT'!$E$7=TH!H1927,OR(L1927="331",M1927="331")),"331",IF(AND(OR(L1927="131",M1927="131"),H1927='131-CT'!$E$7),"131",""))</f>
        <v/>
      </c>
      <c r="O1927" s="39" t="str">
        <f>IF(AND($B1927&gt;='111'!$N$11,$B1927&lt;='111'!$O$11,OR($L1927=$O$7,$M1927=$O$7)),"x","")</f>
        <v/>
      </c>
      <c r="P1927" s="39" t="str">
        <f>IF(AND($L1927=$O$7,$B1927&lt;'111'!$N$11),"x","")</f>
        <v/>
      </c>
      <c r="Q1927" s="39" t="str">
        <f>IF(AND($M1927=$O$7,$B1927&lt;'111'!$N$11),"x","")</f>
        <v/>
      </c>
      <c r="R1927" s="39" t="str">
        <f>IF(ISERROR(FIND('112'!$M$9,G1927,1)),"",IF((AND(FIND('112'!$M$9,G1927,1)&gt;=1,$B1927&gt;='112'!$N$8,$B1927&lt;='112'!$O$8,OR($L1927='112'!$I$6,$M1927='112'!$I$6))),"x",""))</f>
        <v/>
      </c>
      <c r="S1927" s="39" t="str">
        <f>IF(ISERROR(FIND('112'!$M$9,G1927,1)),"",IF((AND(LEFT(G1927,2)=LEFT('112'!$M$9,2),B1927&lt;'112'!$N$8,$L1927='112'!$I$6)),"x",""))</f>
        <v/>
      </c>
      <c r="T1927" s="39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39" t="str">
        <f>IF(OR(TH!L1927=TH!$V$7,M1927=TH!$V$7),"x","")</f>
        <v/>
      </c>
      <c r="W1927" s="39" t="str">
        <f>IF(AND(B1927&gt;='IN-NX'!$P$3,B1927&lt;='IN-NX'!$Q$3,'IN-NX'!$D$7=D1927,OR(LEFT(L1927,2)="15",AND(LEFT(M1927,2)&lt;&gt;"15",LEFT(M1927,2)&lt;&gt;"33"))),"x","")</f>
        <v/>
      </c>
      <c r="X1927" s="39" t="str">
        <f>IF(AND(OR(LEFT(TH!L1927,2)="15",LEFT(TH!M1927,2)="15"),'152-CT'!$J$8=TH!F1927),"x","")</f>
        <v/>
      </c>
      <c r="Y1927" s="39" t="str">
        <f>IF(AND(OR(LEFT(TH!L1927,2)="15",LEFT(TH!M1927,2)="15"),TK!$E$7=TH!F1927),"x","")</f>
        <v/>
      </c>
      <c r="Z1927" s="39" t="str">
        <f>IF(AND(B1927&lt;=NKC!$N$8,B1927&gt;=NKC!$M$8),"x","")</f>
        <v>x</v>
      </c>
      <c r="AA1927" s="883"/>
    </row>
    <row r="1928" spans="1:27" s="211" customFormat="1" ht="15.75" customHeight="1">
      <c r="A1928" s="204" t="str">
        <f>IF(B1928&lt;&gt;"",IF(AND(B1928&gt;=_TM1,B1928&lt;=_TM2,OR(TH!L1928="1111",TH!M1928="1111")),TH!D1928,""),"")</f>
        <v/>
      </c>
      <c r="B1928" s="36">
        <f t="shared" si="473"/>
        <v>8</v>
      </c>
      <c r="C1928" s="191">
        <f t="shared" si="472"/>
        <v>41492</v>
      </c>
      <c r="D1928" s="37" t="s">
        <v>487</v>
      </c>
      <c r="E1928" s="37">
        <v>41492</v>
      </c>
      <c r="F1928" s="40" t="s">
        <v>869</v>
      </c>
      <c r="G1928" s="40" t="s">
        <v>899</v>
      </c>
      <c r="H1928" s="7" t="s">
        <v>1290</v>
      </c>
      <c r="I1928" s="256">
        <v>623</v>
      </c>
      <c r="J1928" s="256">
        <v>9425.9606015509489</v>
      </c>
      <c r="K1928" s="602">
        <f t="shared" si="474"/>
        <v>5872373</v>
      </c>
      <c r="L1928" s="39" t="s">
        <v>173</v>
      </c>
      <c r="M1928" s="39" t="s">
        <v>167</v>
      </c>
      <c r="N1928" s="39" t="str">
        <f>IF(AND('331-CT'!$E$7=TH!H1928,OR(L1928="331",M1928="331")),"331",IF(AND(OR(L1928="131",M1928="131"),H1928='131-CT'!$E$7),"131",""))</f>
        <v/>
      </c>
      <c r="O1928" s="39" t="str">
        <f>IF(AND($B1928&gt;='111'!$N$11,$B1928&lt;='111'!$O$11,OR($L1928=$O$7,$M1928=$O$7)),"x","")</f>
        <v/>
      </c>
      <c r="P1928" s="39" t="str">
        <f>IF(AND($L1928=$O$7,$B1928&lt;'111'!$N$11),"x","")</f>
        <v/>
      </c>
      <c r="Q1928" s="39" t="str">
        <f>IF(AND($M1928=$O$7,$B1928&lt;'111'!$N$11),"x","")</f>
        <v/>
      </c>
      <c r="R1928" s="39" t="str">
        <f>IF(ISERROR(FIND('112'!$M$9,G1928,1)),"",IF((AND(FIND('112'!$M$9,G1928,1)&gt;=1,$B1928&gt;='112'!$N$8,$B1928&lt;='112'!$O$8,OR($L1928='112'!$I$6,$M1928='112'!$I$6))),"x",""))</f>
        <v/>
      </c>
      <c r="S1928" s="39" t="str">
        <f>IF(ISERROR(FIND('112'!$M$9,G1928,1)),"",IF((AND(LEFT(G1928,2)=LEFT('112'!$M$9,2),B1928&lt;'112'!$N$8,$L1928='112'!$I$6)),"x",""))</f>
        <v/>
      </c>
      <c r="T1928" s="39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39" t="str">
        <f>IF(OR(TH!L1928=TH!$V$7,M1928=TH!$V$7),"x","")</f>
        <v/>
      </c>
      <c r="W1928" s="39" t="str">
        <f>IF(AND(B1928&gt;='IN-NX'!$P$3,B1928&lt;='IN-NX'!$Q$3,'IN-NX'!$D$7=D1928,OR(LEFT(L1928,2)="15",AND(LEFT(M1928,2)&lt;&gt;"15",LEFT(M1928,2)&lt;&gt;"33"))),"x","")</f>
        <v/>
      </c>
      <c r="X1928" s="39" t="str">
        <f>IF(AND(OR(LEFT(TH!L1928,2)="15",LEFT(TH!M1928,2)="15"),'152-CT'!$J$8=TH!F1928),"x","")</f>
        <v/>
      </c>
      <c r="Y1928" s="39" t="str">
        <f>IF(AND(OR(LEFT(TH!L1928,2)="15",LEFT(TH!M1928,2)="15"),TK!$E$7=TH!F1928),"x","")</f>
        <v/>
      </c>
      <c r="Z1928" s="39" t="str">
        <f>IF(AND(B1928&lt;=NKC!$N$8,B1928&gt;=NKC!$M$8),"x","")</f>
        <v>x</v>
      </c>
      <c r="AA1928" s="883"/>
    </row>
    <row r="1929" spans="1:27" s="211" customFormat="1" ht="15.75" customHeight="1">
      <c r="A1929" s="204" t="str">
        <f>IF(B1929&lt;&gt;"",IF(AND(B1929&gt;=_TM1,B1929&lt;=_TM2,OR(TH!L1929="1111",TH!M1929="1111")),TH!D1929,""),"")</f>
        <v/>
      </c>
      <c r="B1929" s="36">
        <f t="shared" si="473"/>
        <v>8</v>
      </c>
      <c r="C1929" s="191">
        <f t="shared" si="472"/>
        <v>41495</v>
      </c>
      <c r="D1929" s="37" t="s">
        <v>487</v>
      </c>
      <c r="E1929" s="37">
        <v>41495</v>
      </c>
      <c r="F1929" s="40" t="s">
        <v>836</v>
      </c>
      <c r="G1929" s="40" t="s">
        <v>900</v>
      </c>
      <c r="H1929" s="7" t="s">
        <v>1290</v>
      </c>
      <c r="I1929" s="256">
        <v>1000</v>
      </c>
      <c r="J1929" s="256">
        <v>9217.0142355798434</v>
      </c>
      <c r="K1929" s="602">
        <f t="shared" si="474"/>
        <v>9217014</v>
      </c>
      <c r="L1929" s="39" t="s">
        <v>173</v>
      </c>
      <c r="M1929" s="39" t="s">
        <v>167</v>
      </c>
      <c r="N1929" s="39" t="str">
        <f>IF(AND('331-CT'!$E$7=TH!H1929,OR(L1929="331",M1929="331")),"331",IF(AND(OR(L1929="131",M1929="131"),H1929='131-CT'!$E$7),"131",""))</f>
        <v/>
      </c>
      <c r="O1929" s="39" t="str">
        <f>IF(AND($B1929&gt;='111'!$N$11,$B1929&lt;='111'!$O$11,OR($L1929=$O$7,$M1929=$O$7)),"x","")</f>
        <v/>
      </c>
      <c r="P1929" s="39" t="str">
        <f>IF(AND($L1929=$O$7,$B1929&lt;'111'!$N$11),"x","")</f>
        <v/>
      </c>
      <c r="Q1929" s="39" t="str">
        <f>IF(AND($M1929=$O$7,$B1929&lt;'111'!$N$11),"x","")</f>
        <v/>
      </c>
      <c r="R1929" s="39" t="str">
        <f>IF(ISERROR(FIND('112'!$M$9,G1929,1)),"",IF((AND(FIND('112'!$M$9,G1929,1)&gt;=1,$B1929&gt;='112'!$N$8,$B1929&lt;='112'!$O$8,OR($L1929='112'!$I$6,$M1929='112'!$I$6))),"x",""))</f>
        <v/>
      </c>
      <c r="S1929" s="39" t="str">
        <f>IF(ISERROR(FIND('112'!$M$9,G1929,1)),"",IF((AND(LEFT(G1929,2)=LEFT('112'!$M$9,2),B1929&lt;'112'!$N$8,$L1929='112'!$I$6)),"x",""))</f>
        <v/>
      </c>
      <c r="T1929" s="39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39" t="str">
        <f>IF(OR(TH!L1929=TH!$V$7,M1929=TH!$V$7),"x","")</f>
        <v/>
      </c>
      <c r="W1929" s="39" t="str">
        <f>IF(AND(B1929&gt;='IN-NX'!$P$3,B1929&lt;='IN-NX'!$Q$3,'IN-NX'!$D$7=D1929,OR(LEFT(L1929,2)="15",AND(LEFT(M1929,2)&lt;&gt;"15",LEFT(M1929,2)&lt;&gt;"33"))),"x","")</f>
        <v/>
      </c>
      <c r="X1929" s="39" t="str">
        <f>IF(AND(OR(LEFT(TH!L1929,2)="15",LEFT(TH!M1929,2)="15"),'152-CT'!$J$8=TH!F1929),"x","")</f>
        <v/>
      </c>
      <c r="Y1929" s="39" t="str">
        <f>IF(AND(OR(LEFT(TH!L1929,2)="15",LEFT(TH!M1929,2)="15"),TK!$E$7=TH!F1929),"x","")</f>
        <v/>
      </c>
      <c r="Z1929" s="39" t="str">
        <f>IF(AND(B1929&lt;=NKC!$N$8,B1929&gt;=NKC!$M$8),"x","")</f>
        <v>x</v>
      </c>
      <c r="AA1929" s="883"/>
    </row>
    <row r="1930" spans="1:27" s="211" customFormat="1" ht="15.75" customHeight="1">
      <c r="A1930" s="204" t="str">
        <f>IF(B1930&lt;&gt;"",IF(AND(B1930&gt;=_TM1,B1930&lt;=_TM2,OR(TH!L1930="1111",TH!M1930="1111")),TH!D1930,""),"")</f>
        <v/>
      </c>
      <c r="B1930" s="36">
        <f t="shared" si="473"/>
        <v>8</v>
      </c>
      <c r="C1930" s="191">
        <f t="shared" si="472"/>
        <v>41495</v>
      </c>
      <c r="D1930" s="37" t="s">
        <v>487</v>
      </c>
      <c r="E1930" s="37">
        <v>41495</v>
      </c>
      <c r="F1930" s="40" t="s">
        <v>1147</v>
      </c>
      <c r="G1930" s="40" t="s">
        <v>901</v>
      </c>
      <c r="H1930" s="7" t="s">
        <v>1290</v>
      </c>
      <c r="I1930" s="256">
        <v>2730</v>
      </c>
      <c r="J1930" s="256">
        <v>4072.9394590230659</v>
      </c>
      <c r="K1930" s="602">
        <f t="shared" si="474"/>
        <v>11119125</v>
      </c>
      <c r="L1930" s="39" t="s">
        <v>173</v>
      </c>
      <c r="M1930" s="39" t="s">
        <v>167</v>
      </c>
      <c r="N1930" s="39" t="str">
        <f>IF(AND('331-CT'!$E$7=TH!H1930,OR(L1930="331",M1930="331")),"331",IF(AND(OR(L1930="131",M1930="131"),H1930='131-CT'!$E$7),"131",""))</f>
        <v/>
      </c>
      <c r="O1930" s="39" t="str">
        <f>IF(AND($B1930&gt;='111'!$N$11,$B1930&lt;='111'!$O$11,OR($L1930=$O$7,$M1930=$O$7)),"x","")</f>
        <v/>
      </c>
      <c r="P1930" s="39" t="str">
        <f>IF(AND($L1930=$O$7,$B1930&lt;'111'!$N$11),"x","")</f>
        <v/>
      </c>
      <c r="Q1930" s="39" t="str">
        <f>IF(AND($M1930=$O$7,$B1930&lt;'111'!$N$11),"x","")</f>
        <v/>
      </c>
      <c r="R1930" s="39" t="str">
        <f>IF(ISERROR(FIND('112'!$M$9,G1930,1)),"",IF((AND(FIND('112'!$M$9,G1930,1)&gt;=1,$B1930&gt;='112'!$N$8,$B1930&lt;='112'!$O$8,OR($L1930='112'!$I$6,$M1930='112'!$I$6))),"x",""))</f>
        <v/>
      </c>
      <c r="S1930" s="39" t="str">
        <f>IF(ISERROR(FIND('112'!$M$9,G1930,1)),"",IF((AND(LEFT(G1930,2)=LEFT('112'!$M$9,2),B1930&lt;'112'!$N$8,$L1930='112'!$I$6)),"x",""))</f>
        <v/>
      </c>
      <c r="T1930" s="39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39" t="str">
        <f>IF(OR(TH!L1930=TH!$V$7,M1930=TH!$V$7),"x","")</f>
        <v/>
      </c>
      <c r="W1930" s="39" t="str">
        <f>IF(AND(B1930&gt;='IN-NX'!$P$3,B1930&lt;='IN-NX'!$Q$3,'IN-NX'!$D$7=D1930,OR(LEFT(L1930,2)="15",AND(LEFT(M1930,2)&lt;&gt;"15",LEFT(M1930,2)&lt;&gt;"33"))),"x","")</f>
        <v/>
      </c>
      <c r="X1930" s="39" t="str">
        <f>IF(AND(OR(LEFT(TH!L1930,2)="15",LEFT(TH!M1930,2)="15"),'152-CT'!$J$8=TH!F1930),"x","")</f>
        <v/>
      </c>
      <c r="Y1930" s="39" t="str">
        <f>IF(AND(OR(LEFT(TH!L1930,2)="15",LEFT(TH!M1930,2)="15"),TK!$E$7=TH!F1930),"x","")</f>
        <v/>
      </c>
      <c r="Z1930" s="39" t="str">
        <f>IF(AND(B1930&lt;=NKC!$N$8,B1930&gt;=NKC!$M$8),"x","")</f>
        <v>x</v>
      </c>
      <c r="AA1930" s="883"/>
    </row>
    <row r="1931" spans="1:27" s="211" customFormat="1" ht="15.75" customHeight="1">
      <c r="A1931" s="204" t="str">
        <f>IF(B1931&lt;&gt;"",IF(AND(B1931&gt;=_TM1,B1931&lt;=_TM2,OR(TH!L1931="1111",TH!M1931="1111")),TH!D1931,""),"")</f>
        <v/>
      </c>
      <c r="B1931" s="36">
        <f t="shared" si="473"/>
        <v>8</v>
      </c>
      <c r="C1931" s="191">
        <f t="shared" si="472"/>
        <v>41496</v>
      </c>
      <c r="D1931" s="37" t="s">
        <v>487</v>
      </c>
      <c r="E1931" s="37">
        <v>41496</v>
      </c>
      <c r="F1931" s="40" t="s">
        <v>1135</v>
      </c>
      <c r="G1931" s="40" t="s">
        <v>902</v>
      </c>
      <c r="H1931" s="7" t="s">
        <v>1290</v>
      </c>
      <c r="I1931" s="256">
        <v>1990</v>
      </c>
      <c r="J1931" s="256">
        <v>6386.0816627155209</v>
      </c>
      <c r="K1931" s="602">
        <f t="shared" si="474"/>
        <v>12708303</v>
      </c>
      <c r="L1931" s="39" t="s">
        <v>173</v>
      </c>
      <c r="M1931" s="39" t="s">
        <v>167</v>
      </c>
      <c r="N1931" s="39" t="str">
        <f>IF(AND('331-CT'!$E$7=TH!H1931,OR(L1931="331",M1931="331")),"331",IF(AND(OR(L1931="131",M1931="131"),H1931='131-CT'!$E$7),"131",""))</f>
        <v/>
      </c>
      <c r="O1931" s="39" t="str">
        <f>IF(AND($B1931&gt;='111'!$N$11,$B1931&lt;='111'!$O$11,OR($L1931=$O$7,$M1931=$O$7)),"x","")</f>
        <v/>
      </c>
      <c r="P1931" s="39" t="str">
        <f>IF(AND($L1931=$O$7,$B1931&lt;'111'!$N$11),"x","")</f>
        <v/>
      </c>
      <c r="Q1931" s="39" t="str">
        <f>IF(AND($M1931=$O$7,$B1931&lt;'111'!$N$11),"x","")</f>
        <v/>
      </c>
      <c r="R1931" s="39" t="str">
        <f>IF(ISERROR(FIND('112'!$M$9,G1931,1)),"",IF((AND(FIND('112'!$M$9,G1931,1)&gt;=1,$B1931&gt;='112'!$N$8,$B1931&lt;='112'!$O$8,OR($L1931='112'!$I$6,$M1931='112'!$I$6))),"x",""))</f>
        <v/>
      </c>
      <c r="S1931" s="39" t="str">
        <f>IF(ISERROR(FIND('112'!$M$9,G1931,1)),"",IF((AND(LEFT(G1931,2)=LEFT('112'!$M$9,2),B1931&lt;'112'!$N$8,$L1931='112'!$I$6)),"x",""))</f>
        <v/>
      </c>
      <c r="T1931" s="39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39" t="str">
        <f>IF(OR(TH!L1931=TH!$V$7,M1931=TH!$V$7),"x","")</f>
        <v/>
      </c>
      <c r="W1931" s="39" t="str">
        <f>IF(AND(B1931&gt;='IN-NX'!$P$3,B1931&lt;='IN-NX'!$Q$3,'IN-NX'!$D$7=D1931,OR(LEFT(L1931,2)="15",AND(LEFT(M1931,2)&lt;&gt;"15",LEFT(M1931,2)&lt;&gt;"33"))),"x","")</f>
        <v/>
      </c>
      <c r="X1931" s="39" t="str">
        <f>IF(AND(OR(LEFT(TH!L1931,2)="15",LEFT(TH!M1931,2)="15"),'152-CT'!$J$8=TH!F1931),"x","")</f>
        <v/>
      </c>
      <c r="Y1931" s="39" t="str">
        <f>IF(AND(OR(LEFT(TH!L1931,2)="15",LEFT(TH!M1931,2)="15"),TK!$E$7=TH!F1931),"x","")</f>
        <v/>
      </c>
      <c r="Z1931" s="39" t="str">
        <f>IF(AND(B1931&lt;=NKC!$N$8,B1931&gt;=NKC!$M$8),"x","")</f>
        <v>x</v>
      </c>
      <c r="AA1931" s="883"/>
    </row>
    <row r="1932" spans="1:27" s="211" customFormat="1" ht="15.75" customHeight="1">
      <c r="A1932" s="204" t="str">
        <f>IF(B1932&lt;&gt;"",IF(AND(B1932&gt;=_TM1,B1932&lt;=_TM2,OR(TH!L1932="1111",TH!M1932="1111")),TH!D1932,""),"")</f>
        <v/>
      </c>
      <c r="B1932" s="36">
        <f t="shared" si="473"/>
        <v>8</v>
      </c>
      <c r="C1932" s="191">
        <f t="shared" si="472"/>
        <v>41496</v>
      </c>
      <c r="D1932" s="37" t="s">
        <v>487</v>
      </c>
      <c r="E1932" s="37">
        <v>41496</v>
      </c>
      <c r="F1932" s="40" t="s">
        <v>903</v>
      </c>
      <c r="G1932" s="40" t="s">
        <v>904</v>
      </c>
      <c r="H1932" s="7" t="s">
        <v>1290</v>
      </c>
      <c r="I1932" s="256">
        <v>480</v>
      </c>
      <c r="J1932" s="256">
        <v>5794.1795689131768</v>
      </c>
      <c r="K1932" s="602">
        <f t="shared" si="474"/>
        <v>2781206</v>
      </c>
      <c r="L1932" s="39" t="s">
        <v>173</v>
      </c>
      <c r="M1932" s="39" t="s">
        <v>167</v>
      </c>
      <c r="N1932" s="39" t="str">
        <f>IF(AND('331-CT'!$E$7=TH!H1932,OR(L1932="331",M1932="331")),"331",IF(AND(OR(L1932="131",M1932="131"),H1932='131-CT'!$E$7),"131",""))</f>
        <v/>
      </c>
      <c r="O1932" s="39" t="str">
        <f>IF(AND($B1932&gt;='111'!$N$11,$B1932&lt;='111'!$O$11,OR($L1932=$O$7,$M1932=$O$7)),"x","")</f>
        <v/>
      </c>
      <c r="P1932" s="39" t="str">
        <f>IF(AND($L1932=$O$7,$B1932&lt;'111'!$N$11),"x","")</f>
        <v/>
      </c>
      <c r="Q1932" s="39" t="str">
        <f>IF(AND($M1932=$O$7,$B1932&lt;'111'!$N$11),"x","")</f>
        <v/>
      </c>
      <c r="R1932" s="39" t="str">
        <f>IF(ISERROR(FIND('112'!$M$9,G1932,1)),"",IF((AND(FIND('112'!$M$9,G1932,1)&gt;=1,$B1932&gt;='112'!$N$8,$B1932&lt;='112'!$O$8,OR($L1932='112'!$I$6,$M1932='112'!$I$6))),"x",""))</f>
        <v/>
      </c>
      <c r="S1932" s="39" t="str">
        <f>IF(ISERROR(FIND('112'!$M$9,G1932,1)),"",IF((AND(LEFT(G1932,2)=LEFT('112'!$M$9,2),B1932&lt;'112'!$N$8,$L1932='112'!$I$6)),"x",""))</f>
        <v/>
      </c>
      <c r="T1932" s="39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39" t="str">
        <f>IF(OR(TH!L1932=TH!$V$7,M1932=TH!$V$7),"x","")</f>
        <v/>
      </c>
      <c r="W1932" s="39" t="str">
        <f>IF(AND(B1932&gt;='IN-NX'!$P$3,B1932&lt;='IN-NX'!$Q$3,'IN-NX'!$D$7=D1932,OR(LEFT(L1932,2)="15",AND(LEFT(M1932,2)&lt;&gt;"15",LEFT(M1932,2)&lt;&gt;"33"))),"x","")</f>
        <v/>
      </c>
      <c r="X1932" s="39" t="str">
        <f>IF(AND(OR(LEFT(TH!L1932,2)="15",LEFT(TH!M1932,2)="15"),'152-CT'!$J$8=TH!F1932),"x","")</f>
        <v/>
      </c>
      <c r="Y1932" s="39" t="str">
        <f>IF(AND(OR(LEFT(TH!L1932,2)="15",LEFT(TH!M1932,2)="15"),TK!$E$7=TH!F1932),"x","")</f>
        <v/>
      </c>
      <c r="Z1932" s="39" t="str">
        <f>IF(AND(B1932&lt;=NKC!$N$8,B1932&gt;=NKC!$M$8),"x","")</f>
        <v>x</v>
      </c>
      <c r="AA1932" s="883"/>
    </row>
    <row r="1933" spans="1:27" s="211" customFormat="1" ht="15.75" customHeight="1">
      <c r="A1933" s="204" t="str">
        <f>IF(B1933&lt;&gt;"",IF(AND(B1933&gt;=_TM1,B1933&lt;=_TM2,OR(TH!L1933="1111",TH!M1933="1111")),TH!D1933,""),"")</f>
        <v/>
      </c>
      <c r="B1933" s="36">
        <f t="shared" si="473"/>
        <v>8</v>
      </c>
      <c r="C1933" s="191">
        <f t="shared" si="472"/>
        <v>41496</v>
      </c>
      <c r="D1933" s="37" t="s">
        <v>487</v>
      </c>
      <c r="E1933" s="37">
        <v>41496</v>
      </c>
      <c r="F1933" s="40" t="s">
        <v>903</v>
      </c>
      <c r="G1933" s="40" t="s">
        <v>904</v>
      </c>
      <c r="H1933" s="7" t="s">
        <v>1290</v>
      </c>
      <c r="I1933" s="256">
        <v>440</v>
      </c>
      <c r="J1933" s="256">
        <v>6596.721235579842</v>
      </c>
      <c r="K1933" s="602">
        <f t="shared" si="474"/>
        <v>2902557</v>
      </c>
      <c r="L1933" s="39" t="s">
        <v>173</v>
      </c>
      <c r="M1933" s="39" t="s">
        <v>167</v>
      </c>
      <c r="N1933" s="39" t="str">
        <f>IF(AND('331-CT'!$E$7=TH!H1933,OR(L1933="331",M1933="331")),"331",IF(AND(OR(L1933="131",M1933="131"),H1933='131-CT'!$E$7),"131",""))</f>
        <v/>
      </c>
      <c r="O1933" s="39" t="str">
        <f>IF(AND($B1933&gt;='111'!$N$11,$B1933&lt;='111'!$O$11,OR($L1933=$O$7,$M1933=$O$7)),"x","")</f>
        <v/>
      </c>
      <c r="P1933" s="39" t="str">
        <f>IF(AND($L1933=$O$7,$B1933&lt;'111'!$N$11),"x","")</f>
        <v/>
      </c>
      <c r="Q1933" s="39" t="str">
        <f>IF(AND($M1933=$O$7,$B1933&lt;'111'!$N$11),"x","")</f>
        <v/>
      </c>
      <c r="R1933" s="39" t="str">
        <f>IF(ISERROR(FIND('112'!$M$9,G1933,1)),"",IF((AND(FIND('112'!$M$9,G1933,1)&gt;=1,$B1933&gt;='112'!$N$8,$B1933&lt;='112'!$O$8,OR($L1933='112'!$I$6,$M1933='112'!$I$6))),"x",""))</f>
        <v/>
      </c>
      <c r="S1933" s="39" t="str">
        <f>IF(ISERROR(FIND('112'!$M$9,G1933,1)),"",IF((AND(LEFT(G1933,2)=LEFT('112'!$M$9,2),B1933&lt;'112'!$N$8,$L1933='112'!$I$6)),"x",""))</f>
        <v/>
      </c>
      <c r="T1933" s="39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39" t="str">
        <f>IF(OR(TH!L1933=TH!$V$7,M1933=TH!$V$7),"x","")</f>
        <v/>
      </c>
      <c r="W1933" s="39" t="str">
        <f>IF(AND(B1933&gt;='IN-NX'!$P$3,B1933&lt;='IN-NX'!$Q$3,'IN-NX'!$D$7=D1933,OR(LEFT(L1933,2)="15",AND(LEFT(M1933,2)&lt;&gt;"15",LEFT(M1933,2)&lt;&gt;"33"))),"x","")</f>
        <v/>
      </c>
      <c r="X1933" s="39" t="str">
        <f>IF(AND(OR(LEFT(TH!L1933,2)="15",LEFT(TH!M1933,2)="15"),'152-CT'!$J$8=TH!F1933),"x","")</f>
        <v/>
      </c>
      <c r="Y1933" s="39" t="str">
        <f>IF(AND(OR(LEFT(TH!L1933,2)="15",LEFT(TH!M1933,2)="15"),TK!$E$7=TH!F1933),"x","")</f>
        <v/>
      </c>
      <c r="Z1933" s="39" t="str">
        <f>IF(AND(B1933&lt;=NKC!$N$8,B1933&gt;=NKC!$M$8),"x","")</f>
        <v>x</v>
      </c>
      <c r="AA1933" s="883"/>
    </row>
    <row r="1934" spans="1:27" s="211" customFormat="1" ht="15.75" customHeight="1">
      <c r="A1934" s="204" t="str">
        <f>IF(B1934&lt;&gt;"",IF(AND(B1934&gt;=_TM1,B1934&lt;=_TM2,OR(TH!L1934="1111",TH!M1934="1111")),TH!D1934,""),"")</f>
        <v/>
      </c>
      <c r="B1934" s="36">
        <f t="shared" si="473"/>
        <v>8</v>
      </c>
      <c r="C1934" s="191">
        <f t="shared" ref="C1934:C1997" si="475">E1934</f>
        <v>41498</v>
      </c>
      <c r="D1934" s="37" t="s">
        <v>487</v>
      </c>
      <c r="E1934" s="37">
        <v>41498</v>
      </c>
      <c r="F1934" s="40" t="s">
        <v>729</v>
      </c>
      <c r="G1934" s="40" t="s">
        <v>906</v>
      </c>
      <c r="H1934" s="7" t="s">
        <v>1290</v>
      </c>
      <c r="I1934" s="256">
        <v>1000</v>
      </c>
      <c r="J1934" s="256">
        <v>8259.9152355798415</v>
      </c>
      <c r="K1934" s="602">
        <f t="shared" si="474"/>
        <v>8259915</v>
      </c>
      <c r="L1934" s="39" t="s">
        <v>173</v>
      </c>
      <c r="M1934" s="39" t="s">
        <v>167</v>
      </c>
      <c r="N1934" s="39" t="str">
        <f>IF(AND('331-CT'!$E$7=TH!H1934,OR(L1934="331",M1934="331")),"331",IF(AND(OR(L1934="131",M1934="131"),H1934='131-CT'!$E$7),"131",""))</f>
        <v/>
      </c>
      <c r="O1934" s="39" t="str">
        <f>IF(AND($B1934&gt;='111'!$N$11,$B1934&lt;='111'!$O$11,OR($L1934=$O$7,$M1934=$O$7)),"x","")</f>
        <v/>
      </c>
      <c r="P1934" s="39" t="str">
        <f>IF(AND($L1934=$O$7,$B1934&lt;'111'!$N$11),"x","")</f>
        <v/>
      </c>
      <c r="Q1934" s="39" t="str">
        <f>IF(AND($M1934=$O$7,$B1934&lt;'111'!$N$11),"x","")</f>
        <v/>
      </c>
      <c r="R1934" s="39" t="str">
        <f>IF(ISERROR(FIND('112'!$M$9,G1934,1)),"",IF((AND(FIND('112'!$M$9,G1934,1)&gt;=1,$B1934&gt;='112'!$N$8,$B1934&lt;='112'!$O$8,OR($L1934='112'!$I$6,$M1934='112'!$I$6))),"x",""))</f>
        <v/>
      </c>
      <c r="S1934" s="39" t="str">
        <f>IF(ISERROR(FIND('112'!$M$9,G1934,1)),"",IF((AND(LEFT(G1934,2)=LEFT('112'!$M$9,2),B1934&lt;'112'!$N$8,$L1934='112'!$I$6)),"x",""))</f>
        <v/>
      </c>
      <c r="T1934" s="39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39" t="str">
        <f>IF(OR(TH!L1934=TH!$V$7,M1934=TH!$V$7),"x","")</f>
        <v/>
      </c>
      <c r="W1934" s="39" t="str">
        <f>IF(AND(B1934&gt;='IN-NX'!$P$3,B1934&lt;='IN-NX'!$Q$3,'IN-NX'!$D$7=D1934,OR(LEFT(L1934,2)="15",AND(LEFT(M1934,2)&lt;&gt;"15",LEFT(M1934,2)&lt;&gt;"33"))),"x","")</f>
        <v/>
      </c>
      <c r="X1934" s="39" t="str">
        <f>IF(AND(OR(LEFT(TH!L1934,2)="15",LEFT(TH!M1934,2)="15"),'152-CT'!$J$8=TH!F1934),"x","")</f>
        <v/>
      </c>
      <c r="Y1934" s="39" t="str">
        <f>IF(AND(OR(LEFT(TH!L1934,2)="15",LEFT(TH!M1934,2)="15"),TK!$E$7=TH!F1934),"x","")</f>
        <v/>
      </c>
      <c r="Z1934" s="39" t="str">
        <f>IF(AND(B1934&lt;=NKC!$N$8,B1934&gt;=NKC!$M$8),"x","")</f>
        <v>x</v>
      </c>
      <c r="AA1934" s="883"/>
    </row>
    <row r="1935" spans="1:27" s="211" customFormat="1" ht="15.75" customHeight="1">
      <c r="A1935" s="204" t="str">
        <f>IF(B1935&lt;&gt;"",IF(AND(B1935&gt;=_TM1,B1935&lt;=_TM2,OR(TH!L1935="1111",TH!M1935="1111")),TH!D1935,""),"")</f>
        <v/>
      </c>
      <c r="B1935" s="36">
        <f t="shared" si="473"/>
        <v>8</v>
      </c>
      <c r="C1935" s="191">
        <f t="shared" si="475"/>
        <v>41499</v>
      </c>
      <c r="D1935" s="37" t="s">
        <v>487</v>
      </c>
      <c r="E1935" s="37">
        <v>41499</v>
      </c>
      <c r="F1935" s="40" t="s">
        <v>812</v>
      </c>
      <c r="G1935" s="40" t="s">
        <v>907</v>
      </c>
      <c r="H1935" s="7" t="s">
        <v>1290</v>
      </c>
      <c r="I1935" s="256">
        <v>200</v>
      </c>
      <c r="J1935" s="256">
        <v>9247.096235579842</v>
      </c>
      <c r="K1935" s="602">
        <f t="shared" si="474"/>
        <v>1849419</v>
      </c>
      <c r="L1935" s="39" t="s">
        <v>173</v>
      </c>
      <c r="M1935" s="39" t="s">
        <v>167</v>
      </c>
      <c r="N1935" s="39" t="str">
        <f>IF(AND('331-CT'!$E$7=TH!H1935,OR(L1935="331",M1935="331")),"331",IF(AND(OR(L1935="131",M1935="131"),H1935='131-CT'!$E$7),"131",""))</f>
        <v/>
      </c>
      <c r="O1935" s="39" t="str">
        <f>IF(AND($B1935&gt;='111'!$N$11,$B1935&lt;='111'!$O$11,OR($L1935=$O$7,$M1935=$O$7)),"x","")</f>
        <v/>
      </c>
      <c r="P1935" s="39" t="str">
        <f>IF(AND($L1935=$O$7,$B1935&lt;'111'!$N$11),"x","")</f>
        <v/>
      </c>
      <c r="Q1935" s="39" t="str">
        <f>IF(AND($M1935=$O$7,$B1935&lt;'111'!$N$11),"x","")</f>
        <v/>
      </c>
      <c r="R1935" s="39" t="str">
        <f>IF(ISERROR(FIND('112'!$M$9,G1935,1)),"",IF((AND(FIND('112'!$M$9,G1935,1)&gt;=1,$B1935&gt;='112'!$N$8,$B1935&lt;='112'!$O$8,OR($L1935='112'!$I$6,$M1935='112'!$I$6))),"x",""))</f>
        <v/>
      </c>
      <c r="S1935" s="39" t="str">
        <f>IF(ISERROR(FIND('112'!$M$9,G1935,1)),"",IF((AND(LEFT(G1935,2)=LEFT('112'!$M$9,2),B1935&lt;'112'!$N$8,$L1935='112'!$I$6)),"x",""))</f>
        <v/>
      </c>
      <c r="T1935" s="39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39" t="str">
        <f>IF(OR(TH!L1935=TH!$V$7,M1935=TH!$V$7),"x","")</f>
        <v/>
      </c>
      <c r="W1935" s="39" t="str">
        <f>IF(AND(B1935&gt;='IN-NX'!$P$3,B1935&lt;='IN-NX'!$Q$3,'IN-NX'!$D$7=D1935,OR(LEFT(L1935,2)="15",AND(LEFT(M1935,2)&lt;&gt;"15",LEFT(M1935,2)&lt;&gt;"33"))),"x","")</f>
        <v/>
      </c>
      <c r="X1935" s="39" t="str">
        <f>IF(AND(OR(LEFT(TH!L1935,2)="15",LEFT(TH!M1935,2)="15"),'152-CT'!$J$8=TH!F1935),"x","")</f>
        <v/>
      </c>
      <c r="Y1935" s="39" t="str">
        <f>IF(AND(OR(LEFT(TH!L1935,2)="15",LEFT(TH!M1935,2)="15"),TK!$E$7=TH!F1935),"x","")</f>
        <v/>
      </c>
      <c r="Z1935" s="39" t="str">
        <f>IF(AND(B1935&lt;=NKC!$N$8,B1935&gt;=NKC!$M$8),"x","")</f>
        <v>x</v>
      </c>
      <c r="AA1935" s="883"/>
    </row>
    <row r="1936" spans="1:27" s="211" customFormat="1" ht="15.75" customHeight="1">
      <c r="A1936" s="204" t="str">
        <f>IF(B1936&lt;&gt;"",IF(AND(B1936&gt;=_TM1,B1936&lt;=_TM2,OR(TH!L1936="1111",TH!M1936="1111")),TH!D1936,""),"")</f>
        <v/>
      </c>
      <c r="B1936" s="36">
        <f t="shared" si="473"/>
        <v>8</v>
      </c>
      <c r="C1936" s="191">
        <f t="shared" si="475"/>
        <v>41499</v>
      </c>
      <c r="D1936" s="37" t="s">
        <v>487</v>
      </c>
      <c r="E1936" s="37">
        <v>41499</v>
      </c>
      <c r="F1936" s="40" t="s">
        <v>1132</v>
      </c>
      <c r="G1936" s="40" t="s">
        <v>907</v>
      </c>
      <c r="H1936" s="7" t="s">
        <v>1290</v>
      </c>
      <c r="I1936" s="256">
        <v>250</v>
      </c>
      <c r="J1936" s="256">
        <v>12357.876235579843</v>
      </c>
      <c r="K1936" s="602">
        <f t="shared" si="474"/>
        <v>3089469</v>
      </c>
      <c r="L1936" s="39" t="s">
        <v>173</v>
      </c>
      <c r="M1936" s="39" t="s">
        <v>167</v>
      </c>
      <c r="N1936" s="39" t="str">
        <f>IF(AND('331-CT'!$E$7=TH!H1936,OR(L1936="331",M1936="331")),"331",IF(AND(OR(L1936="131",M1936="131"),H1936='131-CT'!$E$7),"131",""))</f>
        <v/>
      </c>
      <c r="O1936" s="39" t="str">
        <f>IF(AND($B1936&gt;='111'!$N$11,$B1936&lt;='111'!$O$11,OR($L1936=$O$7,$M1936=$O$7)),"x","")</f>
        <v/>
      </c>
      <c r="P1936" s="39" t="str">
        <f>IF(AND($L1936=$O$7,$B1936&lt;'111'!$N$11),"x","")</f>
        <v/>
      </c>
      <c r="Q1936" s="39" t="str">
        <f>IF(AND($M1936=$O$7,$B1936&lt;'111'!$N$11),"x","")</f>
        <v/>
      </c>
      <c r="R1936" s="39" t="str">
        <f>IF(ISERROR(FIND('112'!$M$9,G1936,1)),"",IF((AND(FIND('112'!$M$9,G1936,1)&gt;=1,$B1936&gt;='112'!$N$8,$B1936&lt;='112'!$O$8,OR($L1936='112'!$I$6,$M1936='112'!$I$6))),"x",""))</f>
        <v/>
      </c>
      <c r="S1936" s="39" t="str">
        <f>IF(ISERROR(FIND('112'!$M$9,G1936,1)),"",IF((AND(LEFT(G1936,2)=LEFT('112'!$M$9,2),B1936&lt;'112'!$N$8,$L1936='112'!$I$6)),"x",""))</f>
        <v/>
      </c>
      <c r="T1936" s="39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39" t="str">
        <f>IF(OR(TH!L1936=TH!$V$7,M1936=TH!$V$7),"x","")</f>
        <v/>
      </c>
      <c r="W1936" s="39" t="str">
        <f>IF(AND(B1936&gt;='IN-NX'!$P$3,B1936&lt;='IN-NX'!$Q$3,'IN-NX'!$D$7=D1936,OR(LEFT(L1936,2)="15",AND(LEFT(M1936,2)&lt;&gt;"15",LEFT(M1936,2)&lt;&gt;"33"))),"x","")</f>
        <v/>
      </c>
      <c r="X1936" s="39" t="str">
        <f>IF(AND(OR(LEFT(TH!L1936,2)="15",LEFT(TH!M1936,2)="15"),'152-CT'!$J$8=TH!F1936),"x","")</f>
        <v/>
      </c>
      <c r="Y1936" s="39" t="str">
        <f>IF(AND(OR(LEFT(TH!L1936,2)="15",LEFT(TH!M1936,2)="15"),TK!$E$7=TH!F1936),"x","")</f>
        <v/>
      </c>
      <c r="Z1936" s="39" t="str">
        <f>IF(AND(B1936&lt;=NKC!$N$8,B1936&gt;=NKC!$M$8),"x","")</f>
        <v>x</v>
      </c>
      <c r="AA1936" s="883"/>
    </row>
    <row r="1937" spans="1:27" s="211" customFormat="1" ht="15.75" customHeight="1">
      <c r="A1937" s="204" t="str">
        <f>IF(B1937&lt;&gt;"",IF(AND(B1937&gt;=_TM1,B1937&lt;=_TM2,OR(TH!L1937="1111",TH!M1937="1111")),TH!D1937,""),"")</f>
        <v/>
      </c>
      <c r="B1937" s="36">
        <f t="shared" si="473"/>
        <v>8</v>
      </c>
      <c r="C1937" s="191">
        <f t="shared" si="475"/>
        <v>41499</v>
      </c>
      <c r="D1937" s="37" t="s">
        <v>487</v>
      </c>
      <c r="E1937" s="37">
        <v>41499</v>
      </c>
      <c r="F1937" s="40" t="s">
        <v>883</v>
      </c>
      <c r="G1937" s="40" t="s">
        <v>907</v>
      </c>
      <c r="H1937" s="7" t="s">
        <v>1290</v>
      </c>
      <c r="I1937" s="256">
        <v>505</v>
      </c>
      <c r="J1937" s="256">
        <v>7252.0219781541</v>
      </c>
      <c r="K1937" s="602">
        <f t="shared" si="474"/>
        <v>3662271</v>
      </c>
      <c r="L1937" s="39" t="s">
        <v>173</v>
      </c>
      <c r="M1937" s="39" t="s">
        <v>167</v>
      </c>
      <c r="N1937" s="39" t="str">
        <f>IF(AND('331-CT'!$E$7=TH!H1937,OR(L1937="331",M1937="331")),"331",IF(AND(OR(L1937="131",M1937="131"),H1937='131-CT'!$E$7),"131",""))</f>
        <v/>
      </c>
      <c r="O1937" s="39" t="str">
        <f>IF(AND($B1937&gt;='111'!$N$11,$B1937&lt;='111'!$O$11,OR($L1937=$O$7,$M1937=$O$7)),"x","")</f>
        <v/>
      </c>
      <c r="P1937" s="39" t="str">
        <f>IF(AND($L1937=$O$7,$B1937&lt;'111'!$N$11),"x","")</f>
        <v/>
      </c>
      <c r="Q1937" s="39" t="str">
        <f>IF(AND($M1937=$O$7,$B1937&lt;'111'!$N$11),"x","")</f>
        <v/>
      </c>
      <c r="R1937" s="39" t="str">
        <f>IF(ISERROR(FIND('112'!$M$9,G1937,1)),"",IF((AND(FIND('112'!$M$9,G1937,1)&gt;=1,$B1937&gt;='112'!$N$8,$B1937&lt;='112'!$O$8,OR($L1937='112'!$I$6,$M1937='112'!$I$6))),"x",""))</f>
        <v/>
      </c>
      <c r="S1937" s="39" t="str">
        <f>IF(ISERROR(FIND('112'!$M$9,G1937,1)),"",IF((AND(LEFT(G1937,2)=LEFT('112'!$M$9,2),B1937&lt;'112'!$N$8,$L1937='112'!$I$6)),"x",""))</f>
        <v/>
      </c>
      <c r="T1937" s="39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39" t="str">
        <f>IF(OR(TH!L1937=TH!$V$7,M1937=TH!$V$7),"x","")</f>
        <v/>
      </c>
      <c r="W1937" s="39" t="str">
        <f>IF(AND(B1937&gt;='IN-NX'!$P$3,B1937&lt;='IN-NX'!$Q$3,'IN-NX'!$D$7=D1937,OR(LEFT(L1937,2)="15",AND(LEFT(M1937,2)&lt;&gt;"15",LEFT(M1937,2)&lt;&gt;"33"))),"x","")</f>
        <v/>
      </c>
      <c r="X1937" s="39" t="str">
        <f>IF(AND(OR(LEFT(TH!L1937,2)="15",LEFT(TH!M1937,2)="15"),'152-CT'!$J$8=TH!F1937),"x","")</f>
        <v/>
      </c>
      <c r="Y1937" s="39" t="str">
        <f>IF(AND(OR(LEFT(TH!L1937,2)="15",LEFT(TH!M1937,2)="15"),TK!$E$7=TH!F1937),"x","")</f>
        <v/>
      </c>
      <c r="Z1937" s="39" t="str">
        <f>IF(AND(B1937&lt;=NKC!$N$8,B1937&gt;=NKC!$M$8),"x","")</f>
        <v>x</v>
      </c>
      <c r="AA1937" s="883"/>
    </row>
    <row r="1938" spans="1:27" s="211" customFormat="1" ht="15.75" customHeight="1">
      <c r="A1938" s="204" t="str">
        <f>IF(B1938&lt;&gt;"",IF(AND(B1938&gt;=_TM1,B1938&lt;=_TM2,OR(TH!L1938="1111",TH!M1938="1111")),TH!D1938,""),"")</f>
        <v/>
      </c>
      <c r="B1938" s="36">
        <f t="shared" si="473"/>
        <v>8</v>
      </c>
      <c r="C1938" s="191">
        <f t="shared" si="475"/>
        <v>41500</v>
      </c>
      <c r="D1938" s="37" t="s">
        <v>487</v>
      </c>
      <c r="E1938" s="37">
        <v>41500</v>
      </c>
      <c r="F1938" s="40" t="s">
        <v>908</v>
      </c>
      <c r="G1938" s="40" t="s">
        <v>909</v>
      </c>
      <c r="H1938" s="7" t="s">
        <v>1290</v>
      </c>
      <c r="I1938" s="256">
        <v>85</v>
      </c>
      <c r="J1938" s="256">
        <v>9217.0197649916063</v>
      </c>
      <c r="K1938" s="602">
        <f t="shared" si="474"/>
        <v>783447</v>
      </c>
      <c r="L1938" s="39" t="s">
        <v>173</v>
      </c>
      <c r="M1938" s="39" t="s">
        <v>167</v>
      </c>
      <c r="N1938" s="39" t="str">
        <f>IF(AND('331-CT'!$E$7=TH!H1938,OR(L1938="331",M1938="331")),"331",IF(AND(OR(L1938="131",M1938="131"),H1938='131-CT'!$E$7),"131",""))</f>
        <v/>
      </c>
      <c r="O1938" s="39" t="str">
        <f>IF(AND($B1938&gt;='111'!$N$11,$B1938&lt;='111'!$O$11,OR($L1938=$O$7,$M1938=$O$7)),"x","")</f>
        <v/>
      </c>
      <c r="P1938" s="39" t="str">
        <f>IF(AND($L1938=$O$7,$B1938&lt;'111'!$N$11),"x","")</f>
        <v/>
      </c>
      <c r="Q1938" s="39" t="str">
        <f>IF(AND($M1938=$O$7,$B1938&lt;'111'!$N$11),"x","")</f>
        <v/>
      </c>
      <c r="R1938" s="39" t="str">
        <f>IF(ISERROR(FIND('112'!$M$9,G1938,1)),"",IF((AND(FIND('112'!$M$9,G1938,1)&gt;=1,$B1938&gt;='112'!$N$8,$B1938&lt;='112'!$O$8,OR($L1938='112'!$I$6,$M1938='112'!$I$6))),"x",""))</f>
        <v/>
      </c>
      <c r="S1938" s="39" t="str">
        <f>IF(ISERROR(FIND('112'!$M$9,G1938,1)),"",IF((AND(LEFT(G1938,2)=LEFT('112'!$M$9,2),B1938&lt;'112'!$N$8,$L1938='112'!$I$6)),"x",""))</f>
        <v/>
      </c>
      <c r="T1938" s="39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39" t="str">
        <f>IF(OR(TH!L1938=TH!$V$7,M1938=TH!$V$7),"x","")</f>
        <v/>
      </c>
      <c r="W1938" s="39" t="str">
        <f>IF(AND(B1938&gt;='IN-NX'!$P$3,B1938&lt;='IN-NX'!$Q$3,'IN-NX'!$D$7=D1938,OR(LEFT(L1938,2)="15",AND(LEFT(M1938,2)&lt;&gt;"15",LEFT(M1938,2)&lt;&gt;"33"))),"x","")</f>
        <v/>
      </c>
      <c r="X1938" s="39" t="str">
        <f>IF(AND(OR(LEFT(TH!L1938,2)="15",LEFT(TH!M1938,2)="15"),'152-CT'!$J$8=TH!F1938),"x","")</f>
        <v/>
      </c>
      <c r="Y1938" s="39" t="str">
        <f>IF(AND(OR(LEFT(TH!L1938,2)="15",LEFT(TH!M1938,2)="15"),TK!$E$7=TH!F1938),"x","")</f>
        <v/>
      </c>
      <c r="Z1938" s="39" t="str">
        <f>IF(AND(B1938&lt;=NKC!$N$8,B1938&gt;=NKC!$M$8),"x","")</f>
        <v>x</v>
      </c>
      <c r="AA1938" s="883"/>
    </row>
    <row r="1939" spans="1:27" s="211" customFormat="1" ht="15.75" customHeight="1">
      <c r="A1939" s="204" t="str">
        <f>IF(B1939&lt;&gt;"",IF(AND(B1939&gt;=_TM1,B1939&lt;=_TM2,OR(TH!L1939="1111",TH!M1939="1111")),TH!D1939,""),"")</f>
        <v/>
      </c>
      <c r="B1939" s="36">
        <f t="shared" si="473"/>
        <v>8</v>
      </c>
      <c r="C1939" s="191">
        <f t="shared" si="475"/>
        <v>41502</v>
      </c>
      <c r="D1939" s="37" t="s">
        <v>487</v>
      </c>
      <c r="E1939" s="37">
        <v>41502</v>
      </c>
      <c r="F1939" s="40" t="s">
        <v>1131</v>
      </c>
      <c r="G1939" s="40" t="s">
        <v>910</v>
      </c>
      <c r="H1939" s="7" t="s">
        <v>1290</v>
      </c>
      <c r="I1939" s="256">
        <v>303</v>
      </c>
      <c r="J1939" s="256">
        <v>8819.5302289791816</v>
      </c>
      <c r="K1939" s="602">
        <f t="shared" si="474"/>
        <v>2672318</v>
      </c>
      <c r="L1939" s="39" t="s">
        <v>173</v>
      </c>
      <c r="M1939" s="39" t="s">
        <v>167</v>
      </c>
      <c r="N1939" s="39" t="str">
        <f>IF(AND('331-CT'!$E$7=TH!H1939,OR(L1939="331",M1939="331")),"331",IF(AND(OR(L1939="131",M1939="131"),H1939='131-CT'!$E$7),"131",""))</f>
        <v/>
      </c>
      <c r="O1939" s="39" t="str">
        <f>IF(AND($B1939&gt;='111'!$N$11,$B1939&lt;='111'!$O$11,OR($L1939=$O$7,$M1939=$O$7)),"x","")</f>
        <v/>
      </c>
      <c r="P1939" s="39" t="str">
        <f>IF(AND($L1939=$O$7,$B1939&lt;'111'!$N$11),"x","")</f>
        <v/>
      </c>
      <c r="Q1939" s="39" t="str">
        <f>IF(AND($M1939=$O$7,$B1939&lt;'111'!$N$11),"x","")</f>
        <v/>
      </c>
      <c r="R1939" s="39" t="str">
        <f>IF(ISERROR(FIND('112'!$M$9,G1939,1)),"",IF((AND(FIND('112'!$M$9,G1939,1)&gt;=1,$B1939&gt;='112'!$N$8,$B1939&lt;='112'!$O$8,OR($L1939='112'!$I$6,$M1939='112'!$I$6))),"x",""))</f>
        <v/>
      </c>
      <c r="S1939" s="39" t="str">
        <f>IF(ISERROR(FIND('112'!$M$9,G1939,1)),"",IF((AND(LEFT(G1939,2)=LEFT('112'!$M$9,2),B1939&lt;'112'!$N$8,$L1939='112'!$I$6)),"x",""))</f>
        <v/>
      </c>
      <c r="T1939" s="39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39" t="str">
        <f>IF(OR(TH!L1939=TH!$V$7,M1939=TH!$V$7),"x","")</f>
        <v/>
      </c>
      <c r="W1939" s="39" t="str">
        <f>IF(AND(B1939&gt;='IN-NX'!$P$3,B1939&lt;='IN-NX'!$Q$3,'IN-NX'!$D$7=D1939,OR(LEFT(L1939,2)="15",AND(LEFT(M1939,2)&lt;&gt;"15",LEFT(M1939,2)&lt;&gt;"33"))),"x","")</f>
        <v/>
      </c>
      <c r="X1939" s="39" t="str">
        <f>IF(AND(OR(LEFT(TH!L1939,2)="15",LEFT(TH!M1939,2)="15"),'152-CT'!$J$8=TH!F1939),"x","")</f>
        <v/>
      </c>
      <c r="Y1939" s="39" t="str">
        <f>IF(AND(OR(LEFT(TH!L1939,2)="15",LEFT(TH!M1939,2)="15"),TK!$E$7=TH!F1939),"x","")</f>
        <v/>
      </c>
      <c r="Z1939" s="39" t="str">
        <f>IF(AND(B1939&lt;=NKC!$N$8,B1939&gt;=NKC!$M$8),"x","")</f>
        <v>x</v>
      </c>
      <c r="AA1939" s="883"/>
    </row>
    <row r="1940" spans="1:27" s="211" customFormat="1" ht="15.75" customHeight="1">
      <c r="A1940" s="204" t="str">
        <f>IF(B1940&lt;&gt;"",IF(AND(B1940&gt;=_TM1,B1940&lt;=_TM2,OR(TH!L1940="1111",TH!M1940="1111")),TH!D1940,""),"")</f>
        <v/>
      </c>
      <c r="B1940" s="36">
        <f t="shared" si="473"/>
        <v>8</v>
      </c>
      <c r="C1940" s="191">
        <f t="shared" si="475"/>
        <v>41502</v>
      </c>
      <c r="D1940" s="37" t="s">
        <v>487</v>
      </c>
      <c r="E1940" s="37">
        <v>41502</v>
      </c>
      <c r="F1940" s="40" t="s">
        <v>742</v>
      </c>
      <c r="G1940" s="40" t="s">
        <v>911</v>
      </c>
      <c r="H1940" s="7" t="s">
        <v>1290</v>
      </c>
      <c r="I1940" s="256">
        <v>285</v>
      </c>
      <c r="J1940" s="256">
        <v>20664.65588470265</v>
      </c>
      <c r="K1940" s="602">
        <f t="shared" si="474"/>
        <v>5889427</v>
      </c>
      <c r="L1940" s="39" t="s">
        <v>173</v>
      </c>
      <c r="M1940" s="39" t="s">
        <v>167</v>
      </c>
      <c r="N1940" s="39" t="str">
        <f>IF(AND('331-CT'!$E$7=TH!H1940,OR(L1940="331",M1940="331")),"331",IF(AND(OR(L1940="131",M1940="131"),H1940='131-CT'!$E$7),"131",""))</f>
        <v/>
      </c>
      <c r="O1940" s="39" t="str">
        <f>IF(AND($B1940&gt;='111'!$N$11,$B1940&lt;='111'!$O$11,OR($L1940=$O$7,$M1940=$O$7)),"x","")</f>
        <v/>
      </c>
      <c r="P1940" s="39" t="str">
        <f>IF(AND($L1940=$O$7,$B1940&lt;'111'!$N$11),"x","")</f>
        <v/>
      </c>
      <c r="Q1940" s="39" t="str">
        <f>IF(AND($M1940=$O$7,$B1940&lt;'111'!$N$11),"x","")</f>
        <v/>
      </c>
      <c r="R1940" s="39" t="str">
        <f>IF(ISERROR(FIND('112'!$M$9,G1940,1)),"",IF((AND(FIND('112'!$M$9,G1940,1)&gt;=1,$B1940&gt;='112'!$N$8,$B1940&lt;='112'!$O$8,OR($L1940='112'!$I$6,$M1940='112'!$I$6))),"x",""))</f>
        <v/>
      </c>
      <c r="S1940" s="39" t="str">
        <f>IF(ISERROR(FIND('112'!$M$9,G1940,1)),"",IF((AND(LEFT(G1940,2)=LEFT('112'!$M$9,2),B1940&lt;'112'!$N$8,$L1940='112'!$I$6)),"x",""))</f>
        <v/>
      </c>
      <c r="T1940" s="39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39" t="str">
        <f>IF(OR(TH!L1940=TH!$V$7,M1940=TH!$V$7),"x","")</f>
        <v/>
      </c>
      <c r="W1940" s="39" t="str">
        <f>IF(AND(B1940&gt;='IN-NX'!$P$3,B1940&lt;='IN-NX'!$Q$3,'IN-NX'!$D$7=D1940,OR(LEFT(L1940,2)="15",AND(LEFT(M1940,2)&lt;&gt;"15",LEFT(M1940,2)&lt;&gt;"33"))),"x","")</f>
        <v/>
      </c>
      <c r="X1940" s="39" t="str">
        <f>IF(AND(OR(LEFT(TH!L1940,2)="15",LEFT(TH!M1940,2)="15"),'152-CT'!$J$8=TH!F1940),"x","")</f>
        <v/>
      </c>
      <c r="Y1940" s="39" t="str">
        <f>IF(AND(OR(LEFT(TH!L1940,2)="15",LEFT(TH!M1940,2)="15"),TK!$E$7=TH!F1940),"x","")</f>
        <v/>
      </c>
      <c r="Z1940" s="39" t="str">
        <f>IF(AND(B1940&lt;=NKC!$N$8,B1940&gt;=NKC!$M$8),"x","")</f>
        <v>x</v>
      </c>
      <c r="AA1940" s="883"/>
    </row>
    <row r="1941" spans="1:27" s="211" customFormat="1" ht="15.75" customHeight="1">
      <c r="A1941" s="204" t="str">
        <f>IF(B1941&lt;&gt;"",IF(AND(B1941&gt;=_TM1,B1941&lt;=_TM2,OR(TH!L1941="1111",TH!M1941="1111")),TH!D1941,""),"")</f>
        <v/>
      </c>
      <c r="B1941" s="36">
        <f t="shared" si="473"/>
        <v>8</v>
      </c>
      <c r="C1941" s="191">
        <f t="shared" si="475"/>
        <v>41505</v>
      </c>
      <c r="D1941" s="37" t="s">
        <v>487</v>
      </c>
      <c r="E1941" s="37">
        <v>41505</v>
      </c>
      <c r="F1941" s="40" t="s">
        <v>865</v>
      </c>
      <c r="G1941" s="40" t="s">
        <v>912</v>
      </c>
      <c r="H1941" s="7" t="s">
        <v>1290</v>
      </c>
      <c r="I1941" s="256">
        <v>505</v>
      </c>
      <c r="J1941" s="256">
        <v>20664.655641520432</v>
      </c>
      <c r="K1941" s="602">
        <f t="shared" si="474"/>
        <v>10435651</v>
      </c>
      <c r="L1941" s="39" t="s">
        <v>173</v>
      </c>
      <c r="M1941" s="39" t="s">
        <v>167</v>
      </c>
      <c r="N1941" s="39" t="str">
        <f>IF(AND('331-CT'!$E$7=TH!H1941,OR(L1941="331",M1941="331")),"331",IF(AND(OR(L1941="131",M1941="131"),H1941='131-CT'!$E$7),"131",""))</f>
        <v/>
      </c>
      <c r="O1941" s="39" t="str">
        <f>IF(AND($B1941&gt;='111'!$N$11,$B1941&lt;='111'!$O$11,OR($L1941=$O$7,$M1941=$O$7)),"x","")</f>
        <v/>
      </c>
      <c r="P1941" s="39" t="str">
        <f>IF(AND($L1941=$O$7,$B1941&lt;'111'!$N$11),"x","")</f>
        <v/>
      </c>
      <c r="Q1941" s="39" t="str">
        <f>IF(AND($M1941=$O$7,$B1941&lt;'111'!$N$11),"x","")</f>
        <v/>
      </c>
      <c r="R1941" s="39" t="str">
        <f>IF(ISERROR(FIND('112'!$M$9,G1941,1)),"",IF((AND(FIND('112'!$M$9,G1941,1)&gt;=1,$B1941&gt;='112'!$N$8,$B1941&lt;='112'!$O$8,OR($L1941='112'!$I$6,$M1941='112'!$I$6))),"x",""))</f>
        <v/>
      </c>
      <c r="S1941" s="39" t="str">
        <f>IF(ISERROR(FIND('112'!$M$9,G1941,1)),"",IF((AND(LEFT(G1941,2)=LEFT('112'!$M$9,2),B1941&lt;'112'!$N$8,$L1941='112'!$I$6)),"x",""))</f>
        <v/>
      </c>
      <c r="T1941" s="39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39" t="str">
        <f>IF(OR(TH!L1941=TH!$V$7,M1941=TH!$V$7),"x","")</f>
        <v/>
      </c>
      <c r="W1941" s="39" t="str">
        <f>IF(AND(B1941&gt;='IN-NX'!$P$3,B1941&lt;='IN-NX'!$Q$3,'IN-NX'!$D$7=D1941,OR(LEFT(L1941,2)="15",AND(LEFT(M1941,2)&lt;&gt;"15",LEFT(M1941,2)&lt;&gt;"33"))),"x","")</f>
        <v/>
      </c>
      <c r="X1941" s="39" t="str">
        <f>IF(AND(OR(LEFT(TH!L1941,2)="15",LEFT(TH!M1941,2)="15"),'152-CT'!$J$8=TH!F1941),"x","")</f>
        <v/>
      </c>
      <c r="Y1941" s="39" t="str">
        <f>IF(AND(OR(LEFT(TH!L1941,2)="15",LEFT(TH!M1941,2)="15"),TK!$E$7=TH!F1941),"x","")</f>
        <v/>
      </c>
      <c r="Z1941" s="39" t="str">
        <f>IF(AND(B1941&lt;=NKC!$N$8,B1941&gt;=NKC!$M$8),"x","")</f>
        <v>x</v>
      </c>
      <c r="AA1941" s="883"/>
    </row>
    <row r="1942" spans="1:27" s="211" customFormat="1" ht="15.75" customHeight="1">
      <c r="A1942" s="204" t="str">
        <f>IF(B1942&lt;&gt;"",IF(AND(B1942&gt;=_TM1,B1942&lt;=_TM2,OR(TH!L1942="1111",TH!M1942="1111")),TH!D1942,""),"")</f>
        <v/>
      </c>
      <c r="B1942" s="36">
        <f t="shared" si="473"/>
        <v>8</v>
      </c>
      <c r="C1942" s="191">
        <f t="shared" si="475"/>
        <v>41506</v>
      </c>
      <c r="D1942" s="37" t="s">
        <v>487</v>
      </c>
      <c r="E1942" s="37">
        <v>41506</v>
      </c>
      <c r="F1942" s="40" t="s">
        <v>1152</v>
      </c>
      <c r="G1942" s="40" t="s">
        <v>913</v>
      </c>
      <c r="H1942" s="7" t="s">
        <v>1290</v>
      </c>
      <c r="I1942" s="256">
        <v>2573</v>
      </c>
      <c r="J1942" s="256">
        <v>4204.3319526416371</v>
      </c>
      <c r="K1942" s="602">
        <f t="shared" si="474"/>
        <v>10817746</v>
      </c>
      <c r="L1942" s="39" t="s">
        <v>173</v>
      </c>
      <c r="M1942" s="39" t="s">
        <v>167</v>
      </c>
      <c r="N1942" s="39" t="str">
        <f>IF(AND('331-CT'!$E$7=TH!H1942,OR(L1942="331",M1942="331")),"331",IF(AND(OR(L1942="131",M1942="131"),H1942='131-CT'!$E$7),"131",""))</f>
        <v/>
      </c>
      <c r="O1942" s="39" t="str">
        <f>IF(AND($B1942&gt;='111'!$N$11,$B1942&lt;='111'!$O$11,OR($L1942=$O$7,$M1942=$O$7)),"x","")</f>
        <v/>
      </c>
      <c r="P1942" s="39" t="str">
        <f>IF(AND($L1942=$O$7,$B1942&lt;'111'!$N$11),"x","")</f>
        <v/>
      </c>
      <c r="Q1942" s="39" t="str">
        <f>IF(AND($M1942=$O$7,$B1942&lt;'111'!$N$11),"x","")</f>
        <v/>
      </c>
      <c r="R1942" s="39" t="str">
        <f>IF(ISERROR(FIND('112'!$M$9,G1942,1)),"",IF((AND(FIND('112'!$M$9,G1942,1)&gt;=1,$B1942&gt;='112'!$N$8,$B1942&lt;='112'!$O$8,OR($L1942='112'!$I$6,$M1942='112'!$I$6))),"x",""))</f>
        <v/>
      </c>
      <c r="S1942" s="39" t="str">
        <f>IF(ISERROR(FIND('112'!$M$9,G1942,1)),"",IF((AND(LEFT(G1942,2)=LEFT('112'!$M$9,2),B1942&lt;'112'!$N$8,$L1942='112'!$I$6)),"x",""))</f>
        <v/>
      </c>
      <c r="T1942" s="39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39" t="str">
        <f>IF(OR(TH!L1942=TH!$V$7,M1942=TH!$V$7),"x","")</f>
        <v/>
      </c>
      <c r="W1942" s="39" t="str">
        <f>IF(AND(B1942&gt;='IN-NX'!$P$3,B1942&lt;='IN-NX'!$Q$3,'IN-NX'!$D$7=D1942,OR(LEFT(L1942,2)="15",AND(LEFT(M1942,2)&lt;&gt;"15",LEFT(M1942,2)&lt;&gt;"33"))),"x","")</f>
        <v/>
      </c>
      <c r="X1942" s="39" t="str">
        <f>IF(AND(OR(LEFT(TH!L1942,2)="15",LEFT(TH!M1942,2)="15"),'152-CT'!$J$8=TH!F1942),"x","")</f>
        <v/>
      </c>
      <c r="Y1942" s="39" t="str">
        <f>IF(AND(OR(LEFT(TH!L1942,2)="15",LEFT(TH!M1942,2)="15"),TK!$E$7=TH!F1942),"x","")</f>
        <v/>
      </c>
      <c r="Z1942" s="39" t="str">
        <f>IF(AND(B1942&lt;=NKC!$N$8,B1942&gt;=NKC!$M$8),"x","")</f>
        <v>x</v>
      </c>
      <c r="AA1942" s="883"/>
    </row>
    <row r="1943" spans="1:27" s="211" customFormat="1" ht="15.75" customHeight="1">
      <c r="A1943" s="204" t="str">
        <f>IF(B1943&lt;&gt;"",IF(AND(B1943&gt;=_TM1,B1943&lt;=_TM2,OR(TH!L1943="1111",TH!M1943="1111")),TH!D1943,""),"")</f>
        <v/>
      </c>
      <c r="B1943" s="36">
        <f t="shared" si="473"/>
        <v>8</v>
      </c>
      <c r="C1943" s="191">
        <f t="shared" si="475"/>
        <v>41506</v>
      </c>
      <c r="D1943" s="37" t="s">
        <v>487</v>
      </c>
      <c r="E1943" s="37">
        <v>41506</v>
      </c>
      <c r="F1943" s="40" t="s">
        <v>1147</v>
      </c>
      <c r="G1943" s="40" t="s">
        <v>915</v>
      </c>
      <c r="H1943" s="7" t="s">
        <v>1290</v>
      </c>
      <c r="I1943" s="256">
        <v>2500</v>
      </c>
      <c r="J1943" s="256">
        <v>3793.1462355798421</v>
      </c>
      <c r="K1943" s="602">
        <f t="shared" si="474"/>
        <v>9482866</v>
      </c>
      <c r="L1943" s="39" t="s">
        <v>173</v>
      </c>
      <c r="M1943" s="39" t="s">
        <v>167</v>
      </c>
      <c r="N1943" s="39" t="str">
        <f>IF(AND('331-CT'!$E$7=TH!H1943,OR(L1943="331",M1943="331")),"331",IF(AND(OR(L1943="131",M1943="131"),H1943='131-CT'!$E$7),"131",""))</f>
        <v/>
      </c>
      <c r="O1943" s="39" t="str">
        <f>IF(AND($B1943&gt;='111'!$N$11,$B1943&lt;='111'!$O$11,OR($L1943=$O$7,$M1943=$O$7)),"x","")</f>
        <v/>
      </c>
      <c r="P1943" s="39" t="str">
        <f>IF(AND($L1943=$O$7,$B1943&lt;'111'!$N$11),"x","")</f>
        <v/>
      </c>
      <c r="Q1943" s="39" t="str">
        <f>IF(AND($M1943=$O$7,$B1943&lt;'111'!$N$11),"x","")</f>
        <v/>
      </c>
      <c r="R1943" s="39" t="str">
        <f>IF(ISERROR(FIND('112'!$M$9,G1943,1)),"",IF((AND(FIND('112'!$M$9,G1943,1)&gt;=1,$B1943&gt;='112'!$N$8,$B1943&lt;='112'!$O$8,OR($L1943='112'!$I$6,$M1943='112'!$I$6))),"x",""))</f>
        <v/>
      </c>
      <c r="S1943" s="39" t="str">
        <f>IF(ISERROR(FIND('112'!$M$9,G1943,1)),"",IF((AND(LEFT(G1943,2)=LEFT('112'!$M$9,2),B1943&lt;'112'!$N$8,$L1943='112'!$I$6)),"x",""))</f>
        <v/>
      </c>
      <c r="T1943" s="39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39" t="str">
        <f>IF(OR(TH!L1943=TH!$V$7,M1943=TH!$V$7),"x","")</f>
        <v/>
      </c>
      <c r="W1943" s="39" t="str">
        <f>IF(AND(B1943&gt;='IN-NX'!$P$3,B1943&lt;='IN-NX'!$Q$3,'IN-NX'!$D$7=D1943,OR(LEFT(L1943,2)="15",AND(LEFT(M1943,2)&lt;&gt;"15",LEFT(M1943,2)&lt;&gt;"33"))),"x","")</f>
        <v/>
      </c>
      <c r="X1943" s="39" t="str">
        <f>IF(AND(OR(LEFT(TH!L1943,2)="15",LEFT(TH!M1943,2)="15"),'152-CT'!$J$8=TH!F1943),"x","")</f>
        <v/>
      </c>
      <c r="Y1943" s="39" t="str">
        <f>IF(AND(OR(LEFT(TH!L1943,2)="15",LEFT(TH!M1943,2)="15"),TK!$E$7=TH!F1943),"x","")</f>
        <v/>
      </c>
      <c r="Z1943" s="39" t="str">
        <f>IF(AND(B1943&lt;=NKC!$N$8,B1943&gt;=NKC!$M$8),"x","")</f>
        <v>x</v>
      </c>
      <c r="AA1943" s="883"/>
    </row>
    <row r="1944" spans="1:27" s="211" customFormat="1" ht="15.75" customHeight="1">
      <c r="A1944" s="204" t="str">
        <f>IF(B1944&lt;&gt;"",IF(AND(B1944&gt;=_TM1,B1944&lt;=_TM2,OR(TH!L1944="1111",TH!M1944="1111")),TH!D1944,""),"")</f>
        <v/>
      </c>
      <c r="B1944" s="36">
        <f t="shared" si="473"/>
        <v>8</v>
      </c>
      <c r="C1944" s="191">
        <f t="shared" si="475"/>
        <v>41506</v>
      </c>
      <c r="D1944" s="37" t="s">
        <v>487</v>
      </c>
      <c r="E1944" s="37">
        <v>41506</v>
      </c>
      <c r="F1944" s="40" t="s">
        <v>1147</v>
      </c>
      <c r="G1944" s="40" t="s">
        <v>916</v>
      </c>
      <c r="H1944" s="7" t="s">
        <v>1290</v>
      </c>
      <c r="I1944" s="256">
        <v>3200</v>
      </c>
      <c r="J1944" s="256">
        <v>4077.087485579842</v>
      </c>
      <c r="K1944" s="602">
        <f t="shared" si="474"/>
        <v>13046680</v>
      </c>
      <c r="L1944" s="39" t="s">
        <v>173</v>
      </c>
      <c r="M1944" s="39" t="s">
        <v>167</v>
      </c>
      <c r="N1944" s="39" t="str">
        <f>IF(AND('331-CT'!$E$7=TH!H1944,OR(L1944="331",M1944="331")),"331",IF(AND(OR(L1944="131",M1944="131"),H1944='131-CT'!$E$7),"131",""))</f>
        <v/>
      </c>
      <c r="O1944" s="39" t="str">
        <f>IF(AND($B1944&gt;='111'!$N$11,$B1944&lt;='111'!$O$11,OR($L1944=$O$7,$M1944=$O$7)),"x","")</f>
        <v/>
      </c>
      <c r="P1944" s="39" t="str">
        <f>IF(AND($L1944=$O$7,$B1944&lt;'111'!$N$11),"x","")</f>
        <v/>
      </c>
      <c r="Q1944" s="39" t="str">
        <f>IF(AND($M1944=$O$7,$B1944&lt;'111'!$N$11),"x","")</f>
        <v/>
      </c>
      <c r="R1944" s="39" t="str">
        <f>IF(ISERROR(FIND('112'!$M$9,G1944,1)),"",IF((AND(FIND('112'!$M$9,G1944,1)&gt;=1,$B1944&gt;='112'!$N$8,$B1944&lt;='112'!$O$8,OR($L1944='112'!$I$6,$M1944='112'!$I$6))),"x",""))</f>
        <v/>
      </c>
      <c r="S1944" s="39" t="str">
        <f>IF(ISERROR(FIND('112'!$M$9,G1944,1)),"",IF((AND(LEFT(G1944,2)=LEFT('112'!$M$9,2),B1944&lt;'112'!$N$8,$L1944='112'!$I$6)),"x",""))</f>
        <v/>
      </c>
      <c r="T1944" s="39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39" t="str">
        <f>IF(OR(TH!L1944=TH!$V$7,M1944=TH!$V$7),"x","")</f>
        <v/>
      </c>
      <c r="W1944" s="39" t="str">
        <f>IF(AND(B1944&gt;='IN-NX'!$P$3,B1944&lt;='IN-NX'!$Q$3,'IN-NX'!$D$7=D1944,OR(LEFT(L1944,2)="15",AND(LEFT(M1944,2)&lt;&gt;"15",LEFT(M1944,2)&lt;&gt;"33"))),"x","")</f>
        <v/>
      </c>
      <c r="X1944" s="39" t="str">
        <f>IF(AND(OR(LEFT(TH!L1944,2)="15",LEFT(TH!M1944,2)="15"),'152-CT'!$J$8=TH!F1944),"x","")</f>
        <v/>
      </c>
      <c r="Y1944" s="39" t="str">
        <f>IF(AND(OR(LEFT(TH!L1944,2)="15",LEFT(TH!M1944,2)="15"),TK!$E$7=TH!F1944),"x","")</f>
        <v/>
      </c>
      <c r="Z1944" s="39" t="str">
        <f>IF(AND(B1944&lt;=NKC!$N$8,B1944&gt;=NKC!$M$8),"x","")</f>
        <v>x</v>
      </c>
      <c r="AA1944" s="883"/>
    </row>
    <row r="1945" spans="1:27" s="211" customFormat="1" ht="15.75" customHeight="1">
      <c r="A1945" s="204" t="str">
        <f>IF(B1945&lt;&gt;"",IF(AND(B1945&gt;=_TM1,B1945&lt;=_TM2,OR(TH!L1945="1111",TH!M1945="1111")),TH!D1945,""),"")</f>
        <v/>
      </c>
      <c r="B1945" s="36">
        <f t="shared" si="473"/>
        <v>8</v>
      </c>
      <c r="C1945" s="191">
        <f t="shared" si="475"/>
        <v>41507</v>
      </c>
      <c r="D1945" s="37" t="s">
        <v>487</v>
      </c>
      <c r="E1945" s="37">
        <v>41507</v>
      </c>
      <c r="F1945" s="40" t="s">
        <v>758</v>
      </c>
      <c r="G1945" s="40" t="s">
        <v>917</v>
      </c>
      <c r="H1945" s="7" t="s">
        <v>1290</v>
      </c>
      <c r="I1945" s="256">
        <v>296</v>
      </c>
      <c r="J1945" s="256">
        <v>8390.0692085528153</v>
      </c>
      <c r="K1945" s="602">
        <f t="shared" si="474"/>
        <v>2483460</v>
      </c>
      <c r="L1945" s="39" t="s">
        <v>173</v>
      </c>
      <c r="M1945" s="39" t="s">
        <v>167</v>
      </c>
      <c r="N1945" s="39" t="str">
        <f>IF(AND('331-CT'!$E$7=TH!H1945,OR(L1945="331",M1945="331")),"331",IF(AND(OR(L1945="131",M1945="131"),H1945='131-CT'!$E$7),"131",""))</f>
        <v/>
      </c>
      <c r="O1945" s="39" t="str">
        <f>IF(AND($B1945&gt;='111'!$N$11,$B1945&lt;='111'!$O$11,OR($L1945=$O$7,$M1945=$O$7)),"x","")</f>
        <v/>
      </c>
      <c r="P1945" s="39" t="str">
        <f>IF(AND($L1945=$O$7,$B1945&lt;'111'!$N$11),"x","")</f>
        <v/>
      </c>
      <c r="Q1945" s="39" t="str">
        <f>IF(AND($M1945=$O$7,$B1945&lt;'111'!$N$11),"x","")</f>
        <v/>
      </c>
      <c r="R1945" s="39" t="str">
        <f>IF(ISERROR(FIND('112'!$M$9,G1945,1)),"",IF((AND(FIND('112'!$M$9,G1945,1)&gt;=1,$B1945&gt;='112'!$N$8,$B1945&lt;='112'!$O$8,OR($L1945='112'!$I$6,$M1945='112'!$I$6))),"x",""))</f>
        <v/>
      </c>
      <c r="S1945" s="39" t="str">
        <f>IF(ISERROR(FIND('112'!$M$9,G1945,1)),"",IF((AND(LEFT(G1945,2)=LEFT('112'!$M$9,2),B1945&lt;'112'!$N$8,$L1945='112'!$I$6)),"x",""))</f>
        <v/>
      </c>
      <c r="T1945" s="39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39" t="str">
        <f>IF(OR(TH!L1945=TH!$V$7,M1945=TH!$V$7),"x","")</f>
        <v/>
      </c>
      <c r="W1945" s="39" t="str">
        <f>IF(AND(B1945&gt;='IN-NX'!$P$3,B1945&lt;='IN-NX'!$Q$3,'IN-NX'!$D$7=D1945,OR(LEFT(L1945,2)="15",AND(LEFT(M1945,2)&lt;&gt;"15",LEFT(M1945,2)&lt;&gt;"33"))),"x","")</f>
        <v/>
      </c>
      <c r="X1945" s="39" t="str">
        <f>IF(AND(OR(LEFT(TH!L1945,2)="15",LEFT(TH!M1945,2)="15"),'152-CT'!$J$8=TH!F1945),"x","")</f>
        <v/>
      </c>
      <c r="Y1945" s="39" t="str">
        <f>IF(AND(OR(LEFT(TH!L1945,2)="15",LEFT(TH!M1945,2)="15"),TK!$E$7=TH!F1945),"x","")</f>
        <v/>
      </c>
      <c r="Z1945" s="39" t="str">
        <f>IF(AND(B1945&lt;=NKC!$N$8,B1945&gt;=NKC!$M$8),"x","")</f>
        <v>x</v>
      </c>
      <c r="AA1945" s="883"/>
    </row>
    <row r="1946" spans="1:27" s="211" customFormat="1" ht="15.75" customHeight="1">
      <c r="A1946" s="204" t="str">
        <f>IF(B1946&lt;&gt;"",IF(AND(B1946&gt;=_TM1,B1946&lt;=_TM2,OR(TH!L1946="1111",TH!M1946="1111")),TH!D1946,""),"")</f>
        <v/>
      </c>
      <c r="B1946" s="36">
        <f t="shared" si="473"/>
        <v>8</v>
      </c>
      <c r="C1946" s="191">
        <f t="shared" si="475"/>
        <v>41511</v>
      </c>
      <c r="D1946" s="37" t="s">
        <v>487</v>
      </c>
      <c r="E1946" s="37">
        <v>41511</v>
      </c>
      <c r="F1946" s="40" t="s">
        <v>918</v>
      </c>
      <c r="G1946" s="40" t="s">
        <v>919</v>
      </c>
      <c r="H1946" s="7" t="s">
        <v>1290</v>
      </c>
      <c r="I1946" s="256">
        <v>52</v>
      </c>
      <c r="J1946" s="256">
        <v>9217.0193125029182</v>
      </c>
      <c r="K1946" s="602">
        <f t="shared" si="474"/>
        <v>479285</v>
      </c>
      <c r="L1946" s="39" t="s">
        <v>173</v>
      </c>
      <c r="M1946" s="39" t="s">
        <v>167</v>
      </c>
      <c r="N1946" s="39" t="str">
        <f>IF(AND('331-CT'!$E$7=TH!H1946,OR(L1946="331",M1946="331")),"331",IF(AND(OR(L1946="131",M1946="131"),H1946='131-CT'!$E$7),"131",""))</f>
        <v/>
      </c>
      <c r="O1946" s="39" t="str">
        <f>IF(AND($B1946&gt;='111'!$N$11,$B1946&lt;='111'!$O$11,OR($L1946=$O$7,$M1946=$O$7)),"x","")</f>
        <v/>
      </c>
      <c r="P1946" s="39" t="str">
        <f>IF(AND($L1946=$O$7,$B1946&lt;'111'!$N$11),"x","")</f>
        <v/>
      </c>
      <c r="Q1946" s="39" t="str">
        <f>IF(AND($M1946=$O$7,$B1946&lt;'111'!$N$11),"x","")</f>
        <v/>
      </c>
      <c r="R1946" s="39" t="str">
        <f>IF(ISERROR(FIND('112'!$M$9,G1946,1)),"",IF((AND(FIND('112'!$M$9,G1946,1)&gt;=1,$B1946&gt;='112'!$N$8,$B1946&lt;='112'!$O$8,OR($L1946='112'!$I$6,$M1946='112'!$I$6))),"x",""))</f>
        <v/>
      </c>
      <c r="S1946" s="39" t="str">
        <f>IF(ISERROR(FIND('112'!$M$9,G1946,1)),"",IF((AND(LEFT(G1946,2)=LEFT('112'!$M$9,2),B1946&lt;'112'!$N$8,$L1946='112'!$I$6)),"x",""))</f>
        <v/>
      </c>
      <c r="T1946" s="39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39" t="str">
        <f>IF(OR(TH!L1946=TH!$V$7,M1946=TH!$V$7),"x","")</f>
        <v/>
      </c>
      <c r="W1946" s="39" t="str">
        <f>IF(AND(B1946&gt;='IN-NX'!$P$3,B1946&lt;='IN-NX'!$Q$3,'IN-NX'!$D$7=D1946,OR(LEFT(L1946,2)="15",AND(LEFT(M1946,2)&lt;&gt;"15",LEFT(M1946,2)&lt;&gt;"33"))),"x","")</f>
        <v/>
      </c>
      <c r="X1946" s="39" t="str">
        <f>IF(AND(OR(LEFT(TH!L1946,2)="15",LEFT(TH!M1946,2)="15"),'152-CT'!$J$8=TH!F1946),"x","")</f>
        <v/>
      </c>
      <c r="Y1946" s="39" t="str">
        <f>IF(AND(OR(LEFT(TH!L1946,2)="15",LEFT(TH!M1946,2)="15"),TK!$E$7=TH!F1946),"x","")</f>
        <v/>
      </c>
      <c r="Z1946" s="39" t="str">
        <f>IF(AND(B1946&lt;=NKC!$N$8,B1946&gt;=NKC!$M$8),"x","")</f>
        <v>x</v>
      </c>
      <c r="AA1946" s="883"/>
    </row>
    <row r="1947" spans="1:27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473"/>
        <v>8</v>
      </c>
      <c r="C1947" s="191">
        <f t="shared" si="475"/>
        <v>41511</v>
      </c>
      <c r="D1947" s="37" t="s">
        <v>487</v>
      </c>
      <c r="E1947" s="37">
        <v>41511</v>
      </c>
      <c r="F1947" s="40" t="s">
        <v>1160</v>
      </c>
      <c r="G1947" s="40" t="s">
        <v>919</v>
      </c>
      <c r="H1947" s="7" t="s">
        <v>1290</v>
      </c>
      <c r="I1947" s="256">
        <v>1390</v>
      </c>
      <c r="J1947" s="256">
        <v>5607.8624226302018</v>
      </c>
      <c r="K1947" s="602">
        <f t="shared" si="474"/>
        <v>7794929</v>
      </c>
      <c r="L1947" s="39" t="s">
        <v>173</v>
      </c>
      <c r="M1947" s="39" t="s">
        <v>167</v>
      </c>
      <c r="N1947" s="39" t="str">
        <f>IF(AND('331-CT'!$E$7=TH!H1947,OR(L1947="331",M1947="331")),"331",IF(AND(OR(L1947="131",M1947="131"),H1947='131-CT'!$E$7),"131",""))</f>
        <v/>
      </c>
      <c r="O1947" s="39" t="str">
        <f>IF(AND($B1947&gt;='111'!$N$11,$B1947&lt;='111'!$O$11,OR($L1947=$O$7,$M1947=$O$7)),"x","")</f>
        <v/>
      </c>
      <c r="P1947" s="39" t="str">
        <f>IF(AND($L1947=$O$7,$B1947&lt;'111'!$N$11),"x","")</f>
        <v/>
      </c>
      <c r="Q1947" s="39" t="str">
        <f>IF(AND($M1947=$O$7,$B1947&lt;'111'!$N$11),"x","")</f>
        <v/>
      </c>
      <c r="R1947" s="39" t="str">
        <f>IF(ISERROR(FIND('112'!$M$9,G1947,1)),"",IF((AND(FIND('112'!$M$9,G1947,1)&gt;=1,$B1947&gt;='112'!$N$8,$B1947&lt;='112'!$O$8,OR($L1947='112'!$I$6,$M1947='112'!$I$6))),"x",""))</f>
        <v/>
      </c>
      <c r="S1947" s="39" t="str">
        <f>IF(ISERROR(FIND('112'!$M$9,G1947,1)),"",IF((AND(LEFT(G1947,2)=LEFT('112'!$M$9,2),B1947&lt;'112'!$N$8,$L1947='112'!$I$6)),"x",""))</f>
        <v/>
      </c>
      <c r="T1947" s="39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39" t="str">
        <f>IF(OR(TH!L1947=TH!$V$7,M1947=TH!$V$7),"x","")</f>
        <v/>
      </c>
      <c r="W1947" s="39" t="str">
        <f>IF(AND(B1947&gt;='IN-NX'!$P$3,B1947&lt;='IN-NX'!$Q$3,'IN-NX'!$D$7=D1947,OR(LEFT(L1947,2)="15",AND(LEFT(M1947,2)&lt;&gt;"15",LEFT(M1947,2)&lt;&gt;"33"))),"x","")</f>
        <v/>
      </c>
      <c r="X1947" s="39" t="str">
        <f>IF(AND(OR(LEFT(TH!L1947,2)="15",LEFT(TH!M1947,2)="15"),'152-CT'!$J$8=TH!F1947),"x","")</f>
        <v/>
      </c>
      <c r="Y1947" s="39" t="str">
        <f>IF(AND(OR(LEFT(TH!L1947,2)="15",LEFT(TH!M1947,2)="15"),TK!$E$7=TH!F1947),"x","")</f>
        <v/>
      </c>
      <c r="Z1947" s="39" t="str">
        <f>IF(AND(B1947&lt;=NKC!$N$8,B1947&gt;=NKC!$M$8),"x","")</f>
        <v>x</v>
      </c>
      <c r="AA1947" s="883"/>
    </row>
    <row r="1948" spans="1:27" s="211" customFormat="1" ht="15.75" customHeight="1">
      <c r="A1948" s="204" t="str">
        <f>IF(B1948&lt;&gt;"",IF(AND(B1948&gt;=_TM1,B1948&lt;=_TM2,OR(TH!L1948="1111",TH!M1948="1111")),TH!D1948,""),"")</f>
        <v/>
      </c>
      <c r="B1948" s="36">
        <f t="shared" si="473"/>
        <v>8</v>
      </c>
      <c r="C1948" s="191">
        <f t="shared" si="475"/>
        <v>41511</v>
      </c>
      <c r="D1948" s="37" t="s">
        <v>487</v>
      </c>
      <c r="E1948" s="37">
        <v>41511</v>
      </c>
      <c r="F1948" s="40" t="s">
        <v>920</v>
      </c>
      <c r="G1948" s="40" t="s">
        <v>919</v>
      </c>
      <c r="H1948" s="7" t="s">
        <v>1290</v>
      </c>
      <c r="I1948" s="256">
        <v>310</v>
      </c>
      <c r="J1948" s="256">
        <v>5362.596235579842</v>
      </c>
      <c r="K1948" s="602">
        <f t="shared" si="474"/>
        <v>1662405</v>
      </c>
      <c r="L1948" s="39" t="s">
        <v>173</v>
      </c>
      <c r="M1948" s="39" t="s">
        <v>167</v>
      </c>
      <c r="N1948" s="39" t="str">
        <f>IF(AND('331-CT'!$E$7=TH!H1948,OR(L1948="331",M1948="331")),"331",IF(AND(OR(L1948="131",M1948="131"),H1948='131-CT'!$E$7),"131",""))</f>
        <v/>
      </c>
      <c r="O1948" s="39" t="str">
        <f>IF(AND($B1948&gt;='111'!$N$11,$B1948&lt;='111'!$O$11,OR($L1948=$O$7,$M1948=$O$7)),"x","")</f>
        <v/>
      </c>
      <c r="P1948" s="39" t="str">
        <f>IF(AND($L1948=$O$7,$B1948&lt;'111'!$N$11),"x","")</f>
        <v/>
      </c>
      <c r="Q1948" s="39" t="str">
        <f>IF(AND($M1948=$O$7,$B1948&lt;'111'!$N$11),"x","")</f>
        <v/>
      </c>
      <c r="R1948" s="39" t="str">
        <f>IF(ISERROR(FIND('112'!$M$9,G1948,1)),"",IF((AND(FIND('112'!$M$9,G1948,1)&gt;=1,$B1948&gt;='112'!$N$8,$B1948&lt;='112'!$O$8,OR($L1948='112'!$I$6,$M1948='112'!$I$6))),"x",""))</f>
        <v/>
      </c>
      <c r="S1948" s="39" t="str">
        <f>IF(ISERROR(FIND('112'!$M$9,G1948,1)),"",IF((AND(LEFT(G1948,2)=LEFT('112'!$M$9,2),B1948&lt;'112'!$N$8,$L1948='112'!$I$6)),"x",""))</f>
        <v/>
      </c>
      <c r="T1948" s="39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39" t="str">
        <f>IF(OR(TH!L1948=TH!$V$7,M1948=TH!$V$7),"x","")</f>
        <v/>
      </c>
      <c r="W1948" s="39" t="str">
        <f>IF(AND(B1948&gt;='IN-NX'!$P$3,B1948&lt;='IN-NX'!$Q$3,'IN-NX'!$D$7=D1948,OR(LEFT(L1948,2)="15",AND(LEFT(M1948,2)&lt;&gt;"15",LEFT(M1948,2)&lt;&gt;"33"))),"x","")</f>
        <v/>
      </c>
      <c r="X1948" s="39" t="str">
        <f>IF(AND(OR(LEFT(TH!L1948,2)="15",LEFT(TH!M1948,2)="15"),'152-CT'!$J$8=TH!F1948),"x","")</f>
        <v/>
      </c>
      <c r="Y1948" s="39" t="str">
        <f>IF(AND(OR(LEFT(TH!L1948,2)="15",LEFT(TH!M1948,2)="15"),TK!$E$7=TH!F1948),"x","")</f>
        <v/>
      </c>
      <c r="Z1948" s="39" t="str">
        <f>IF(AND(B1948&lt;=NKC!$N$8,B1948&gt;=NKC!$M$8),"x","")</f>
        <v>x</v>
      </c>
      <c r="AA1948" s="883"/>
    </row>
    <row r="1949" spans="1:27" s="211" customFormat="1" ht="15.75" customHeight="1">
      <c r="A1949" s="204" t="str">
        <f>IF(B1949&lt;&gt;"",IF(AND(B1949&gt;=_TM1,B1949&lt;=_TM2,OR(TH!L1949="1111",TH!M1949="1111")),TH!D1949,""),"")</f>
        <v/>
      </c>
      <c r="B1949" s="36">
        <f t="shared" si="473"/>
        <v>8</v>
      </c>
      <c r="C1949" s="191">
        <f t="shared" si="475"/>
        <v>41511</v>
      </c>
      <c r="D1949" s="37" t="s">
        <v>487</v>
      </c>
      <c r="E1949" s="37">
        <v>41511</v>
      </c>
      <c r="F1949" s="40" t="s">
        <v>918</v>
      </c>
      <c r="G1949" s="40" t="s">
        <v>919</v>
      </c>
      <c r="H1949" s="7" t="s">
        <v>1290</v>
      </c>
      <c r="I1949" s="256">
        <v>90</v>
      </c>
      <c r="J1949" s="256">
        <v>8968.6406800242858</v>
      </c>
      <c r="K1949" s="602">
        <f t="shared" si="474"/>
        <v>807178</v>
      </c>
      <c r="L1949" s="39" t="s">
        <v>173</v>
      </c>
      <c r="M1949" s="39" t="s">
        <v>167</v>
      </c>
      <c r="N1949" s="39" t="str">
        <f>IF(AND('331-CT'!$E$7=TH!H1949,OR(L1949="331",M1949="331")),"331",IF(AND(OR(L1949="131",M1949="131"),H1949='131-CT'!$E$7),"131",""))</f>
        <v/>
      </c>
      <c r="O1949" s="39" t="str">
        <f>IF(AND($B1949&gt;='111'!$N$11,$B1949&lt;='111'!$O$11,OR($L1949=$O$7,$M1949=$O$7)),"x","")</f>
        <v/>
      </c>
      <c r="P1949" s="39" t="str">
        <f>IF(AND($L1949=$O$7,$B1949&lt;'111'!$N$11),"x","")</f>
        <v/>
      </c>
      <c r="Q1949" s="39" t="str">
        <f>IF(AND($M1949=$O$7,$B1949&lt;'111'!$N$11),"x","")</f>
        <v/>
      </c>
      <c r="R1949" s="39" t="str">
        <f>IF(ISERROR(FIND('112'!$M$9,G1949,1)),"",IF((AND(FIND('112'!$M$9,G1949,1)&gt;=1,$B1949&gt;='112'!$N$8,$B1949&lt;='112'!$O$8,OR($L1949='112'!$I$6,$M1949='112'!$I$6))),"x",""))</f>
        <v/>
      </c>
      <c r="S1949" s="39" t="str">
        <f>IF(ISERROR(FIND('112'!$M$9,G1949,1)),"",IF((AND(LEFT(G1949,2)=LEFT('112'!$M$9,2),B1949&lt;'112'!$N$8,$L1949='112'!$I$6)),"x",""))</f>
        <v/>
      </c>
      <c r="T1949" s="39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39" t="str">
        <f>IF(OR(TH!L1949=TH!$V$7,M1949=TH!$V$7),"x","")</f>
        <v/>
      </c>
      <c r="W1949" s="39" t="str">
        <f>IF(AND(B1949&gt;='IN-NX'!$P$3,B1949&lt;='IN-NX'!$Q$3,'IN-NX'!$D$7=D1949,OR(LEFT(L1949,2)="15",AND(LEFT(M1949,2)&lt;&gt;"15",LEFT(M1949,2)&lt;&gt;"33"))),"x","")</f>
        <v/>
      </c>
      <c r="X1949" s="39" t="str">
        <f>IF(AND(OR(LEFT(TH!L1949,2)="15",LEFT(TH!M1949,2)="15"),'152-CT'!$J$8=TH!F1949),"x","")</f>
        <v/>
      </c>
      <c r="Y1949" s="39" t="str">
        <f>IF(AND(OR(LEFT(TH!L1949,2)="15",LEFT(TH!M1949,2)="15"),TK!$E$7=TH!F1949),"x","")</f>
        <v/>
      </c>
      <c r="Z1949" s="39" t="str">
        <f>IF(AND(B1949&lt;=NKC!$N$8,B1949&gt;=NKC!$M$8),"x","")</f>
        <v>x</v>
      </c>
      <c r="AA1949" s="883"/>
    </row>
    <row r="1950" spans="1:27" s="211" customFormat="1" ht="15.75" customHeight="1">
      <c r="A1950" s="204" t="str">
        <f>IF(B1950&lt;&gt;"",IF(AND(B1950&gt;=_TM1,B1950&lt;=_TM2,OR(TH!L1950="1111",TH!M1950="1111")),TH!D1950,""),"")</f>
        <v/>
      </c>
      <c r="B1950" s="36">
        <f t="shared" si="473"/>
        <v>8</v>
      </c>
      <c r="C1950" s="191">
        <f t="shared" si="475"/>
        <v>41512</v>
      </c>
      <c r="D1950" s="37" t="s">
        <v>487</v>
      </c>
      <c r="E1950" s="37">
        <v>41512</v>
      </c>
      <c r="F1950" s="40" t="s">
        <v>1149</v>
      </c>
      <c r="G1950" s="40" t="s">
        <v>921</v>
      </c>
      <c r="H1950" s="7" t="s">
        <v>1290</v>
      </c>
      <c r="I1950" s="256">
        <v>1400</v>
      </c>
      <c r="J1950" s="256">
        <v>4369.8533784369847</v>
      </c>
      <c r="K1950" s="602">
        <f t="shared" si="474"/>
        <v>6117795</v>
      </c>
      <c r="L1950" s="39" t="s">
        <v>173</v>
      </c>
      <c r="M1950" s="39" t="s">
        <v>167</v>
      </c>
      <c r="N1950" s="39" t="str">
        <f>IF(AND('331-CT'!$E$7=TH!H1950,OR(L1950="331",M1950="331")),"331",IF(AND(OR(L1950="131",M1950="131"),H1950='131-CT'!$E$7),"131",""))</f>
        <v/>
      </c>
      <c r="O1950" s="39" t="str">
        <f>IF(AND($B1950&gt;='111'!$N$11,$B1950&lt;='111'!$O$11,OR($L1950=$O$7,$M1950=$O$7)),"x","")</f>
        <v/>
      </c>
      <c r="P1950" s="39" t="str">
        <f>IF(AND($L1950=$O$7,$B1950&lt;'111'!$N$11),"x","")</f>
        <v/>
      </c>
      <c r="Q1950" s="39" t="str">
        <f>IF(AND($M1950=$O$7,$B1950&lt;'111'!$N$11),"x","")</f>
        <v/>
      </c>
      <c r="R1950" s="39" t="str">
        <f>IF(ISERROR(FIND('112'!$M$9,G1950,1)),"",IF((AND(FIND('112'!$M$9,G1950,1)&gt;=1,$B1950&gt;='112'!$N$8,$B1950&lt;='112'!$O$8,OR($L1950='112'!$I$6,$M1950='112'!$I$6))),"x",""))</f>
        <v/>
      </c>
      <c r="S1950" s="39" t="str">
        <f>IF(ISERROR(FIND('112'!$M$9,G1950,1)),"",IF((AND(LEFT(G1950,2)=LEFT('112'!$M$9,2),B1950&lt;'112'!$N$8,$L1950='112'!$I$6)),"x",""))</f>
        <v/>
      </c>
      <c r="T1950" s="39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39" t="str">
        <f>IF(OR(TH!L1950=TH!$V$7,M1950=TH!$V$7),"x","")</f>
        <v/>
      </c>
      <c r="W1950" s="39" t="str">
        <f>IF(AND(B1950&gt;='IN-NX'!$P$3,B1950&lt;='IN-NX'!$Q$3,'IN-NX'!$D$7=D1950,OR(LEFT(L1950,2)="15",AND(LEFT(M1950,2)&lt;&gt;"15",LEFT(M1950,2)&lt;&gt;"33"))),"x","")</f>
        <v/>
      </c>
      <c r="X1950" s="39" t="str">
        <f>IF(AND(OR(LEFT(TH!L1950,2)="15",LEFT(TH!M1950,2)="15"),'152-CT'!$J$8=TH!F1950),"x","")</f>
        <v/>
      </c>
      <c r="Y1950" s="39" t="str">
        <f>IF(AND(OR(LEFT(TH!L1950,2)="15",LEFT(TH!M1950,2)="15"),TK!$E$7=TH!F1950),"x","")</f>
        <v/>
      </c>
      <c r="Z1950" s="39" t="str">
        <f>IF(AND(B1950&lt;=NKC!$N$8,B1950&gt;=NKC!$M$8),"x","")</f>
        <v>x</v>
      </c>
      <c r="AA1950" s="883"/>
    </row>
    <row r="1951" spans="1:27" s="211" customFormat="1" ht="15.75" customHeight="1">
      <c r="A1951" s="204" t="str">
        <f>IF(B1951&lt;&gt;"",IF(AND(B1951&gt;=_TM1,B1951&lt;=_TM2,OR(TH!L1951="1111",TH!M1951="1111")),TH!D1951,""),"")</f>
        <v/>
      </c>
      <c r="B1951" s="36">
        <f t="shared" si="473"/>
        <v>8</v>
      </c>
      <c r="C1951" s="191">
        <f t="shared" si="475"/>
        <v>41512</v>
      </c>
      <c r="D1951" s="37" t="s">
        <v>487</v>
      </c>
      <c r="E1951" s="37">
        <v>41512</v>
      </c>
      <c r="F1951" s="40" t="s">
        <v>1149</v>
      </c>
      <c r="G1951" s="40" t="s">
        <v>921</v>
      </c>
      <c r="H1951" s="7" t="s">
        <v>1290</v>
      </c>
      <c r="I1951" s="256">
        <v>2400</v>
      </c>
      <c r="J1951" s="256">
        <v>4387.8008189131751</v>
      </c>
      <c r="K1951" s="602">
        <f t="shared" si="474"/>
        <v>10530722</v>
      </c>
      <c r="L1951" s="39" t="s">
        <v>173</v>
      </c>
      <c r="M1951" s="39" t="s">
        <v>167</v>
      </c>
      <c r="N1951" s="39" t="str">
        <f>IF(AND('331-CT'!$E$7=TH!H1951,OR(L1951="331",M1951="331")),"331",IF(AND(OR(L1951="131",M1951="131"),H1951='131-CT'!$E$7),"131",""))</f>
        <v/>
      </c>
      <c r="O1951" s="39" t="str">
        <f>IF(AND($B1951&gt;='111'!$N$11,$B1951&lt;='111'!$O$11,OR($L1951=$O$7,$M1951=$O$7)),"x","")</f>
        <v/>
      </c>
      <c r="P1951" s="39" t="str">
        <f>IF(AND($L1951=$O$7,$B1951&lt;'111'!$N$11),"x","")</f>
        <v/>
      </c>
      <c r="Q1951" s="39" t="str">
        <f>IF(AND($M1951=$O$7,$B1951&lt;'111'!$N$11),"x","")</f>
        <v/>
      </c>
      <c r="R1951" s="39" t="str">
        <f>IF(ISERROR(FIND('112'!$M$9,G1951,1)),"",IF((AND(FIND('112'!$M$9,G1951,1)&gt;=1,$B1951&gt;='112'!$N$8,$B1951&lt;='112'!$O$8,OR($L1951='112'!$I$6,$M1951='112'!$I$6))),"x",""))</f>
        <v/>
      </c>
      <c r="S1951" s="39" t="str">
        <f>IF(ISERROR(FIND('112'!$M$9,G1951,1)),"",IF((AND(LEFT(G1951,2)=LEFT('112'!$M$9,2),B1951&lt;'112'!$N$8,$L1951='112'!$I$6)),"x",""))</f>
        <v/>
      </c>
      <c r="T1951" s="39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39" t="str">
        <f>IF(OR(TH!L1951=TH!$V$7,M1951=TH!$V$7),"x","")</f>
        <v/>
      </c>
      <c r="W1951" s="39" t="str">
        <f>IF(AND(B1951&gt;='IN-NX'!$P$3,B1951&lt;='IN-NX'!$Q$3,'IN-NX'!$D$7=D1951,OR(LEFT(L1951,2)="15",AND(LEFT(M1951,2)&lt;&gt;"15",LEFT(M1951,2)&lt;&gt;"33"))),"x","")</f>
        <v/>
      </c>
      <c r="X1951" s="39" t="str">
        <f>IF(AND(OR(LEFT(TH!L1951,2)="15",LEFT(TH!M1951,2)="15"),'152-CT'!$J$8=TH!F1951),"x","")</f>
        <v/>
      </c>
      <c r="Y1951" s="39" t="str">
        <f>IF(AND(OR(LEFT(TH!L1951,2)="15",LEFT(TH!M1951,2)="15"),TK!$E$7=TH!F1951),"x","")</f>
        <v/>
      </c>
      <c r="Z1951" s="39" t="str">
        <f>IF(AND(B1951&lt;=NKC!$N$8,B1951&gt;=NKC!$M$8),"x","")</f>
        <v>x</v>
      </c>
      <c r="AA1951" s="883"/>
    </row>
    <row r="1952" spans="1:27" s="211" customFormat="1" ht="15.75" customHeight="1">
      <c r="A1952" s="204" t="str">
        <f>IF(B1952&lt;&gt;"",IF(AND(B1952&gt;=_TM1,B1952&lt;=_TM2,OR(TH!L1952="1111",TH!M1952="1111")),TH!D1952,""),"")</f>
        <v/>
      </c>
      <c r="B1952" s="36">
        <f t="shared" si="473"/>
        <v>8</v>
      </c>
      <c r="C1952" s="191">
        <f t="shared" si="475"/>
        <v>41512</v>
      </c>
      <c r="D1952" s="37" t="s">
        <v>487</v>
      </c>
      <c r="E1952" s="37">
        <v>41512</v>
      </c>
      <c r="F1952" s="40" t="s">
        <v>1140</v>
      </c>
      <c r="G1952" s="40" t="s">
        <v>1114</v>
      </c>
      <c r="H1952" s="7" t="s">
        <v>1290</v>
      </c>
      <c r="I1952" s="256">
        <v>1010</v>
      </c>
      <c r="J1952" s="256">
        <v>5514.6110870649909</v>
      </c>
      <c r="K1952" s="602">
        <f t="shared" si="474"/>
        <v>5569757</v>
      </c>
      <c r="L1952" s="39" t="s">
        <v>173</v>
      </c>
      <c r="M1952" s="39" t="s">
        <v>167</v>
      </c>
      <c r="N1952" s="39" t="str">
        <f>IF(AND('331-CT'!$E$7=TH!H1952,OR(L1952="331",M1952="331")),"331",IF(AND(OR(L1952="131",M1952="131"),H1952='131-CT'!$E$7),"131",""))</f>
        <v/>
      </c>
      <c r="O1952" s="39" t="str">
        <f>IF(AND($B1952&gt;='111'!$N$11,$B1952&lt;='111'!$O$11,OR($L1952=$O$7,$M1952=$O$7)),"x","")</f>
        <v/>
      </c>
      <c r="P1952" s="39" t="str">
        <f>IF(AND($L1952=$O$7,$B1952&lt;'111'!$N$11),"x","")</f>
        <v/>
      </c>
      <c r="Q1952" s="39" t="str">
        <f>IF(AND($M1952=$O$7,$B1952&lt;'111'!$N$11),"x","")</f>
        <v/>
      </c>
      <c r="R1952" s="39" t="str">
        <f>IF(ISERROR(FIND('112'!$M$9,G1952,1)),"",IF((AND(FIND('112'!$M$9,G1952,1)&gt;=1,$B1952&gt;='112'!$N$8,$B1952&lt;='112'!$O$8,OR($L1952='112'!$I$6,$M1952='112'!$I$6))),"x",""))</f>
        <v/>
      </c>
      <c r="S1952" s="39" t="str">
        <f>IF(ISERROR(FIND('112'!$M$9,G1952,1)),"",IF((AND(LEFT(G1952,2)=LEFT('112'!$M$9,2),B1952&lt;'112'!$N$8,$L1952='112'!$I$6)),"x",""))</f>
        <v/>
      </c>
      <c r="T1952" s="39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39" t="str">
        <f>IF(OR(TH!L1952=TH!$V$7,M1952=TH!$V$7),"x","")</f>
        <v/>
      </c>
      <c r="W1952" s="39" t="str">
        <f>IF(AND(B1952&gt;='IN-NX'!$P$3,B1952&lt;='IN-NX'!$Q$3,'IN-NX'!$D$7=D1952,OR(LEFT(L1952,2)="15",AND(LEFT(M1952,2)&lt;&gt;"15",LEFT(M1952,2)&lt;&gt;"33"))),"x","")</f>
        <v/>
      </c>
      <c r="X1952" s="39" t="str">
        <f>IF(AND(OR(LEFT(TH!L1952,2)="15",LEFT(TH!M1952,2)="15"),'152-CT'!$J$8=TH!F1952),"x","")</f>
        <v/>
      </c>
      <c r="Y1952" s="39" t="str">
        <f>IF(AND(OR(LEFT(TH!L1952,2)="15",LEFT(TH!M1952,2)="15"),TK!$E$7=TH!F1952),"x","")</f>
        <v/>
      </c>
      <c r="Z1952" s="39" t="str">
        <f>IF(AND(B1952&lt;=NKC!$N$8,B1952&gt;=NKC!$M$8),"x","")</f>
        <v>x</v>
      </c>
      <c r="AA1952" s="883"/>
    </row>
    <row r="1953" spans="1:27" s="211" customFormat="1" ht="15.75" customHeight="1">
      <c r="A1953" s="204" t="str">
        <f>IF(B1953&lt;&gt;"",IF(AND(B1953&gt;=_TM1,B1953&lt;=_TM2,OR(TH!L1953="1111",TH!M1953="1111")),TH!D1953,""),"")</f>
        <v/>
      </c>
      <c r="B1953" s="36">
        <f t="shared" si="473"/>
        <v>8</v>
      </c>
      <c r="C1953" s="191">
        <f t="shared" si="475"/>
        <v>41512</v>
      </c>
      <c r="D1953" s="37" t="s">
        <v>487</v>
      </c>
      <c r="E1953" s="37">
        <v>41512</v>
      </c>
      <c r="F1953" s="40" t="s">
        <v>1144</v>
      </c>
      <c r="G1953" s="40" t="s">
        <v>1114</v>
      </c>
      <c r="H1953" s="7" t="s">
        <v>1290</v>
      </c>
      <c r="I1953" s="256">
        <v>102</v>
      </c>
      <c r="J1953" s="256">
        <v>12067.498196364157</v>
      </c>
      <c r="K1953" s="602">
        <f t="shared" si="474"/>
        <v>1230885</v>
      </c>
      <c r="L1953" s="39" t="s">
        <v>173</v>
      </c>
      <c r="M1953" s="39" t="s">
        <v>167</v>
      </c>
      <c r="N1953" s="39" t="str">
        <f>IF(AND('331-CT'!$E$7=TH!H1953,OR(L1953="331",M1953="331")),"331",IF(AND(OR(L1953="131",M1953="131"),H1953='131-CT'!$E$7),"131",""))</f>
        <v/>
      </c>
      <c r="O1953" s="39" t="str">
        <f>IF(AND($B1953&gt;='111'!$N$11,$B1953&lt;='111'!$O$11,OR($L1953=$O$7,$M1953=$O$7)),"x","")</f>
        <v/>
      </c>
      <c r="P1953" s="39" t="str">
        <f>IF(AND($L1953=$O$7,$B1953&lt;'111'!$N$11),"x","")</f>
        <v/>
      </c>
      <c r="Q1953" s="39" t="str">
        <f>IF(AND($M1953=$O$7,$B1953&lt;'111'!$N$11),"x","")</f>
        <v/>
      </c>
      <c r="R1953" s="39" t="str">
        <f>IF(ISERROR(FIND('112'!$M$9,G1953,1)),"",IF((AND(FIND('112'!$M$9,G1953,1)&gt;=1,$B1953&gt;='112'!$N$8,$B1953&lt;='112'!$O$8,OR($L1953='112'!$I$6,$M1953='112'!$I$6))),"x",""))</f>
        <v/>
      </c>
      <c r="S1953" s="39" t="str">
        <f>IF(ISERROR(FIND('112'!$M$9,G1953,1)),"",IF((AND(LEFT(G1953,2)=LEFT('112'!$M$9,2),B1953&lt;'112'!$N$8,$L1953='112'!$I$6)),"x",""))</f>
        <v/>
      </c>
      <c r="T1953" s="39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39" t="str">
        <f>IF(OR(TH!L1953=TH!$V$7,M1953=TH!$V$7),"x","")</f>
        <v/>
      </c>
      <c r="W1953" s="39" t="str">
        <f>IF(AND(B1953&gt;='IN-NX'!$P$3,B1953&lt;='IN-NX'!$Q$3,'IN-NX'!$D$7=D1953,OR(LEFT(L1953,2)="15",AND(LEFT(M1953,2)&lt;&gt;"15",LEFT(M1953,2)&lt;&gt;"33"))),"x","")</f>
        <v/>
      </c>
      <c r="X1953" s="39" t="str">
        <f>IF(AND(OR(LEFT(TH!L1953,2)="15",LEFT(TH!M1953,2)="15"),'152-CT'!$J$8=TH!F1953),"x","")</f>
        <v/>
      </c>
      <c r="Y1953" s="39" t="str">
        <f>IF(AND(OR(LEFT(TH!L1953,2)="15",LEFT(TH!M1953,2)="15"),TK!$E$7=TH!F1953),"x","")</f>
        <v/>
      </c>
      <c r="Z1953" s="39" t="str">
        <f>IF(AND(B1953&lt;=NKC!$N$8,B1953&gt;=NKC!$M$8),"x","")</f>
        <v>x</v>
      </c>
      <c r="AA1953" s="883"/>
    </row>
    <row r="1954" spans="1:27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473"/>
        <v>8</v>
      </c>
      <c r="C1954" s="191">
        <f t="shared" si="475"/>
        <v>41516</v>
      </c>
      <c r="D1954" s="37" t="s">
        <v>487</v>
      </c>
      <c r="E1954" s="191">
        <v>41516</v>
      </c>
      <c r="F1954" s="192" t="s">
        <v>1008</v>
      </c>
      <c r="G1954" s="487" t="s">
        <v>1115</v>
      </c>
      <c r="H1954" s="7" t="s">
        <v>1290</v>
      </c>
      <c r="I1954" s="256">
        <v>400</v>
      </c>
      <c r="J1954" s="256">
        <v>11617.596235579844</v>
      </c>
      <c r="K1954" s="602">
        <f t="shared" si="474"/>
        <v>4647038</v>
      </c>
      <c r="L1954" s="39" t="s">
        <v>173</v>
      </c>
      <c r="M1954" s="39" t="s">
        <v>167</v>
      </c>
      <c r="N1954" s="39" t="str">
        <f>IF(AND('331-CT'!$E$7=TH!H1954,OR(L1954="331",M1954="331")),"331",IF(AND(OR(L1954="131",M1954="131"),H1954='131-CT'!$E$7),"131",""))</f>
        <v/>
      </c>
      <c r="O1954" s="39" t="str">
        <f>IF(AND($B1954&gt;='111'!$N$11,$B1954&lt;='111'!$O$11,OR($L1954=$O$7,$M1954=$O$7)),"x","")</f>
        <v/>
      </c>
      <c r="P1954" s="39" t="str">
        <f>IF(AND($L1954=$O$7,$B1954&lt;'111'!$N$11),"x","")</f>
        <v/>
      </c>
      <c r="Q1954" s="39" t="str">
        <f>IF(AND($M1954=$O$7,$B1954&lt;'111'!$N$11),"x","")</f>
        <v/>
      </c>
      <c r="R1954" s="39" t="str">
        <f>IF(ISERROR(FIND('112'!$M$9,G1954,1)),"",IF((AND(FIND('112'!$M$9,G1954,1)&gt;=1,$B1954&gt;='112'!$N$8,$B1954&lt;='112'!$O$8,OR($L1954='112'!$I$6,$M1954='112'!$I$6))),"x",""))</f>
        <v/>
      </c>
      <c r="S1954" s="39" t="str">
        <f>IF(ISERROR(FIND('112'!$M$9,G1954,1)),"",IF((AND(LEFT(G1954,2)=LEFT('112'!$M$9,2),B1954&lt;'112'!$N$8,$L1954='112'!$I$6)),"x",""))</f>
        <v/>
      </c>
      <c r="T1954" s="39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39" t="str">
        <f>IF(OR(TH!L1954=TH!$V$7,M1954=TH!$V$7),"x","")</f>
        <v/>
      </c>
      <c r="W1954" s="39" t="str">
        <f>IF(AND(B1954&gt;='IN-NX'!$P$3,B1954&lt;='IN-NX'!$Q$3,'IN-NX'!$D$7=D1954,OR(LEFT(L1954,2)="15",AND(LEFT(M1954,2)&lt;&gt;"15",LEFT(M1954,2)&lt;&gt;"33"))),"x","")</f>
        <v/>
      </c>
      <c r="X1954" s="39" t="str">
        <f>IF(AND(OR(LEFT(TH!L1954,2)="15",LEFT(TH!M1954,2)="15"),'152-CT'!$J$8=TH!F1954),"x","")</f>
        <v/>
      </c>
      <c r="Y1954" s="39" t="str">
        <f>IF(AND(OR(LEFT(TH!L1954,2)="15",LEFT(TH!M1954,2)="15"),TK!$E$7=TH!F1954),"x","")</f>
        <v/>
      </c>
      <c r="Z1954" s="39" t="str">
        <f>IF(AND(B1954&lt;=NKC!$N$8,B1954&gt;=NKC!$M$8),"x","")</f>
        <v>x</v>
      </c>
      <c r="AA1954" s="883"/>
    </row>
    <row r="1955" spans="1:27" s="211" customFormat="1" ht="15.75" customHeight="1">
      <c r="A1955" s="204" t="str">
        <f>IF(B1955&lt;&gt;"",IF(AND(B1955&gt;=_TM1,B1955&lt;=_TM2,OR(TH!L1955="1111",TH!M1955="1111")),TH!D1955,""),"")</f>
        <v/>
      </c>
      <c r="B1955" s="36">
        <f t="shared" si="473"/>
        <v>8</v>
      </c>
      <c r="C1955" s="191">
        <f t="shared" si="475"/>
        <v>41516</v>
      </c>
      <c r="D1955" s="37" t="s">
        <v>487</v>
      </c>
      <c r="E1955" s="191">
        <v>41516</v>
      </c>
      <c r="F1955" s="192" t="s">
        <v>1007</v>
      </c>
      <c r="G1955" s="487" t="s">
        <v>1115</v>
      </c>
      <c r="H1955" s="7" t="s">
        <v>1290</v>
      </c>
      <c r="I1955" s="256">
        <v>210</v>
      </c>
      <c r="J1955" s="256">
        <v>13879.596235579844</v>
      </c>
      <c r="K1955" s="602">
        <f t="shared" si="474"/>
        <v>2914715</v>
      </c>
      <c r="L1955" s="39" t="s">
        <v>173</v>
      </c>
      <c r="M1955" s="39" t="s">
        <v>167</v>
      </c>
      <c r="N1955" s="39" t="str">
        <f>IF(AND('331-CT'!$E$7=TH!H1955,OR(L1955="331",M1955="331")),"331",IF(AND(OR(L1955="131",M1955="131"),H1955='131-CT'!$E$7),"131",""))</f>
        <v/>
      </c>
      <c r="O1955" s="39" t="str">
        <f>IF(AND($B1955&gt;='111'!$N$11,$B1955&lt;='111'!$O$11,OR($L1955=$O$7,$M1955=$O$7)),"x","")</f>
        <v/>
      </c>
      <c r="P1955" s="39" t="str">
        <f>IF(AND($L1955=$O$7,$B1955&lt;'111'!$N$11),"x","")</f>
        <v/>
      </c>
      <c r="Q1955" s="39" t="str">
        <f>IF(AND($M1955=$O$7,$B1955&lt;'111'!$N$11),"x","")</f>
        <v/>
      </c>
      <c r="R1955" s="39" t="str">
        <f>IF(ISERROR(FIND('112'!$M$9,G1955,1)),"",IF((AND(FIND('112'!$M$9,G1955,1)&gt;=1,$B1955&gt;='112'!$N$8,$B1955&lt;='112'!$O$8,OR($L1955='112'!$I$6,$M1955='112'!$I$6))),"x",""))</f>
        <v/>
      </c>
      <c r="S1955" s="39" t="str">
        <f>IF(ISERROR(FIND('112'!$M$9,G1955,1)),"",IF((AND(LEFT(G1955,2)=LEFT('112'!$M$9,2),B1955&lt;'112'!$N$8,$L1955='112'!$I$6)),"x",""))</f>
        <v/>
      </c>
      <c r="T1955" s="39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39" t="str">
        <f>IF(OR(TH!L1955=TH!$V$7,M1955=TH!$V$7),"x","")</f>
        <v/>
      </c>
      <c r="W1955" s="39" t="str">
        <f>IF(AND(B1955&gt;='IN-NX'!$P$3,B1955&lt;='IN-NX'!$Q$3,'IN-NX'!$D$7=D1955,OR(LEFT(L1955,2)="15",AND(LEFT(M1955,2)&lt;&gt;"15",LEFT(M1955,2)&lt;&gt;"33"))),"x","")</f>
        <v/>
      </c>
      <c r="X1955" s="39" t="str">
        <f>IF(AND(OR(LEFT(TH!L1955,2)="15",LEFT(TH!M1955,2)="15"),'152-CT'!$J$8=TH!F1955),"x","")</f>
        <v/>
      </c>
      <c r="Y1955" s="39" t="str">
        <f>IF(AND(OR(LEFT(TH!L1955,2)="15",LEFT(TH!M1955,2)="15"),TK!$E$7=TH!F1955),"x","")</f>
        <v/>
      </c>
      <c r="Z1955" s="39" t="str">
        <f>IF(AND(B1955&lt;=NKC!$N$8,B1955&gt;=NKC!$M$8),"x","")</f>
        <v>x</v>
      </c>
      <c r="AA1955" s="883"/>
    </row>
    <row r="1956" spans="1:27" s="211" customFormat="1" ht="15.75" customHeight="1">
      <c r="A1956" s="204" t="str">
        <f>IF(B1956&lt;&gt;"",IF(AND(B1956&gt;=_TM1,B1956&lt;=_TM2,OR(TH!L1956="1111",TH!M1956="1111")),TH!D1956,""),"")</f>
        <v/>
      </c>
      <c r="B1956" s="36">
        <f t="shared" si="473"/>
        <v>8</v>
      </c>
      <c r="C1956" s="191">
        <f t="shared" si="475"/>
        <v>41516</v>
      </c>
      <c r="D1956" s="37" t="s">
        <v>487</v>
      </c>
      <c r="E1956" s="191">
        <v>41516</v>
      </c>
      <c r="F1956" s="192" t="s">
        <v>1004</v>
      </c>
      <c r="G1956" s="487" t="s">
        <v>1115</v>
      </c>
      <c r="H1956" s="7" t="s">
        <v>1290</v>
      </c>
      <c r="I1956" s="256">
        <v>150</v>
      </c>
      <c r="J1956" s="256">
        <v>7100.6762355798419</v>
      </c>
      <c r="K1956" s="602">
        <f t="shared" si="474"/>
        <v>1065101</v>
      </c>
      <c r="L1956" s="39" t="s">
        <v>173</v>
      </c>
      <c r="M1956" s="39" t="s">
        <v>167</v>
      </c>
      <c r="N1956" s="39" t="str">
        <f>IF(AND('331-CT'!$E$7=TH!H1956,OR(L1956="331",M1956="331")),"331",IF(AND(OR(L1956="131",M1956="131"),H1956='131-CT'!$E$7),"131",""))</f>
        <v/>
      </c>
      <c r="O1956" s="39" t="str">
        <f>IF(AND($B1956&gt;='111'!$N$11,$B1956&lt;='111'!$O$11,OR($L1956=$O$7,$M1956=$O$7)),"x","")</f>
        <v/>
      </c>
      <c r="P1956" s="39" t="str">
        <f>IF(AND($L1956=$O$7,$B1956&lt;'111'!$N$11),"x","")</f>
        <v/>
      </c>
      <c r="Q1956" s="39" t="str">
        <f>IF(AND($M1956=$O$7,$B1956&lt;'111'!$N$11),"x","")</f>
        <v/>
      </c>
      <c r="R1956" s="39" t="str">
        <f>IF(ISERROR(FIND('112'!$M$9,G1956,1)),"",IF((AND(FIND('112'!$M$9,G1956,1)&gt;=1,$B1956&gt;='112'!$N$8,$B1956&lt;='112'!$O$8,OR($L1956='112'!$I$6,$M1956='112'!$I$6))),"x",""))</f>
        <v/>
      </c>
      <c r="S1956" s="39" t="str">
        <f>IF(ISERROR(FIND('112'!$M$9,G1956,1)),"",IF((AND(LEFT(G1956,2)=LEFT('112'!$M$9,2),B1956&lt;'112'!$N$8,$L1956='112'!$I$6)),"x",""))</f>
        <v/>
      </c>
      <c r="T1956" s="39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39" t="str">
        <f>IF(OR(TH!L1956=TH!$V$7,M1956=TH!$V$7),"x","")</f>
        <v/>
      </c>
      <c r="W1956" s="39" t="str">
        <f>IF(AND(B1956&gt;='IN-NX'!$P$3,B1956&lt;='IN-NX'!$Q$3,'IN-NX'!$D$7=D1956,OR(LEFT(L1956,2)="15",AND(LEFT(M1956,2)&lt;&gt;"15",LEFT(M1956,2)&lt;&gt;"33"))),"x","")</f>
        <v/>
      </c>
      <c r="X1956" s="39" t="str">
        <f>IF(AND(OR(LEFT(TH!L1956,2)="15",LEFT(TH!M1956,2)="15"),'152-CT'!$J$8=TH!F1956),"x","")</f>
        <v/>
      </c>
      <c r="Y1956" s="39" t="str">
        <f>IF(AND(OR(LEFT(TH!L1956,2)="15",LEFT(TH!M1956,2)="15"),TK!$E$7=TH!F1956),"x","")</f>
        <v/>
      </c>
      <c r="Z1956" s="39" t="str">
        <f>IF(AND(B1956&lt;=NKC!$N$8,B1956&gt;=NKC!$M$8),"x","")</f>
        <v>x</v>
      </c>
      <c r="AA1956" s="883"/>
    </row>
    <row r="1957" spans="1:27" s="211" customFormat="1" ht="15.75" customHeight="1">
      <c r="A1957" s="204" t="str">
        <f>IF(B1957&lt;&gt;"",IF(AND(B1957&gt;=_TM1,B1957&lt;=_TM2,OR(TH!L1957="1111",TH!M1957="1111")),TH!D1957,""),"")</f>
        <v/>
      </c>
      <c r="B1957" s="36">
        <f t="shared" si="473"/>
        <v>8</v>
      </c>
      <c r="C1957" s="191">
        <f t="shared" si="475"/>
        <v>41512</v>
      </c>
      <c r="D1957" s="37" t="s">
        <v>487</v>
      </c>
      <c r="E1957" s="191">
        <v>41512</v>
      </c>
      <c r="F1957" s="192" t="s">
        <v>938</v>
      </c>
      <c r="G1957" s="487" t="s">
        <v>1116</v>
      </c>
      <c r="H1957" s="7" t="s">
        <v>1290</v>
      </c>
      <c r="I1957" s="256">
        <v>585</v>
      </c>
      <c r="J1957" s="256">
        <v>18595.396235579843</v>
      </c>
      <c r="K1957" s="602">
        <f t="shared" si="474"/>
        <v>10878307</v>
      </c>
      <c r="L1957" s="39" t="s">
        <v>173</v>
      </c>
      <c r="M1957" s="39" t="s">
        <v>167</v>
      </c>
      <c r="N1957" s="39" t="str">
        <f>IF(AND('331-CT'!$E$7=TH!H1957,OR(L1957="331",M1957="331")),"331",IF(AND(OR(L1957="131",M1957="131"),H1957='131-CT'!$E$7),"131",""))</f>
        <v/>
      </c>
      <c r="O1957" s="39" t="str">
        <f>IF(AND($B1957&gt;='111'!$N$11,$B1957&lt;='111'!$O$11,OR($L1957=$O$7,$M1957=$O$7)),"x","")</f>
        <v/>
      </c>
      <c r="P1957" s="39" t="str">
        <f>IF(AND($L1957=$O$7,$B1957&lt;'111'!$N$11),"x","")</f>
        <v/>
      </c>
      <c r="Q1957" s="39" t="str">
        <f>IF(AND($M1957=$O$7,$B1957&lt;'111'!$N$11),"x","")</f>
        <v/>
      </c>
      <c r="R1957" s="39" t="str">
        <f>IF(ISERROR(FIND('112'!$M$9,G1957,1)),"",IF((AND(FIND('112'!$M$9,G1957,1)&gt;=1,$B1957&gt;='112'!$N$8,$B1957&lt;='112'!$O$8,OR($L1957='112'!$I$6,$M1957='112'!$I$6))),"x",""))</f>
        <v/>
      </c>
      <c r="S1957" s="39" t="str">
        <f>IF(ISERROR(FIND('112'!$M$9,G1957,1)),"",IF((AND(LEFT(G1957,2)=LEFT('112'!$M$9,2),B1957&lt;'112'!$N$8,$L1957='112'!$I$6)),"x",""))</f>
        <v/>
      </c>
      <c r="T1957" s="39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39" t="str">
        <f>IF(OR(TH!L1957=TH!$V$7,M1957=TH!$V$7),"x","")</f>
        <v/>
      </c>
      <c r="W1957" s="39" t="str">
        <f>IF(AND(B1957&gt;='IN-NX'!$P$3,B1957&lt;='IN-NX'!$Q$3,'IN-NX'!$D$7=D1957,OR(LEFT(L1957,2)="15",AND(LEFT(M1957,2)&lt;&gt;"15",LEFT(M1957,2)&lt;&gt;"33"))),"x","")</f>
        <v/>
      </c>
      <c r="X1957" s="39" t="str">
        <f>IF(AND(OR(LEFT(TH!L1957,2)="15",LEFT(TH!M1957,2)="15"),'152-CT'!$J$8=TH!F1957),"x","")</f>
        <v/>
      </c>
      <c r="Y1957" s="39" t="str">
        <f>IF(AND(OR(LEFT(TH!L1957,2)="15",LEFT(TH!M1957,2)="15"),TK!$E$7=TH!F1957),"x","")</f>
        <v/>
      </c>
      <c r="Z1957" s="39" t="str">
        <f>IF(AND(B1957&lt;=NKC!$N$8,B1957&gt;=NKC!$M$8),"x","")</f>
        <v>x</v>
      </c>
      <c r="AA1957" s="883"/>
    </row>
    <row r="1958" spans="1:27" s="211" customFormat="1" ht="15.75" customHeight="1">
      <c r="A1958" s="204" t="str">
        <f>IF(B1958&lt;&gt;"",IF(AND(B1958&gt;=_TM1,B1958&lt;=_TM2,OR(TH!L1958="1111",TH!M1958="1111")),TH!D1958,""),"")</f>
        <v/>
      </c>
      <c r="B1958" s="36">
        <f t="shared" si="473"/>
        <v>8</v>
      </c>
      <c r="C1958" s="191">
        <f t="shared" si="475"/>
        <v>41512</v>
      </c>
      <c r="D1958" s="37" t="s">
        <v>487</v>
      </c>
      <c r="E1958" s="191">
        <v>41512</v>
      </c>
      <c r="F1958" s="192" t="s">
        <v>940</v>
      </c>
      <c r="G1958" s="487" t="s">
        <v>1116</v>
      </c>
      <c r="H1958" s="7" t="s">
        <v>1290</v>
      </c>
      <c r="I1958" s="256">
        <v>371</v>
      </c>
      <c r="J1958" s="256">
        <v>15578.445292183613</v>
      </c>
      <c r="K1958" s="602">
        <f t="shared" si="474"/>
        <v>5779603</v>
      </c>
      <c r="L1958" s="39" t="s">
        <v>173</v>
      </c>
      <c r="M1958" s="39" t="s">
        <v>167</v>
      </c>
      <c r="N1958" s="39" t="str">
        <f>IF(AND('331-CT'!$E$7=TH!H1958,OR(L1958="331",M1958="331")),"331",IF(AND(OR(L1958="131",M1958="131"),H1958='131-CT'!$E$7),"131",""))</f>
        <v/>
      </c>
      <c r="O1958" s="39" t="str">
        <f>IF(AND($B1958&gt;='111'!$N$11,$B1958&lt;='111'!$O$11,OR($L1958=$O$7,$M1958=$O$7)),"x","")</f>
        <v/>
      </c>
      <c r="P1958" s="39" t="str">
        <f>IF(AND($L1958=$O$7,$B1958&lt;'111'!$N$11),"x","")</f>
        <v/>
      </c>
      <c r="Q1958" s="39" t="str">
        <f>IF(AND($M1958=$O$7,$B1958&lt;'111'!$N$11),"x","")</f>
        <v/>
      </c>
      <c r="R1958" s="39" t="str">
        <f>IF(ISERROR(FIND('112'!$M$9,G1958,1)),"",IF((AND(FIND('112'!$M$9,G1958,1)&gt;=1,$B1958&gt;='112'!$N$8,$B1958&lt;='112'!$O$8,OR($L1958='112'!$I$6,$M1958='112'!$I$6))),"x",""))</f>
        <v/>
      </c>
      <c r="S1958" s="39" t="str">
        <f>IF(ISERROR(FIND('112'!$M$9,G1958,1)),"",IF((AND(LEFT(G1958,2)=LEFT('112'!$M$9,2),B1958&lt;'112'!$N$8,$L1958='112'!$I$6)),"x",""))</f>
        <v/>
      </c>
      <c r="T1958" s="39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39" t="str">
        <f>IF(OR(TH!L1958=TH!$V$7,M1958=TH!$V$7),"x","")</f>
        <v/>
      </c>
      <c r="W1958" s="39" t="str">
        <f>IF(AND(B1958&gt;='IN-NX'!$P$3,B1958&lt;='IN-NX'!$Q$3,'IN-NX'!$D$7=D1958,OR(LEFT(L1958,2)="15",AND(LEFT(M1958,2)&lt;&gt;"15",LEFT(M1958,2)&lt;&gt;"33"))),"x","")</f>
        <v/>
      </c>
      <c r="X1958" s="39" t="str">
        <f>IF(AND(OR(LEFT(TH!L1958,2)="15",LEFT(TH!M1958,2)="15"),'152-CT'!$J$8=TH!F1958),"x","")</f>
        <v/>
      </c>
      <c r="Y1958" s="39" t="str">
        <f>IF(AND(OR(LEFT(TH!L1958,2)="15",LEFT(TH!M1958,2)="15"),TK!$E$7=TH!F1958),"x","")</f>
        <v/>
      </c>
      <c r="Z1958" s="39" t="str">
        <f>IF(AND(B1958&lt;=NKC!$N$8,B1958&gt;=NKC!$M$8),"x","")</f>
        <v>x</v>
      </c>
      <c r="AA1958" s="883"/>
    </row>
    <row r="1959" spans="1:27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473"/>
        <v>9</v>
      </c>
      <c r="C1959" s="191">
        <f t="shared" si="475"/>
        <v>41522</v>
      </c>
      <c r="D1959" s="37" t="s">
        <v>487</v>
      </c>
      <c r="E1959" s="191">
        <v>41522</v>
      </c>
      <c r="F1959" s="192" t="s">
        <v>1148</v>
      </c>
      <c r="G1959" s="487" t="s">
        <v>1117</v>
      </c>
      <c r="H1959" s="7" t="s">
        <v>1290</v>
      </c>
      <c r="I1959" s="256">
        <v>2700</v>
      </c>
      <c r="J1959" s="256">
        <v>4471.4295689131759</v>
      </c>
      <c r="K1959" s="602">
        <f t="shared" si="474"/>
        <v>12072860</v>
      </c>
      <c r="L1959" s="39" t="s">
        <v>173</v>
      </c>
      <c r="M1959" s="39" t="s">
        <v>167</v>
      </c>
      <c r="N1959" s="39" t="str">
        <f>IF(AND('331-CT'!$E$7=TH!H1959,OR(L1959="331",M1959="331")),"331",IF(AND(OR(L1959="131",M1959="131"),H1959='131-CT'!$E$7),"131",""))</f>
        <v/>
      </c>
      <c r="O1959" s="39" t="str">
        <f>IF(AND($B1959&gt;='111'!$N$11,$B1959&lt;='111'!$O$11,OR($L1959=$O$7,$M1959=$O$7)),"x","")</f>
        <v/>
      </c>
      <c r="P1959" s="39" t="str">
        <f>IF(AND($L1959=$O$7,$B1959&lt;'111'!$N$11),"x","")</f>
        <v/>
      </c>
      <c r="Q1959" s="39" t="str">
        <f>IF(AND($M1959=$O$7,$B1959&lt;'111'!$N$11),"x","")</f>
        <v/>
      </c>
      <c r="R1959" s="39" t="str">
        <f>IF(ISERROR(FIND('112'!$M$9,G1959,1)),"",IF((AND(FIND('112'!$M$9,G1959,1)&gt;=1,$B1959&gt;='112'!$N$8,$B1959&lt;='112'!$O$8,OR($L1959='112'!$I$6,$M1959='112'!$I$6))),"x",""))</f>
        <v/>
      </c>
      <c r="S1959" s="39" t="str">
        <f>IF(ISERROR(FIND('112'!$M$9,G1959,1)),"",IF((AND(LEFT(G1959,2)=LEFT('112'!$M$9,2),B1959&lt;'112'!$N$8,$L1959='112'!$I$6)),"x",""))</f>
        <v/>
      </c>
      <c r="T1959" s="39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39" t="str">
        <f>IF(OR(TH!L1959=TH!$V$7,M1959=TH!$V$7),"x","")</f>
        <v/>
      </c>
      <c r="W1959" s="39" t="str">
        <f>IF(AND(B1959&gt;='IN-NX'!$P$3,B1959&lt;='IN-NX'!$Q$3,'IN-NX'!$D$7=D1959,OR(LEFT(L1959,2)="15",AND(LEFT(M1959,2)&lt;&gt;"15",LEFT(M1959,2)&lt;&gt;"33"))),"x","")</f>
        <v/>
      </c>
      <c r="X1959" s="39" t="str">
        <f>IF(AND(OR(LEFT(TH!L1959,2)="15",LEFT(TH!M1959,2)="15"),'152-CT'!$J$8=TH!F1959),"x","")</f>
        <v/>
      </c>
      <c r="Y1959" s="39" t="str">
        <f>IF(AND(OR(LEFT(TH!L1959,2)="15",LEFT(TH!M1959,2)="15"),TK!$E$7=TH!F1959),"x","")</f>
        <v/>
      </c>
      <c r="Z1959" s="39" t="str">
        <f>IF(AND(B1959&lt;=NKC!$N$8,B1959&gt;=NKC!$M$8),"x","")</f>
        <v>x</v>
      </c>
      <c r="AA1959" s="883"/>
    </row>
    <row r="1960" spans="1:27" s="211" customFormat="1" ht="15.75" customHeight="1">
      <c r="A1960" s="204" t="str">
        <f>IF(B1960&lt;&gt;"",IF(AND(B1960&gt;=_TM1,B1960&lt;=_TM2,OR(TH!L1960="1111",TH!M1960="1111")),TH!D1960,""),"")</f>
        <v/>
      </c>
      <c r="B1960" s="36">
        <f t="shared" ref="B1960:B2023" si="476">IF(C1960&lt;&gt;"",MONTH(C1960),"")</f>
        <v>9</v>
      </c>
      <c r="C1960" s="191">
        <f t="shared" si="475"/>
        <v>41523</v>
      </c>
      <c r="D1960" s="37" t="s">
        <v>487</v>
      </c>
      <c r="E1960" s="191">
        <v>41523</v>
      </c>
      <c r="F1960" s="192" t="s">
        <v>1119</v>
      </c>
      <c r="G1960" s="487" t="s">
        <v>1118</v>
      </c>
      <c r="H1960" s="7" t="s">
        <v>1290</v>
      </c>
      <c r="I1960" s="256">
        <v>1010</v>
      </c>
      <c r="J1960" s="256">
        <v>7487.096235579842</v>
      </c>
      <c r="K1960" s="602">
        <f t="shared" si="474"/>
        <v>7561967</v>
      </c>
      <c r="L1960" s="39" t="s">
        <v>173</v>
      </c>
      <c r="M1960" s="39" t="s">
        <v>167</v>
      </c>
      <c r="N1960" s="39" t="str">
        <f>IF(AND('331-CT'!$E$7=TH!H1960,OR(L1960="331",M1960="331")),"331",IF(AND(OR(L1960="131",M1960="131"),H1960='131-CT'!$E$7),"131",""))</f>
        <v/>
      </c>
      <c r="O1960" s="39" t="str">
        <f>IF(AND($B1960&gt;='111'!$N$11,$B1960&lt;='111'!$O$11,OR($L1960=$O$7,$M1960=$O$7)),"x","")</f>
        <v/>
      </c>
      <c r="P1960" s="39" t="str">
        <f>IF(AND($L1960=$O$7,$B1960&lt;'111'!$N$11),"x","")</f>
        <v/>
      </c>
      <c r="Q1960" s="39" t="str">
        <f>IF(AND($M1960=$O$7,$B1960&lt;'111'!$N$11),"x","")</f>
        <v/>
      </c>
      <c r="R1960" s="39" t="str">
        <f>IF(ISERROR(FIND('112'!$M$9,G1960,1)),"",IF((AND(FIND('112'!$M$9,G1960,1)&gt;=1,$B1960&gt;='112'!$N$8,$B1960&lt;='112'!$O$8,OR($L1960='112'!$I$6,$M1960='112'!$I$6))),"x",""))</f>
        <v/>
      </c>
      <c r="S1960" s="39" t="str">
        <f>IF(ISERROR(FIND('112'!$M$9,G1960,1)),"",IF((AND(LEFT(G1960,2)=LEFT('112'!$M$9,2),B1960&lt;'112'!$N$8,$L1960='112'!$I$6)),"x",""))</f>
        <v/>
      </c>
      <c r="T1960" s="39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39" t="str">
        <f>IF(OR(TH!L1960=TH!$V$7,M1960=TH!$V$7),"x","")</f>
        <v/>
      </c>
      <c r="W1960" s="39" t="str">
        <f>IF(AND(B1960&gt;='IN-NX'!$P$3,B1960&lt;='IN-NX'!$Q$3,'IN-NX'!$D$7=D1960,OR(LEFT(L1960,2)="15",AND(LEFT(M1960,2)&lt;&gt;"15",LEFT(M1960,2)&lt;&gt;"33"))),"x","")</f>
        <v/>
      </c>
      <c r="X1960" s="39" t="str">
        <f>IF(AND(OR(LEFT(TH!L1960,2)="15",LEFT(TH!M1960,2)="15"),'152-CT'!$J$8=TH!F1960),"x","")</f>
        <v/>
      </c>
      <c r="Y1960" s="39" t="str">
        <f>IF(AND(OR(LEFT(TH!L1960,2)="15",LEFT(TH!M1960,2)="15"),TK!$E$7=TH!F1960),"x","")</f>
        <v/>
      </c>
      <c r="Z1960" s="39" t="str">
        <f>IF(AND(B1960&lt;=NKC!$N$8,B1960&gt;=NKC!$M$8),"x","")</f>
        <v>x</v>
      </c>
      <c r="AA1960" s="883"/>
    </row>
    <row r="1961" spans="1:27" s="211" customFormat="1" ht="15.75" customHeight="1">
      <c r="A1961" s="204" t="str">
        <f>IF(B1961&lt;&gt;"",IF(AND(B1961&gt;=_TM1,B1961&lt;=_TM2,OR(TH!L1961="1111",TH!M1961="1111")),TH!D1961,""),"")</f>
        <v/>
      </c>
      <c r="B1961" s="36">
        <f t="shared" si="476"/>
        <v>9</v>
      </c>
      <c r="C1961" s="191">
        <f t="shared" si="475"/>
        <v>41523</v>
      </c>
      <c r="D1961" s="37" t="s">
        <v>487</v>
      </c>
      <c r="E1961" s="191">
        <v>41523</v>
      </c>
      <c r="F1961" s="192" t="s">
        <v>1120</v>
      </c>
      <c r="G1961" s="487" t="s">
        <v>1118</v>
      </c>
      <c r="H1961" s="7" t="s">
        <v>1290</v>
      </c>
      <c r="I1961" s="256">
        <v>1000</v>
      </c>
      <c r="J1961" s="256">
        <v>6615.596235579842</v>
      </c>
      <c r="K1961" s="602">
        <f t="shared" si="474"/>
        <v>6615596</v>
      </c>
      <c r="L1961" s="39" t="s">
        <v>173</v>
      </c>
      <c r="M1961" s="39" t="s">
        <v>167</v>
      </c>
      <c r="N1961" s="39" t="str">
        <f>IF(AND('331-CT'!$E$7=TH!H1961,OR(L1961="331",M1961="331")),"331",IF(AND(OR(L1961="131",M1961="131"),H1961='131-CT'!$E$7),"131",""))</f>
        <v/>
      </c>
      <c r="O1961" s="39" t="str">
        <f>IF(AND($B1961&gt;='111'!$N$11,$B1961&lt;='111'!$O$11,OR($L1961=$O$7,$M1961=$O$7)),"x","")</f>
        <v/>
      </c>
      <c r="P1961" s="39" t="str">
        <f>IF(AND($L1961=$O$7,$B1961&lt;'111'!$N$11),"x","")</f>
        <v/>
      </c>
      <c r="Q1961" s="39" t="str">
        <f>IF(AND($M1961=$O$7,$B1961&lt;'111'!$N$11),"x","")</f>
        <v/>
      </c>
      <c r="R1961" s="39" t="str">
        <f>IF(ISERROR(FIND('112'!$M$9,G1961,1)),"",IF((AND(FIND('112'!$M$9,G1961,1)&gt;=1,$B1961&gt;='112'!$N$8,$B1961&lt;='112'!$O$8,OR($L1961='112'!$I$6,$M1961='112'!$I$6))),"x",""))</f>
        <v/>
      </c>
      <c r="S1961" s="39" t="str">
        <f>IF(ISERROR(FIND('112'!$M$9,G1961,1)),"",IF((AND(LEFT(G1961,2)=LEFT('112'!$M$9,2),B1961&lt;'112'!$N$8,$L1961='112'!$I$6)),"x",""))</f>
        <v/>
      </c>
      <c r="T1961" s="39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39" t="str">
        <f>IF(OR(TH!L1961=TH!$V$7,M1961=TH!$V$7),"x","")</f>
        <v/>
      </c>
      <c r="W1961" s="39" t="str">
        <f>IF(AND(B1961&gt;='IN-NX'!$P$3,B1961&lt;='IN-NX'!$Q$3,'IN-NX'!$D$7=D1961,OR(LEFT(L1961,2)="15",AND(LEFT(M1961,2)&lt;&gt;"15",LEFT(M1961,2)&lt;&gt;"33"))),"x","")</f>
        <v/>
      </c>
      <c r="X1961" s="39" t="str">
        <f>IF(AND(OR(LEFT(TH!L1961,2)="15",LEFT(TH!M1961,2)="15"),'152-CT'!$J$8=TH!F1961),"x","")</f>
        <v/>
      </c>
      <c r="Y1961" s="39" t="str">
        <f>IF(AND(OR(LEFT(TH!L1961,2)="15",LEFT(TH!M1961,2)="15"),TK!$E$7=TH!F1961),"x","")</f>
        <v/>
      </c>
      <c r="Z1961" s="39" t="str">
        <f>IF(AND(B1961&lt;=NKC!$N$8,B1961&gt;=NKC!$M$8),"x","")</f>
        <v>x</v>
      </c>
      <c r="AA1961" s="883"/>
    </row>
    <row r="1962" spans="1:27" s="211" customFormat="1" ht="15.75" customHeight="1">
      <c r="A1962" s="204" t="str">
        <f>IF(B1962&lt;&gt;"",IF(AND(B1962&gt;=_TM1,B1962&lt;=_TM2,OR(TH!L1962="1111",TH!M1962="1111")),TH!D1962,""),"")</f>
        <v/>
      </c>
      <c r="B1962" s="36">
        <f t="shared" si="476"/>
        <v>9</v>
      </c>
      <c r="C1962" s="191">
        <f t="shared" si="475"/>
        <v>41526</v>
      </c>
      <c r="D1962" s="37" t="s">
        <v>487</v>
      </c>
      <c r="E1962" s="37">
        <v>41526</v>
      </c>
      <c r="F1962" s="40" t="s">
        <v>1135</v>
      </c>
      <c r="G1962" s="40" t="s">
        <v>1121</v>
      </c>
      <c r="H1962" s="7" t="s">
        <v>1290</v>
      </c>
      <c r="I1962" s="256">
        <v>990</v>
      </c>
      <c r="J1962" s="256">
        <v>6382.3911850747927</v>
      </c>
      <c r="K1962" s="602">
        <f t="shared" si="474"/>
        <v>6318567</v>
      </c>
      <c r="L1962" s="39" t="s">
        <v>173</v>
      </c>
      <c r="M1962" s="39" t="s">
        <v>167</v>
      </c>
      <c r="N1962" s="39" t="str">
        <f>IF(AND('331-CT'!$E$7=TH!H1962,OR(L1962="331",M1962="331")),"331",IF(AND(OR(L1962="131",M1962="131"),H1962='131-CT'!$E$7),"131",""))</f>
        <v/>
      </c>
      <c r="O1962" s="39" t="str">
        <f>IF(AND($B1962&gt;='111'!$N$11,$B1962&lt;='111'!$O$11,OR($L1962=$O$7,$M1962=$O$7)),"x","")</f>
        <v/>
      </c>
      <c r="P1962" s="39" t="str">
        <f>IF(AND($L1962=$O$7,$B1962&lt;'111'!$N$11),"x","")</f>
        <v/>
      </c>
      <c r="Q1962" s="39" t="str">
        <f>IF(AND($M1962=$O$7,$B1962&lt;'111'!$N$11),"x","")</f>
        <v/>
      </c>
      <c r="R1962" s="39" t="str">
        <f>IF(ISERROR(FIND('112'!$M$9,G1962,1)),"",IF((AND(FIND('112'!$M$9,G1962,1)&gt;=1,$B1962&gt;='112'!$N$8,$B1962&lt;='112'!$O$8,OR($L1962='112'!$I$6,$M1962='112'!$I$6))),"x",""))</f>
        <v/>
      </c>
      <c r="S1962" s="39" t="str">
        <f>IF(ISERROR(FIND('112'!$M$9,G1962,1)),"",IF((AND(LEFT(G1962,2)=LEFT('112'!$M$9,2),B1962&lt;'112'!$N$8,$L1962='112'!$I$6)),"x",""))</f>
        <v/>
      </c>
      <c r="T1962" s="39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39" t="str">
        <f>IF(OR(TH!L1962=TH!$V$7,M1962=TH!$V$7),"x","")</f>
        <v/>
      </c>
      <c r="W1962" s="39" t="str">
        <f>IF(AND(B1962&gt;='IN-NX'!$P$3,B1962&lt;='IN-NX'!$Q$3,'IN-NX'!$D$7=D1962,OR(LEFT(L1962,2)="15",AND(LEFT(M1962,2)&lt;&gt;"15",LEFT(M1962,2)&lt;&gt;"33"))),"x","")</f>
        <v/>
      </c>
      <c r="X1962" s="39" t="str">
        <f>IF(AND(OR(LEFT(TH!L1962,2)="15",LEFT(TH!M1962,2)="15"),'152-CT'!$J$8=TH!F1962),"x","")</f>
        <v/>
      </c>
      <c r="Y1962" s="39" t="str">
        <f>IF(AND(OR(LEFT(TH!L1962,2)="15",LEFT(TH!M1962,2)="15"),TK!$E$7=TH!F1962),"x","")</f>
        <v/>
      </c>
      <c r="Z1962" s="39" t="str">
        <f>IF(AND(B1962&lt;=NKC!$N$8,B1962&gt;=NKC!$M$8),"x","")</f>
        <v>x</v>
      </c>
      <c r="AA1962" s="883"/>
    </row>
    <row r="1963" spans="1:27" s="211" customFormat="1" ht="15.75" customHeight="1">
      <c r="A1963" s="204" t="str">
        <f>IF(B1963&lt;&gt;"",IF(AND(B1963&gt;=_TM1,B1963&lt;=_TM2,OR(TH!L1963="1111",TH!M1963="1111")),TH!D1963,""),"")</f>
        <v/>
      </c>
      <c r="B1963" s="36">
        <f t="shared" si="476"/>
        <v>9</v>
      </c>
      <c r="C1963" s="191">
        <f t="shared" si="475"/>
        <v>41526</v>
      </c>
      <c r="D1963" s="37" t="s">
        <v>487</v>
      </c>
      <c r="E1963" s="37">
        <v>41526</v>
      </c>
      <c r="F1963" s="40" t="s">
        <v>865</v>
      </c>
      <c r="G1963" s="40" t="s">
        <v>1122</v>
      </c>
      <c r="H1963" s="7" t="s">
        <v>1290</v>
      </c>
      <c r="I1963" s="256">
        <v>505</v>
      </c>
      <c r="J1963" s="256">
        <v>20664.655641520432</v>
      </c>
      <c r="K1963" s="602">
        <f t="shared" si="474"/>
        <v>10435651</v>
      </c>
      <c r="L1963" s="39" t="s">
        <v>173</v>
      </c>
      <c r="M1963" s="39" t="s">
        <v>167</v>
      </c>
      <c r="N1963" s="39" t="str">
        <f>IF(AND('331-CT'!$E$7=TH!H1963,OR(L1963="331",M1963="331")),"331",IF(AND(OR(L1963="131",M1963="131"),H1963='131-CT'!$E$7),"131",""))</f>
        <v/>
      </c>
      <c r="O1963" s="39" t="str">
        <f>IF(AND($B1963&gt;='111'!$N$11,$B1963&lt;='111'!$O$11,OR($L1963=$O$7,$M1963=$O$7)),"x","")</f>
        <v/>
      </c>
      <c r="P1963" s="39" t="str">
        <f>IF(AND($L1963=$O$7,$B1963&lt;'111'!$N$11),"x","")</f>
        <v/>
      </c>
      <c r="Q1963" s="39" t="str">
        <f>IF(AND($M1963=$O$7,$B1963&lt;'111'!$N$11),"x","")</f>
        <v/>
      </c>
      <c r="R1963" s="39" t="str">
        <f>IF(ISERROR(FIND('112'!$M$9,G1963,1)),"",IF((AND(FIND('112'!$M$9,G1963,1)&gt;=1,$B1963&gt;='112'!$N$8,$B1963&lt;='112'!$O$8,OR($L1963='112'!$I$6,$M1963='112'!$I$6))),"x",""))</f>
        <v/>
      </c>
      <c r="S1963" s="39" t="str">
        <f>IF(ISERROR(FIND('112'!$M$9,G1963,1)),"",IF((AND(LEFT(G1963,2)=LEFT('112'!$M$9,2),B1963&lt;'112'!$N$8,$L1963='112'!$I$6)),"x",""))</f>
        <v/>
      </c>
      <c r="T1963" s="39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39" t="str">
        <f>IF(OR(TH!L1963=TH!$V$7,M1963=TH!$V$7),"x","")</f>
        <v/>
      </c>
      <c r="W1963" s="39" t="str">
        <f>IF(AND(B1963&gt;='IN-NX'!$P$3,B1963&lt;='IN-NX'!$Q$3,'IN-NX'!$D$7=D1963,OR(LEFT(L1963,2)="15",AND(LEFT(M1963,2)&lt;&gt;"15",LEFT(M1963,2)&lt;&gt;"33"))),"x","")</f>
        <v/>
      </c>
      <c r="X1963" s="39" t="str">
        <f>IF(AND(OR(LEFT(TH!L1963,2)="15",LEFT(TH!M1963,2)="15"),'152-CT'!$J$8=TH!F1963),"x","")</f>
        <v/>
      </c>
      <c r="Y1963" s="39" t="str">
        <f>IF(AND(OR(LEFT(TH!L1963,2)="15",LEFT(TH!M1963,2)="15"),TK!$E$7=TH!F1963),"x","")</f>
        <v/>
      </c>
      <c r="Z1963" s="39" t="str">
        <f>IF(AND(B1963&lt;=NKC!$N$8,B1963&gt;=NKC!$M$8),"x","")</f>
        <v>x</v>
      </c>
      <c r="AA1963" s="883"/>
    </row>
    <row r="1964" spans="1:27" s="211" customFormat="1" ht="15.75" customHeight="1">
      <c r="A1964" s="204" t="str">
        <f>IF(B1964&lt;&gt;"",IF(AND(B1964&gt;=_TM1,B1964&lt;=_TM2,OR(TH!L1964="1111",TH!M1964="1111")),TH!D1964,""),"")</f>
        <v/>
      </c>
      <c r="B1964" s="36">
        <f t="shared" si="476"/>
        <v>9</v>
      </c>
      <c r="C1964" s="191">
        <f t="shared" si="475"/>
        <v>41526</v>
      </c>
      <c r="D1964" s="37" t="s">
        <v>487</v>
      </c>
      <c r="E1964" s="37">
        <v>41526</v>
      </c>
      <c r="F1964" s="40" t="s">
        <v>938</v>
      </c>
      <c r="G1964" s="40" t="s">
        <v>1123</v>
      </c>
      <c r="H1964" s="7" t="s">
        <v>1290</v>
      </c>
      <c r="I1964" s="256">
        <v>585</v>
      </c>
      <c r="J1964" s="256">
        <v>18595.396235579843</v>
      </c>
      <c r="K1964" s="602">
        <f t="shared" ref="K1964:K2027" si="477">ROUND(I1964*J1964,0)</f>
        <v>10878307</v>
      </c>
      <c r="L1964" s="39" t="s">
        <v>173</v>
      </c>
      <c r="M1964" s="39" t="s">
        <v>167</v>
      </c>
      <c r="N1964" s="39" t="str">
        <f>IF(AND('331-CT'!$E$7=TH!H1964,OR(L1964="331",M1964="331")),"331",IF(AND(OR(L1964="131",M1964="131"),H1964='131-CT'!$E$7),"131",""))</f>
        <v/>
      </c>
      <c r="O1964" s="39" t="str">
        <f>IF(AND($B1964&gt;='111'!$N$11,$B1964&lt;='111'!$O$11,OR($L1964=$O$7,$M1964=$O$7)),"x","")</f>
        <v/>
      </c>
      <c r="P1964" s="39" t="str">
        <f>IF(AND($L1964=$O$7,$B1964&lt;'111'!$N$11),"x","")</f>
        <v/>
      </c>
      <c r="Q1964" s="39" t="str">
        <f>IF(AND($M1964=$O$7,$B1964&lt;'111'!$N$11),"x","")</f>
        <v/>
      </c>
      <c r="R1964" s="39" t="str">
        <f>IF(ISERROR(FIND('112'!$M$9,G1964,1)),"",IF((AND(FIND('112'!$M$9,G1964,1)&gt;=1,$B1964&gt;='112'!$N$8,$B1964&lt;='112'!$O$8,OR($L1964='112'!$I$6,$M1964='112'!$I$6))),"x",""))</f>
        <v/>
      </c>
      <c r="S1964" s="39" t="str">
        <f>IF(ISERROR(FIND('112'!$M$9,G1964,1)),"",IF((AND(LEFT(G1964,2)=LEFT('112'!$M$9,2),B1964&lt;'112'!$N$8,$L1964='112'!$I$6)),"x",""))</f>
        <v/>
      </c>
      <c r="T1964" s="39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39" t="str">
        <f>IF(OR(TH!L1964=TH!$V$7,M1964=TH!$V$7),"x","")</f>
        <v/>
      </c>
      <c r="W1964" s="39" t="str">
        <f>IF(AND(B1964&gt;='IN-NX'!$P$3,B1964&lt;='IN-NX'!$Q$3,'IN-NX'!$D$7=D1964,OR(LEFT(L1964,2)="15",AND(LEFT(M1964,2)&lt;&gt;"15",LEFT(M1964,2)&lt;&gt;"33"))),"x","")</f>
        <v/>
      </c>
      <c r="X1964" s="39" t="str">
        <f>IF(AND(OR(LEFT(TH!L1964,2)="15",LEFT(TH!M1964,2)="15"),'152-CT'!$J$8=TH!F1964),"x","")</f>
        <v/>
      </c>
      <c r="Y1964" s="39" t="str">
        <f>IF(AND(OR(LEFT(TH!L1964,2)="15",LEFT(TH!M1964,2)="15"),TK!$E$7=TH!F1964),"x","")</f>
        <v/>
      </c>
      <c r="Z1964" s="39" t="str">
        <f>IF(AND(B1964&lt;=NKC!$N$8,B1964&gt;=NKC!$M$8),"x","")</f>
        <v>x</v>
      </c>
      <c r="AA1964" s="883"/>
    </row>
    <row r="1965" spans="1:27" s="211" customFormat="1" ht="15.75" customHeight="1">
      <c r="A1965" s="204" t="str">
        <f>IF(B1965&lt;&gt;"",IF(AND(B1965&gt;=_TM1,B1965&lt;=_TM2,OR(TH!L1965="1111",TH!M1965="1111")),TH!D1965,""),"")</f>
        <v/>
      </c>
      <c r="B1965" s="36">
        <f t="shared" si="476"/>
        <v>9</v>
      </c>
      <c r="C1965" s="191">
        <f t="shared" si="475"/>
        <v>41526</v>
      </c>
      <c r="D1965" s="37" t="s">
        <v>487</v>
      </c>
      <c r="E1965" s="37">
        <v>41526</v>
      </c>
      <c r="F1965" s="40" t="s">
        <v>940</v>
      </c>
      <c r="G1965" s="40" t="s">
        <v>1123</v>
      </c>
      <c r="H1965" s="7" t="s">
        <v>1290</v>
      </c>
      <c r="I1965" s="256">
        <v>300</v>
      </c>
      <c r="J1965" s="256">
        <v>14704.596235579842</v>
      </c>
      <c r="K1965" s="602">
        <f t="shared" si="477"/>
        <v>4411379</v>
      </c>
      <c r="L1965" s="39" t="s">
        <v>173</v>
      </c>
      <c r="M1965" s="39" t="s">
        <v>167</v>
      </c>
      <c r="N1965" s="39" t="str">
        <f>IF(AND('331-CT'!$E$7=TH!H1965,OR(L1965="331",M1965="331")),"331",IF(AND(OR(L1965="131",M1965="131"),H1965='131-CT'!$E$7),"131",""))</f>
        <v/>
      </c>
      <c r="O1965" s="39" t="str">
        <f>IF(AND($B1965&gt;='111'!$N$11,$B1965&lt;='111'!$O$11,OR($L1965=$O$7,$M1965=$O$7)),"x","")</f>
        <v/>
      </c>
      <c r="P1965" s="39" t="str">
        <f>IF(AND($L1965=$O$7,$B1965&lt;'111'!$N$11),"x","")</f>
        <v/>
      </c>
      <c r="Q1965" s="39" t="str">
        <f>IF(AND($M1965=$O$7,$B1965&lt;'111'!$N$11),"x","")</f>
        <v/>
      </c>
      <c r="R1965" s="39" t="str">
        <f>IF(ISERROR(FIND('112'!$M$9,G1965,1)),"",IF((AND(FIND('112'!$M$9,G1965,1)&gt;=1,$B1965&gt;='112'!$N$8,$B1965&lt;='112'!$O$8,OR($L1965='112'!$I$6,$M1965='112'!$I$6))),"x",""))</f>
        <v/>
      </c>
      <c r="S1965" s="39" t="str">
        <f>IF(ISERROR(FIND('112'!$M$9,G1965,1)),"",IF((AND(LEFT(G1965,2)=LEFT('112'!$M$9,2),B1965&lt;'112'!$N$8,$L1965='112'!$I$6)),"x",""))</f>
        <v/>
      </c>
      <c r="T1965" s="39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39" t="str">
        <f>IF(OR(TH!L1965=TH!$V$7,M1965=TH!$V$7),"x","")</f>
        <v/>
      </c>
      <c r="W1965" s="39" t="str">
        <f>IF(AND(B1965&gt;='IN-NX'!$P$3,B1965&lt;='IN-NX'!$Q$3,'IN-NX'!$D$7=D1965,OR(LEFT(L1965,2)="15",AND(LEFT(M1965,2)&lt;&gt;"15",LEFT(M1965,2)&lt;&gt;"33"))),"x","")</f>
        <v/>
      </c>
      <c r="X1965" s="39" t="str">
        <f>IF(AND(OR(LEFT(TH!L1965,2)="15",LEFT(TH!M1965,2)="15"),'152-CT'!$J$8=TH!F1965),"x","")</f>
        <v/>
      </c>
      <c r="Y1965" s="39" t="str">
        <f>IF(AND(OR(LEFT(TH!L1965,2)="15",LEFT(TH!M1965,2)="15"),TK!$E$7=TH!F1965),"x","")</f>
        <v/>
      </c>
      <c r="Z1965" s="39" t="str">
        <f>IF(AND(B1965&lt;=NKC!$N$8,B1965&gt;=NKC!$M$8),"x","")</f>
        <v>x</v>
      </c>
      <c r="AA1965" s="883"/>
    </row>
    <row r="1966" spans="1:27" s="211" customFormat="1" ht="15.75" customHeight="1">
      <c r="A1966" s="204" t="str">
        <f>IF(B1966&lt;&gt;"",IF(AND(B1966&gt;=_TM1,B1966&lt;=_TM2,OR(TH!L1966="1111",TH!M1966="1111")),TH!D1966,""),"")</f>
        <v/>
      </c>
      <c r="B1966" s="36">
        <f t="shared" si="476"/>
        <v>9</v>
      </c>
      <c r="C1966" s="191">
        <f t="shared" si="475"/>
        <v>41526</v>
      </c>
      <c r="D1966" s="37" t="s">
        <v>487</v>
      </c>
      <c r="E1966" s="37">
        <v>41526</v>
      </c>
      <c r="F1966" s="40" t="s">
        <v>1148</v>
      </c>
      <c r="G1966" s="40" t="s">
        <v>922</v>
      </c>
      <c r="H1966" s="7" t="s">
        <v>1290</v>
      </c>
      <c r="I1966" s="256">
        <v>2680</v>
      </c>
      <c r="J1966" s="256">
        <v>4415.9544445350666</v>
      </c>
      <c r="K1966" s="602">
        <f t="shared" si="477"/>
        <v>11834758</v>
      </c>
      <c r="L1966" s="39" t="s">
        <v>173</v>
      </c>
      <c r="M1966" s="39" t="s">
        <v>167</v>
      </c>
      <c r="N1966" s="39" t="str">
        <f>IF(AND('331-CT'!$E$7=TH!H1966,OR(L1966="331",M1966="331")),"331",IF(AND(OR(L1966="131",M1966="131"),H1966='131-CT'!$E$7),"131",""))</f>
        <v/>
      </c>
      <c r="O1966" s="39" t="str">
        <f>IF(AND($B1966&gt;='111'!$N$11,$B1966&lt;='111'!$O$11,OR($L1966=$O$7,$M1966=$O$7)),"x","")</f>
        <v/>
      </c>
      <c r="P1966" s="39" t="str">
        <f>IF(AND($L1966=$O$7,$B1966&lt;'111'!$N$11),"x","")</f>
        <v/>
      </c>
      <c r="Q1966" s="39" t="str">
        <f>IF(AND($M1966=$O$7,$B1966&lt;'111'!$N$11),"x","")</f>
        <v/>
      </c>
      <c r="R1966" s="39" t="str">
        <f>IF(ISERROR(FIND('112'!$M$9,G1966,1)),"",IF((AND(FIND('112'!$M$9,G1966,1)&gt;=1,$B1966&gt;='112'!$N$8,$B1966&lt;='112'!$O$8,OR($L1966='112'!$I$6,$M1966='112'!$I$6))),"x",""))</f>
        <v/>
      </c>
      <c r="S1966" s="39" t="str">
        <f>IF(ISERROR(FIND('112'!$M$9,G1966,1)),"",IF((AND(LEFT(G1966,2)=LEFT('112'!$M$9,2),B1966&lt;'112'!$N$8,$L1966='112'!$I$6)),"x",""))</f>
        <v/>
      </c>
      <c r="T1966" s="39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39" t="str">
        <f>IF(OR(TH!L1966=TH!$V$7,M1966=TH!$V$7),"x","")</f>
        <v/>
      </c>
      <c r="W1966" s="39" t="str">
        <f>IF(AND(B1966&gt;='IN-NX'!$P$3,B1966&lt;='IN-NX'!$Q$3,'IN-NX'!$D$7=D1966,OR(LEFT(L1966,2)="15",AND(LEFT(M1966,2)&lt;&gt;"15",LEFT(M1966,2)&lt;&gt;"33"))),"x","")</f>
        <v/>
      </c>
      <c r="X1966" s="39" t="str">
        <f>IF(AND(OR(LEFT(TH!L1966,2)="15",LEFT(TH!M1966,2)="15"),'152-CT'!$J$8=TH!F1966),"x","")</f>
        <v/>
      </c>
      <c r="Y1966" s="39" t="str">
        <f>IF(AND(OR(LEFT(TH!L1966,2)="15",LEFT(TH!M1966,2)="15"),TK!$E$7=TH!F1966),"x","")</f>
        <v/>
      </c>
      <c r="Z1966" s="39" t="str">
        <f>IF(AND(B1966&lt;=NKC!$N$8,B1966&gt;=NKC!$M$8),"x","")</f>
        <v>x</v>
      </c>
      <c r="AA1966" s="883"/>
    </row>
    <row r="1967" spans="1:27" s="211" customFormat="1" ht="15.75" customHeight="1">
      <c r="A1967" s="204" t="str">
        <f>IF(B1967&lt;&gt;"",IF(AND(B1967&gt;=_TM1,B1967&lt;=_TM2,OR(TH!L1967="1111",TH!M1967="1111")),TH!D1967,""),"")</f>
        <v/>
      </c>
      <c r="B1967" s="36">
        <f t="shared" si="476"/>
        <v>9</v>
      </c>
      <c r="C1967" s="191">
        <f t="shared" si="475"/>
        <v>41528</v>
      </c>
      <c r="D1967" s="37" t="s">
        <v>487</v>
      </c>
      <c r="E1967" s="37">
        <v>41528</v>
      </c>
      <c r="F1967" s="40" t="s">
        <v>923</v>
      </c>
      <c r="G1967" s="40" t="s">
        <v>924</v>
      </c>
      <c r="H1967" s="7" t="s">
        <v>1290</v>
      </c>
      <c r="I1967" s="256">
        <v>100</v>
      </c>
      <c r="J1967" s="256">
        <v>11617.596235579844</v>
      </c>
      <c r="K1967" s="602">
        <f t="shared" si="477"/>
        <v>1161760</v>
      </c>
      <c r="L1967" s="39" t="s">
        <v>173</v>
      </c>
      <c r="M1967" s="39" t="s">
        <v>167</v>
      </c>
      <c r="N1967" s="39" t="str">
        <f>IF(AND('331-CT'!$E$7=TH!H1967,OR(L1967="331",M1967="331")),"331",IF(AND(OR(L1967="131",M1967="131"),H1967='131-CT'!$E$7),"131",""))</f>
        <v/>
      </c>
      <c r="O1967" s="39" t="str">
        <f>IF(AND($B1967&gt;='111'!$N$11,$B1967&lt;='111'!$O$11,OR($L1967=$O$7,$M1967=$O$7)),"x","")</f>
        <v/>
      </c>
      <c r="P1967" s="39" t="str">
        <f>IF(AND($L1967=$O$7,$B1967&lt;'111'!$N$11),"x","")</f>
        <v/>
      </c>
      <c r="Q1967" s="39" t="str">
        <f>IF(AND($M1967=$O$7,$B1967&lt;'111'!$N$11),"x","")</f>
        <v/>
      </c>
      <c r="R1967" s="39" t="str">
        <f>IF(ISERROR(FIND('112'!$M$9,G1967,1)),"",IF((AND(FIND('112'!$M$9,G1967,1)&gt;=1,$B1967&gt;='112'!$N$8,$B1967&lt;='112'!$O$8,OR($L1967='112'!$I$6,$M1967='112'!$I$6))),"x",""))</f>
        <v/>
      </c>
      <c r="S1967" s="39" t="str">
        <f>IF(ISERROR(FIND('112'!$M$9,G1967,1)),"",IF((AND(LEFT(G1967,2)=LEFT('112'!$M$9,2),B1967&lt;'112'!$N$8,$L1967='112'!$I$6)),"x",""))</f>
        <v/>
      </c>
      <c r="T1967" s="39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39" t="str">
        <f>IF(OR(TH!L1967=TH!$V$7,M1967=TH!$V$7),"x","")</f>
        <v/>
      </c>
      <c r="W1967" s="39" t="str">
        <f>IF(AND(B1967&gt;='IN-NX'!$P$3,B1967&lt;='IN-NX'!$Q$3,'IN-NX'!$D$7=D1967,OR(LEFT(L1967,2)="15",AND(LEFT(M1967,2)&lt;&gt;"15",LEFT(M1967,2)&lt;&gt;"33"))),"x","")</f>
        <v/>
      </c>
      <c r="X1967" s="39" t="str">
        <f>IF(AND(OR(LEFT(TH!L1967,2)="15",LEFT(TH!M1967,2)="15"),'152-CT'!$J$8=TH!F1967),"x","")</f>
        <v/>
      </c>
      <c r="Y1967" s="39" t="str">
        <f>IF(AND(OR(LEFT(TH!L1967,2)="15",LEFT(TH!M1967,2)="15"),TK!$E$7=TH!F1967),"x","")</f>
        <v/>
      </c>
      <c r="Z1967" s="39" t="str">
        <f>IF(AND(B1967&lt;=NKC!$N$8,B1967&gt;=NKC!$M$8),"x","")</f>
        <v>x</v>
      </c>
      <c r="AA1967" s="883"/>
    </row>
    <row r="1968" spans="1:27" s="211" customFormat="1" ht="15.75" customHeight="1">
      <c r="A1968" s="204" t="str">
        <f>IF(B1968&lt;&gt;"",IF(AND(B1968&gt;=_TM1,B1968&lt;=_TM2,OR(TH!L1968="1111",TH!M1968="1111")),TH!D1968,""),"")</f>
        <v/>
      </c>
      <c r="B1968" s="36">
        <f t="shared" si="476"/>
        <v>9</v>
      </c>
      <c r="C1968" s="191">
        <f t="shared" si="475"/>
        <v>41528</v>
      </c>
      <c r="D1968" s="37" t="s">
        <v>487</v>
      </c>
      <c r="E1968" s="37">
        <v>41528</v>
      </c>
      <c r="F1968" s="40" t="s">
        <v>926</v>
      </c>
      <c r="G1968" s="40" t="s">
        <v>924</v>
      </c>
      <c r="H1968" s="7" t="s">
        <v>1290</v>
      </c>
      <c r="I1968" s="256">
        <v>102</v>
      </c>
      <c r="J1968" s="256">
        <v>13879.596235579844</v>
      </c>
      <c r="K1968" s="602">
        <f t="shared" si="477"/>
        <v>1415719</v>
      </c>
      <c r="L1968" s="39" t="s">
        <v>173</v>
      </c>
      <c r="M1968" s="39" t="s">
        <v>167</v>
      </c>
      <c r="N1968" s="39" t="str">
        <f>IF(AND('331-CT'!$E$7=TH!H1968,OR(L1968="331",M1968="331")),"331",IF(AND(OR(L1968="131",M1968="131"),H1968='131-CT'!$E$7),"131",""))</f>
        <v/>
      </c>
      <c r="O1968" s="39" t="str">
        <f>IF(AND($B1968&gt;='111'!$N$11,$B1968&lt;='111'!$O$11,OR($L1968=$O$7,$M1968=$O$7)),"x","")</f>
        <v/>
      </c>
      <c r="P1968" s="39" t="str">
        <f>IF(AND($L1968=$O$7,$B1968&lt;'111'!$N$11),"x","")</f>
        <v/>
      </c>
      <c r="Q1968" s="39" t="str">
        <f>IF(AND($M1968=$O$7,$B1968&lt;'111'!$N$11),"x","")</f>
        <v/>
      </c>
      <c r="R1968" s="39" t="str">
        <f>IF(ISERROR(FIND('112'!$M$9,G1968,1)),"",IF((AND(FIND('112'!$M$9,G1968,1)&gt;=1,$B1968&gt;='112'!$N$8,$B1968&lt;='112'!$O$8,OR($L1968='112'!$I$6,$M1968='112'!$I$6))),"x",""))</f>
        <v/>
      </c>
      <c r="S1968" s="39" t="str">
        <f>IF(ISERROR(FIND('112'!$M$9,G1968,1)),"",IF((AND(LEFT(G1968,2)=LEFT('112'!$M$9,2),B1968&lt;'112'!$N$8,$L1968='112'!$I$6)),"x",""))</f>
        <v/>
      </c>
      <c r="T1968" s="39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39" t="str">
        <f>IF(OR(TH!L1968=TH!$V$7,M1968=TH!$V$7),"x","")</f>
        <v/>
      </c>
      <c r="W1968" s="39" t="str">
        <f>IF(AND(B1968&gt;='IN-NX'!$P$3,B1968&lt;='IN-NX'!$Q$3,'IN-NX'!$D$7=D1968,OR(LEFT(L1968,2)="15",AND(LEFT(M1968,2)&lt;&gt;"15",LEFT(M1968,2)&lt;&gt;"33"))),"x","")</f>
        <v/>
      </c>
      <c r="X1968" s="39" t="str">
        <f>IF(AND(OR(LEFT(TH!L1968,2)="15",LEFT(TH!M1968,2)="15"),'152-CT'!$J$8=TH!F1968),"x","")</f>
        <v/>
      </c>
      <c r="Y1968" s="39" t="str">
        <f>IF(AND(OR(LEFT(TH!L1968,2)="15",LEFT(TH!M1968,2)="15"),TK!$E$7=TH!F1968),"x","")</f>
        <v/>
      </c>
      <c r="Z1968" s="39" t="str">
        <f>IF(AND(B1968&lt;=NKC!$N$8,B1968&gt;=NKC!$M$8),"x","")</f>
        <v>x</v>
      </c>
      <c r="AA1968" s="883"/>
    </row>
    <row r="1969" spans="1:27" s="211" customFormat="1" ht="15.75" customHeight="1">
      <c r="A1969" s="204" t="str">
        <f>IF(B1969&lt;&gt;"",IF(AND(B1969&gt;=_TM1,B1969&lt;=_TM2,OR(TH!L1969="1111",TH!M1969="1111")),TH!D1969,""),"")</f>
        <v/>
      </c>
      <c r="B1969" s="36">
        <f t="shared" si="476"/>
        <v>9</v>
      </c>
      <c r="C1969" s="191">
        <f t="shared" si="475"/>
        <v>41533</v>
      </c>
      <c r="D1969" s="37" t="s">
        <v>487</v>
      </c>
      <c r="E1969" s="37">
        <v>41533</v>
      </c>
      <c r="F1969" s="40" t="s">
        <v>836</v>
      </c>
      <c r="G1969" s="40" t="s">
        <v>927</v>
      </c>
      <c r="H1969" s="7" t="s">
        <v>1290</v>
      </c>
      <c r="I1969" s="256">
        <v>992</v>
      </c>
      <c r="J1969" s="256">
        <v>9217.014582354037</v>
      </c>
      <c r="K1969" s="602">
        <f t="shared" si="477"/>
        <v>9143278</v>
      </c>
      <c r="L1969" s="39" t="s">
        <v>173</v>
      </c>
      <c r="M1969" s="39" t="s">
        <v>167</v>
      </c>
      <c r="N1969" s="39" t="str">
        <f>IF(AND('331-CT'!$E$7=TH!H1969,OR(L1969="331",M1969="331")),"331",IF(AND(OR(L1969="131",M1969="131"),H1969='131-CT'!$E$7),"131",""))</f>
        <v/>
      </c>
      <c r="O1969" s="39" t="str">
        <f>IF(AND($B1969&gt;='111'!$N$11,$B1969&lt;='111'!$O$11,OR($L1969=$O$7,$M1969=$O$7)),"x","")</f>
        <v/>
      </c>
      <c r="P1969" s="39" t="str">
        <f>IF(AND($L1969=$O$7,$B1969&lt;'111'!$N$11),"x","")</f>
        <v/>
      </c>
      <c r="Q1969" s="39" t="str">
        <f>IF(AND($M1969=$O$7,$B1969&lt;'111'!$N$11),"x","")</f>
        <v/>
      </c>
      <c r="R1969" s="39" t="str">
        <f>IF(ISERROR(FIND('112'!$M$9,G1969,1)),"",IF((AND(FIND('112'!$M$9,G1969,1)&gt;=1,$B1969&gt;='112'!$N$8,$B1969&lt;='112'!$O$8,OR($L1969='112'!$I$6,$M1969='112'!$I$6))),"x",""))</f>
        <v/>
      </c>
      <c r="S1969" s="39" t="str">
        <f>IF(ISERROR(FIND('112'!$M$9,G1969,1)),"",IF((AND(LEFT(G1969,2)=LEFT('112'!$M$9,2),B1969&lt;'112'!$N$8,$L1969='112'!$I$6)),"x",""))</f>
        <v/>
      </c>
      <c r="T1969" s="39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39" t="str">
        <f>IF(OR(TH!L1969=TH!$V$7,M1969=TH!$V$7),"x","")</f>
        <v/>
      </c>
      <c r="W1969" s="39" t="str">
        <f>IF(AND(B1969&gt;='IN-NX'!$P$3,B1969&lt;='IN-NX'!$Q$3,'IN-NX'!$D$7=D1969,OR(LEFT(L1969,2)="15",AND(LEFT(M1969,2)&lt;&gt;"15",LEFT(M1969,2)&lt;&gt;"33"))),"x","")</f>
        <v/>
      </c>
      <c r="X1969" s="39" t="str">
        <f>IF(AND(OR(LEFT(TH!L1969,2)="15",LEFT(TH!M1969,2)="15"),'152-CT'!$J$8=TH!F1969),"x","")</f>
        <v/>
      </c>
      <c r="Y1969" s="39" t="str">
        <f>IF(AND(OR(LEFT(TH!L1969,2)="15",LEFT(TH!M1969,2)="15"),TK!$E$7=TH!F1969),"x","")</f>
        <v/>
      </c>
      <c r="Z1969" s="39" t="str">
        <f>IF(AND(B1969&lt;=NKC!$N$8,B1969&gt;=NKC!$M$8),"x","")</f>
        <v>x</v>
      </c>
      <c r="AA1969" s="883"/>
    </row>
    <row r="1970" spans="1:27" s="211" customFormat="1" ht="15.75" customHeight="1">
      <c r="A1970" s="204" t="str">
        <f>IF(B1970&lt;&gt;"",IF(AND(B1970&gt;=_TM1,B1970&lt;=_TM2,OR(TH!L1970="1111",TH!M1970="1111")),TH!D1970,""),"")</f>
        <v/>
      </c>
      <c r="B1970" s="36">
        <f t="shared" si="476"/>
        <v>9</v>
      </c>
      <c r="C1970" s="191">
        <f t="shared" si="475"/>
        <v>41535</v>
      </c>
      <c r="D1970" s="37" t="s">
        <v>487</v>
      </c>
      <c r="E1970" s="37">
        <v>41535</v>
      </c>
      <c r="F1970" s="40" t="s">
        <v>865</v>
      </c>
      <c r="G1970" s="40" t="s">
        <v>928</v>
      </c>
      <c r="H1970" s="7" t="s">
        <v>1290</v>
      </c>
      <c r="I1970" s="256">
        <v>496</v>
      </c>
      <c r="J1970" s="256">
        <v>20664.654703321779</v>
      </c>
      <c r="K1970" s="602">
        <f t="shared" si="477"/>
        <v>10249669</v>
      </c>
      <c r="L1970" s="39" t="s">
        <v>173</v>
      </c>
      <c r="M1970" s="39" t="s">
        <v>167</v>
      </c>
      <c r="N1970" s="39" t="str">
        <f>IF(AND('331-CT'!$E$7=TH!H1970,OR(L1970="331",M1970="331")),"331",IF(AND(OR(L1970="131",M1970="131"),H1970='131-CT'!$E$7),"131",""))</f>
        <v/>
      </c>
      <c r="O1970" s="39" t="str">
        <f>IF(AND($B1970&gt;='111'!$N$11,$B1970&lt;='111'!$O$11,OR($L1970=$O$7,$M1970=$O$7)),"x","")</f>
        <v/>
      </c>
      <c r="P1970" s="39" t="str">
        <f>IF(AND($L1970=$O$7,$B1970&lt;'111'!$N$11),"x","")</f>
        <v/>
      </c>
      <c r="Q1970" s="39" t="str">
        <f>IF(AND($M1970=$O$7,$B1970&lt;'111'!$N$11),"x","")</f>
        <v/>
      </c>
      <c r="R1970" s="39" t="str">
        <f>IF(ISERROR(FIND('112'!$M$9,G1970,1)),"",IF((AND(FIND('112'!$M$9,G1970,1)&gt;=1,$B1970&gt;='112'!$N$8,$B1970&lt;='112'!$O$8,OR($L1970='112'!$I$6,$M1970='112'!$I$6))),"x",""))</f>
        <v/>
      </c>
      <c r="S1970" s="39" t="str">
        <f>IF(ISERROR(FIND('112'!$M$9,G1970,1)),"",IF((AND(LEFT(G1970,2)=LEFT('112'!$M$9,2),B1970&lt;'112'!$N$8,$L1970='112'!$I$6)),"x",""))</f>
        <v/>
      </c>
      <c r="T1970" s="39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39" t="str">
        <f>IF(OR(TH!L1970=TH!$V$7,M1970=TH!$V$7),"x","")</f>
        <v/>
      </c>
      <c r="W1970" s="39" t="str">
        <f>IF(AND(B1970&gt;='IN-NX'!$P$3,B1970&lt;='IN-NX'!$Q$3,'IN-NX'!$D$7=D1970,OR(LEFT(L1970,2)="15",AND(LEFT(M1970,2)&lt;&gt;"15",LEFT(M1970,2)&lt;&gt;"33"))),"x","")</f>
        <v/>
      </c>
      <c r="X1970" s="39" t="str">
        <f>IF(AND(OR(LEFT(TH!L1970,2)="15",LEFT(TH!M1970,2)="15"),'152-CT'!$J$8=TH!F1970),"x","")</f>
        <v/>
      </c>
      <c r="Y1970" s="39" t="str">
        <f>IF(AND(OR(LEFT(TH!L1970,2)="15",LEFT(TH!M1970,2)="15"),TK!$E$7=TH!F1970),"x","")</f>
        <v/>
      </c>
      <c r="Z1970" s="39" t="str">
        <f>IF(AND(B1970&lt;=NKC!$N$8,B1970&gt;=NKC!$M$8),"x","")</f>
        <v>x</v>
      </c>
      <c r="AA1970" s="883"/>
    </row>
    <row r="1971" spans="1:27" s="211" customFormat="1" ht="15.75" customHeight="1">
      <c r="A1971" s="204" t="str">
        <f>IF(B1971&lt;&gt;"",IF(AND(B1971&gt;=_TM1,B1971&lt;=_TM2,OR(TH!L1971="1111",TH!M1971="1111")),TH!D1971,""),"")</f>
        <v/>
      </c>
      <c r="B1971" s="36">
        <f t="shared" si="476"/>
        <v>9</v>
      </c>
      <c r="C1971" s="191">
        <f t="shared" si="475"/>
        <v>41536</v>
      </c>
      <c r="D1971" s="37" t="s">
        <v>487</v>
      </c>
      <c r="E1971" s="37">
        <v>41536</v>
      </c>
      <c r="F1971" s="40" t="s">
        <v>929</v>
      </c>
      <c r="G1971" s="40" t="s">
        <v>930</v>
      </c>
      <c r="H1971" s="7" t="s">
        <v>1290</v>
      </c>
      <c r="I1971" s="256">
        <v>294</v>
      </c>
      <c r="J1971" s="256">
        <v>2757.9975961240598</v>
      </c>
      <c r="K1971" s="602">
        <f t="shared" si="477"/>
        <v>810851</v>
      </c>
      <c r="L1971" s="39" t="s">
        <v>173</v>
      </c>
      <c r="M1971" s="39" t="s">
        <v>167</v>
      </c>
      <c r="N1971" s="39" t="str">
        <f>IF(AND('331-CT'!$E$7=TH!H1971,OR(L1971="331",M1971="331")),"331",IF(AND(OR(L1971="131",M1971="131"),H1971='131-CT'!$E$7),"131",""))</f>
        <v/>
      </c>
      <c r="O1971" s="39" t="str">
        <f>IF(AND($B1971&gt;='111'!$N$11,$B1971&lt;='111'!$O$11,OR($L1971=$O$7,$M1971=$O$7)),"x","")</f>
        <v/>
      </c>
      <c r="P1971" s="39" t="str">
        <f>IF(AND($L1971=$O$7,$B1971&lt;'111'!$N$11),"x","")</f>
        <v/>
      </c>
      <c r="Q1971" s="39" t="str">
        <f>IF(AND($M1971=$O$7,$B1971&lt;'111'!$N$11),"x","")</f>
        <v/>
      </c>
      <c r="R1971" s="39" t="str">
        <f>IF(ISERROR(FIND('112'!$M$9,G1971,1)),"",IF((AND(FIND('112'!$M$9,G1971,1)&gt;=1,$B1971&gt;='112'!$N$8,$B1971&lt;='112'!$O$8,OR($L1971='112'!$I$6,$M1971='112'!$I$6))),"x",""))</f>
        <v/>
      </c>
      <c r="S1971" s="39" t="str">
        <f>IF(ISERROR(FIND('112'!$M$9,G1971,1)),"",IF((AND(LEFT(G1971,2)=LEFT('112'!$M$9,2),B1971&lt;'112'!$N$8,$L1971='112'!$I$6)),"x",""))</f>
        <v/>
      </c>
      <c r="T1971" s="39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39" t="str">
        <f>IF(OR(TH!L1971=TH!$V$7,M1971=TH!$V$7),"x","")</f>
        <v/>
      </c>
      <c r="W1971" s="39" t="str">
        <f>IF(AND(B1971&gt;='IN-NX'!$P$3,B1971&lt;='IN-NX'!$Q$3,'IN-NX'!$D$7=D1971,OR(LEFT(L1971,2)="15",AND(LEFT(M1971,2)&lt;&gt;"15",LEFT(M1971,2)&lt;&gt;"33"))),"x","")</f>
        <v/>
      </c>
      <c r="X1971" s="39" t="str">
        <f>IF(AND(OR(LEFT(TH!L1971,2)="15",LEFT(TH!M1971,2)="15"),'152-CT'!$J$8=TH!F1971),"x","")</f>
        <v/>
      </c>
      <c r="Y1971" s="39" t="str">
        <f>IF(AND(OR(LEFT(TH!L1971,2)="15",LEFT(TH!M1971,2)="15"),TK!$E$7=TH!F1971),"x","")</f>
        <v/>
      </c>
      <c r="Z1971" s="39" t="str">
        <f>IF(AND(B1971&lt;=NKC!$N$8,B1971&gt;=NKC!$M$8),"x","")</f>
        <v>x</v>
      </c>
      <c r="AA1971" s="883"/>
    </row>
    <row r="1972" spans="1:27" s="211" customFormat="1" ht="15.75" customHeight="1">
      <c r="A1972" s="204" t="str">
        <f>IF(B1972&lt;&gt;"",IF(AND(B1972&gt;=_TM1,B1972&lt;=_TM2,OR(TH!L1972="1111",TH!M1972="1111")),TH!D1972,""),"")</f>
        <v/>
      </c>
      <c r="B1972" s="36">
        <f t="shared" si="476"/>
        <v>9</v>
      </c>
      <c r="C1972" s="191">
        <f t="shared" si="475"/>
        <v>41537</v>
      </c>
      <c r="D1972" s="37" t="s">
        <v>487</v>
      </c>
      <c r="E1972" s="37">
        <v>41537</v>
      </c>
      <c r="F1972" s="40" t="s">
        <v>885</v>
      </c>
      <c r="G1972" s="40" t="s">
        <v>931</v>
      </c>
      <c r="H1972" s="7" t="s">
        <v>1290</v>
      </c>
      <c r="I1972" s="256">
        <v>510</v>
      </c>
      <c r="J1972" s="256">
        <v>7460.4785885210194</v>
      </c>
      <c r="K1972" s="602">
        <f t="shared" si="477"/>
        <v>3804844</v>
      </c>
      <c r="L1972" s="39" t="s">
        <v>173</v>
      </c>
      <c r="M1972" s="39" t="s">
        <v>167</v>
      </c>
      <c r="N1972" s="39" t="str">
        <f>IF(AND('331-CT'!$E$7=TH!H1972,OR(L1972="331",M1972="331")),"331",IF(AND(OR(L1972="131",M1972="131"),H1972='131-CT'!$E$7),"131",""))</f>
        <v/>
      </c>
      <c r="O1972" s="39" t="str">
        <f>IF(AND($B1972&gt;='111'!$N$11,$B1972&lt;='111'!$O$11,OR($L1972=$O$7,$M1972=$O$7)),"x","")</f>
        <v/>
      </c>
      <c r="P1972" s="39" t="str">
        <f>IF(AND($L1972=$O$7,$B1972&lt;'111'!$N$11),"x","")</f>
        <v/>
      </c>
      <c r="Q1972" s="39" t="str">
        <f>IF(AND($M1972=$O$7,$B1972&lt;'111'!$N$11),"x","")</f>
        <v/>
      </c>
      <c r="R1972" s="39" t="str">
        <f>IF(ISERROR(FIND('112'!$M$9,G1972,1)),"",IF((AND(FIND('112'!$M$9,G1972,1)&gt;=1,$B1972&gt;='112'!$N$8,$B1972&lt;='112'!$O$8,OR($L1972='112'!$I$6,$M1972='112'!$I$6))),"x",""))</f>
        <v/>
      </c>
      <c r="S1972" s="39" t="str">
        <f>IF(ISERROR(FIND('112'!$M$9,G1972,1)),"",IF((AND(LEFT(G1972,2)=LEFT('112'!$M$9,2),B1972&lt;'112'!$N$8,$L1972='112'!$I$6)),"x",""))</f>
        <v/>
      </c>
      <c r="T1972" s="39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39" t="str">
        <f>IF(OR(TH!L1972=TH!$V$7,M1972=TH!$V$7),"x","")</f>
        <v/>
      </c>
      <c r="W1972" s="39" t="str">
        <f>IF(AND(B1972&gt;='IN-NX'!$P$3,B1972&lt;='IN-NX'!$Q$3,'IN-NX'!$D$7=D1972,OR(LEFT(L1972,2)="15",AND(LEFT(M1972,2)&lt;&gt;"15",LEFT(M1972,2)&lt;&gt;"33"))),"x","")</f>
        <v/>
      </c>
      <c r="X1972" s="39" t="str">
        <f>IF(AND(OR(LEFT(TH!L1972,2)="15",LEFT(TH!M1972,2)="15"),'152-CT'!$J$8=TH!F1972),"x","")</f>
        <v/>
      </c>
      <c r="Y1972" s="39" t="str">
        <f>IF(AND(OR(LEFT(TH!L1972,2)="15",LEFT(TH!M1972,2)="15"),TK!$E$7=TH!F1972),"x","")</f>
        <v/>
      </c>
      <c r="Z1972" s="39" t="str">
        <f>IF(AND(B1972&lt;=NKC!$N$8,B1972&gt;=NKC!$M$8),"x","")</f>
        <v>x</v>
      </c>
      <c r="AA1972" s="883"/>
    </row>
    <row r="1973" spans="1:27" s="211" customFormat="1" ht="15.75" customHeight="1">
      <c r="A1973" s="204" t="str">
        <f>IF(B1973&lt;&gt;"",IF(AND(B1973&gt;=_TM1,B1973&lt;=_TM2,OR(TH!L1973="1111",TH!M1973="1111")),TH!D1973,""),"")</f>
        <v/>
      </c>
      <c r="B1973" s="36">
        <f t="shared" si="476"/>
        <v>9</v>
      </c>
      <c r="C1973" s="191">
        <f t="shared" si="475"/>
        <v>41538</v>
      </c>
      <c r="D1973" s="37" t="s">
        <v>487</v>
      </c>
      <c r="E1973" s="37">
        <v>41538</v>
      </c>
      <c r="F1973" s="40" t="s">
        <v>742</v>
      </c>
      <c r="G1973" s="40" t="s">
        <v>932</v>
      </c>
      <c r="H1973" s="7" t="s">
        <v>1290</v>
      </c>
      <c r="I1973" s="256">
        <v>331</v>
      </c>
      <c r="J1973" s="256">
        <v>20664.656658540567</v>
      </c>
      <c r="K1973" s="602">
        <f t="shared" si="477"/>
        <v>6840001</v>
      </c>
      <c r="L1973" s="39" t="s">
        <v>173</v>
      </c>
      <c r="M1973" s="39" t="s">
        <v>167</v>
      </c>
      <c r="N1973" s="39" t="str">
        <f>IF(AND('331-CT'!$E$7=TH!H1973,OR(L1973="331",M1973="331")),"331",IF(AND(OR(L1973="131",M1973="131"),H1973='131-CT'!$E$7),"131",""))</f>
        <v/>
      </c>
      <c r="O1973" s="39" t="str">
        <f>IF(AND($B1973&gt;='111'!$N$11,$B1973&lt;='111'!$O$11,OR($L1973=$O$7,$M1973=$O$7)),"x","")</f>
        <v/>
      </c>
      <c r="P1973" s="39" t="str">
        <f>IF(AND($L1973=$O$7,$B1973&lt;'111'!$N$11),"x","")</f>
        <v/>
      </c>
      <c r="Q1973" s="39" t="str">
        <f>IF(AND($M1973=$O$7,$B1973&lt;'111'!$N$11),"x","")</f>
        <v/>
      </c>
      <c r="R1973" s="39" t="str">
        <f>IF(ISERROR(FIND('112'!$M$9,G1973,1)),"",IF((AND(FIND('112'!$M$9,G1973,1)&gt;=1,$B1973&gt;='112'!$N$8,$B1973&lt;='112'!$O$8,OR($L1973='112'!$I$6,$M1973='112'!$I$6))),"x",""))</f>
        <v/>
      </c>
      <c r="S1973" s="39" t="str">
        <f>IF(ISERROR(FIND('112'!$M$9,G1973,1)),"",IF((AND(LEFT(G1973,2)=LEFT('112'!$M$9,2),B1973&lt;'112'!$N$8,$L1973='112'!$I$6)),"x",""))</f>
        <v/>
      </c>
      <c r="T1973" s="39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39" t="str">
        <f>IF(OR(TH!L1973=TH!$V$7,M1973=TH!$V$7),"x","")</f>
        <v/>
      </c>
      <c r="W1973" s="39" t="str">
        <f>IF(AND(B1973&gt;='IN-NX'!$P$3,B1973&lt;='IN-NX'!$Q$3,'IN-NX'!$D$7=D1973,OR(LEFT(L1973,2)="15",AND(LEFT(M1973,2)&lt;&gt;"15",LEFT(M1973,2)&lt;&gt;"33"))),"x","")</f>
        <v/>
      </c>
      <c r="X1973" s="39" t="str">
        <f>IF(AND(OR(LEFT(TH!L1973,2)="15",LEFT(TH!M1973,2)="15"),'152-CT'!$J$8=TH!F1973),"x","")</f>
        <v/>
      </c>
      <c r="Y1973" s="39" t="str">
        <f>IF(AND(OR(LEFT(TH!L1973,2)="15",LEFT(TH!M1973,2)="15"),TK!$E$7=TH!F1973),"x","")</f>
        <v/>
      </c>
      <c r="Z1973" s="39" t="str">
        <f>IF(AND(B1973&lt;=NKC!$N$8,B1973&gt;=NKC!$M$8),"x","")</f>
        <v>x</v>
      </c>
      <c r="AA1973" s="883"/>
    </row>
    <row r="1974" spans="1:27" s="211" customFormat="1" ht="15.75" customHeight="1">
      <c r="A1974" s="204" t="str">
        <f>IF(B1974&lt;&gt;"",IF(AND(B1974&gt;=_TM1,B1974&lt;=_TM2,OR(TH!L1974="1111",TH!M1974="1111")),TH!D1974,""),"")</f>
        <v/>
      </c>
      <c r="B1974" s="36">
        <f t="shared" si="476"/>
        <v>9</v>
      </c>
      <c r="C1974" s="191">
        <f t="shared" si="475"/>
        <v>41540</v>
      </c>
      <c r="D1974" s="37" t="s">
        <v>487</v>
      </c>
      <c r="E1974" s="37">
        <v>41540</v>
      </c>
      <c r="F1974" s="40" t="s">
        <v>883</v>
      </c>
      <c r="G1974" s="40" t="s">
        <v>1124</v>
      </c>
      <c r="H1974" s="7" t="s">
        <v>1290</v>
      </c>
      <c r="I1974" s="256">
        <v>430</v>
      </c>
      <c r="J1974" s="256">
        <v>7798.3171658124002</v>
      </c>
      <c r="K1974" s="602">
        <f t="shared" si="477"/>
        <v>3353276</v>
      </c>
      <c r="L1974" s="39" t="s">
        <v>173</v>
      </c>
      <c r="M1974" s="39" t="s">
        <v>167</v>
      </c>
      <c r="N1974" s="39" t="str">
        <f>IF(AND('331-CT'!$E$7=TH!H1974,OR(L1974="331",M1974="331")),"331",IF(AND(OR(L1974="131",M1974="131"),H1974='131-CT'!$E$7),"131",""))</f>
        <v/>
      </c>
      <c r="O1974" s="39" t="str">
        <f>IF(AND($B1974&gt;='111'!$N$11,$B1974&lt;='111'!$O$11,OR($L1974=$O$7,$M1974=$O$7)),"x","")</f>
        <v/>
      </c>
      <c r="P1974" s="39" t="str">
        <f>IF(AND($L1974=$O$7,$B1974&lt;'111'!$N$11),"x","")</f>
        <v/>
      </c>
      <c r="Q1974" s="39" t="str">
        <f>IF(AND($M1974=$O$7,$B1974&lt;'111'!$N$11),"x","")</f>
        <v/>
      </c>
      <c r="R1974" s="39" t="str">
        <f>IF(ISERROR(FIND('112'!$M$9,G1974,1)),"",IF((AND(FIND('112'!$M$9,G1974,1)&gt;=1,$B1974&gt;='112'!$N$8,$B1974&lt;='112'!$O$8,OR($L1974='112'!$I$6,$M1974='112'!$I$6))),"x",""))</f>
        <v/>
      </c>
      <c r="S1974" s="39" t="str">
        <f>IF(ISERROR(FIND('112'!$M$9,G1974,1)),"",IF((AND(LEFT(G1974,2)=LEFT('112'!$M$9,2),B1974&lt;'112'!$N$8,$L1974='112'!$I$6)),"x",""))</f>
        <v/>
      </c>
      <c r="T1974" s="39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39" t="str">
        <f>IF(OR(TH!L1974=TH!$V$7,M1974=TH!$V$7),"x","")</f>
        <v/>
      </c>
      <c r="W1974" s="39" t="str">
        <f>IF(AND(B1974&gt;='IN-NX'!$P$3,B1974&lt;='IN-NX'!$Q$3,'IN-NX'!$D$7=D1974,OR(LEFT(L1974,2)="15",AND(LEFT(M1974,2)&lt;&gt;"15",LEFT(M1974,2)&lt;&gt;"33"))),"x","")</f>
        <v/>
      </c>
      <c r="X1974" s="39" t="str">
        <f>IF(AND(OR(LEFT(TH!L1974,2)="15",LEFT(TH!M1974,2)="15"),'152-CT'!$J$8=TH!F1974),"x","")</f>
        <v/>
      </c>
      <c r="Y1974" s="39" t="str">
        <f>IF(AND(OR(LEFT(TH!L1974,2)="15",LEFT(TH!M1974,2)="15"),TK!$E$7=TH!F1974),"x","")</f>
        <v/>
      </c>
      <c r="Z1974" s="39" t="str">
        <f>IF(AND(B1974&lt;=NKC!$N$8,B1974&gt;=NKC!$M$8),"x","")</f>
        <v>x</v>
      </c>
      <c r="AA1974" s="883"/>
    </row>
    <row r="1975" spans="1:27" s="211" customFormat="1" ht="15.75" customHeight="1">
      <c r="A1975" s="204" t="str">
        <f>IF(B1975&lt;&gt;"",IF(AND(B1975&gt;=_TM1,B1975&lt;=_TM2,OR(TH!L1975="1111",TH!M1975="1111")),TH!D1975,""),"")</f>
        <v/>
      </c>
      <c r="B1975" s="36">
        <f t="shared" si="476"/>
        <v>9</v>
      </c>
      <c r="C1975" s="191">
        <f t="shared" si="475"/>
        <v>41540</v>
      </c>
      <c r="D1975" s="37" t="s">
        <v>487</v>
      </c>
      <c r="E1975" s="37">
        <v>41540</v>
      </c>
      <c r="F1975" s="40" t="s">
        <v>1132</v>
      </c>
      <c r="G1975" s="40" t="s">
        <v>1124</v>
      </c>
      <c r="H1975" s="7" t="s">
        <v>1290</v>
      </c>
      <c r="I1975" s="256">
        <v>200</v>
      </c>
      <c r="J1975" s="256">
        <v>12469.446235579844</v>
      </c>
      <c r="K1975" s="602">
        <f t="shared" si="477"/>
        <v>2493889</v>
      </c>
      <c r="L1975" s="39" t="s">
        <v>173</v>
      </c>
      <c r="M1975" s="39" t="s">
        <v>167</v>
      </c>
      <c r="N1975" s="39" t="str">
        <f>IF(AND('331-CT'!$E$7=TH!H1975,OR(L1975="331",M1975="331")),"331",IF(AND(OR(L1975="131",M1975="131"),H1975='131-CT'!$E$7),"131",""))</f>
        <v/>
      </c>
      <c r="O1975" s="39" t="str">
        <f>IF(AND($B1975&gt;='111'!$N$11,$B1975&lt;='111'!$O$11,OR($L1975=$O$7,$M1975=$O$7)),"x","")</f>
        <v/>
      </c>
      <c r="P1975" s="39" t="str">
        <f>IF(AND($L1975=$O$7,$B1975&lt;'111'!$N$11),"x","")</f>
        <v/>
      </c>
      <c r="Q1975" s="39" t="str">
        <f>IF(AND($M1975=$O$7,$B1975&lt;'111'!$N$11),"x","")</f>
        <v/>
      </c>
      <c r="R1975" s="39" t="str">
        <f>IF(ISERROR(FIND('112'!$M$9,G1975,1)),"",IF((AND(FIND('112'!$M$9,G1975,1)&gt;=1,$B1975&gt;='112'!$N$8,$B1975&lt;='112'!$O$8,OR($L1975='112'!$I$6,$M1975='112'!$I$6))),"x",""))</f>
        <v/>
      </c>
      <c r="S1975" s="39" t="str">
        <f>IF(ISERROR(FIND('112'!$M$9,G1975,1)),"",IF((AND(LEFT(G1975,2)=LEFT('112'!$M$9,2),B1975&lt;'112'!$N$8,$L1975='112'!$I$6)),"x",""))</f>
        <v/>
      </c>
      <c r="T1975" s="39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39" t="str">
        <f>IF(OR(TH!L1975=TH!$V$7,M1975=TH!$V$7),"x","")</f>
        <v/>
      </c>
      <c r="W1975" s="39" t="str">
        <f>IF(AND(B1975&gt;='IN-NX'!$P$3,B1975&lt;='IN-NX'!$Q$3,'IN-NX'!$D$7=D1975,OR(LEFT(L1975,2)="15",AND(LEFT(M1975,2)&lt;&gt;"15",LEFT(M1975,2)&lt;&gt;"33"))),"x","")</f>
        <v/>
      </c>
      <c r="X1975" s="39" t="str">
        <f>IF(AND(OR(LEFT(TH!L1975,2)="15",LEFT(TH!M1975,2)="15"),'152-CT'!$J$8=TH!F1975),"x","")</f>
        <v/>
      </c>
      <c r="Y1975" s="39" t="str">
        <f>IF(AND(OR(LEFT(TH!L1975,2)="15",LEFT(TH!M1975,2)="15"),TK!$E$7=TH!F1975),"x","")</f>
        <v/>
      </c>
      <c r="Z1975" s="39" t="str">
        <f>IF(AND(B1975&lt;=NKC!$N$8,B1975&gt;=NKC!$M$8),"x","")</f>
        <v>x</v>
      </c>
      <c r="AA1975" s="883"/>
    </row>
    <row r="1976" spans="1:27" s="211" customFormat="1" ht="15.75" customHeight="1">
      <c r="A1976" s="204" t="str">
        <f>IF(B1976&lt;&gt;"",IF(AND(B1976&gt;=_TM1,B1976&lt;=_TM2,OR(TH!L1976="1111",TH!M1976="1111")),TH!D1976,""),"")</f>
        <v/>
      </c>
      <c r="B1976" s="36">
        <f t="shared" si="476"/>
        <v>9</v>
      </c>
      <c r="C1976" s="191">
        <f t="shared" si="475"/>
        <v>41540</v>
      </c>
      <c r="D1976" s="37" t="s">
        <v>487</v>
      </c>
      <c r="E1976" s="191">
        <v>41540</v>
      </c>
      <c r="F1976" s="189" t="s">
        <v>1130</v>
      </c>
      <c r="G1976" s="604" t="s">
        <v>1124</v>
      </c>
      <c r="H1976" s="7" t="s">
        <v>1290</v>
      </c>
      <c r="I1976" s="256">
        <v>108</v>
      </c>
      <c r="J1976" s="256">
        <v>12737.531420765028</v>
      </c>
      <c r="K1976" s="602">
        <f t="shared" si="477"/>
        <v>1375653</v>
      </c>
      <c r="L1976" s="39" t="s">
        <v>173</v>
      </c>
      <c r="M1976" s="39" t="s">
        <v>167</v>
      </c>
      <c r="N1976" s="39" t="str">
        <f>IF(AND('331-CT'!$E$7=TH!H1976,OR(L1976="331",M1976="331")),"331",IF(AND(OR(L1976="131",M1976="131"),H1976='131-CT'!$E$7),"131",""))</f>
        <v/>
      </c>
      <c r="O1976" s="39" t="str">
        <f>IF(AND($B1976&gt;='111'!$N$11,$B1976&lt;='111'!$O$11,OR($L1976=$O$7,$M1976=$O$7)),"x","")</f>
        <v/>
      </c>
      <c r="P1976" s="39" t="str">
        <f>IF(AND($L1976=$O$7,$B1976&lt;'111'!$N$11),"x","")</f>
        <v/>
      </c>
      <c r="Q1976" s="39" t="str">
        <f>IF(AND($M1976=$O$7,$B1976&lt;'111'!$N$11),"x","")</f>
        <v/>
      </c>
      <c r="R1976" s="39" t="str">
        <f>IF(ISERROR(FIND('112'!$M$9,G1976,1)),"",IF((AND(FIND('112'!$M$9,G1976,1)&gt;=1,$B1976&gt;='112'!$N$8,$B1976&lt;='112'!$O$8,OR($L1976='112'!$I$6,$M1976='112'!$I$6))),"x",""))</f>
        <v/>
      </c>
      <c r="S1976" s="39" t="str">
        <f>IF(ISERROR(FIND('112'!$M$9,G1976,1)),"",IF((AND(LEFT(G1976,2)=LEFT('112'!$M$9,2),B1976&lt;'112'!$N$8,$L1976='112'!$I$6)),"x",""))</f>
        <v/>
      </c>
      <c r="T1976" s="39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39" t="str">
        <f>IF(OR(TH!L1976=TH!$V$7,M1976=TH!$V$7),"x","")</f>
        <v/>
      </c>
      <c r="W1976" s="39" t="str">
        <f>IF(AND(B1976&gt;='IN-NX'!$P$3,B1976&lt;='IN-NX'!$Q$3,'IN-NX'!$D$7=D1976,OR(LEFT(L1976,2)="15",AND(LEFT(M1976,2)&lt;&gt;"15",LEFT(M1976,2)&lt;&gt;"33"))),"x","")</f>
        <v/>
      </c>
      <c r="X1976" s="39" t="str">
        <f>IF(AND(OR(LEFT(TH!L1976,2)="15",LEFT(TH!M1976,2)="15"),'152-CT'!$J$8=TH!F1976),"x","")</f>
        <v/>
      </c>
      <c r="Y1976" s="39" t="str">
        <f>IF(AND(OR(LEFT(TH!L1976,2)="15",LEFT(TH!M1976,2)="15"),TK!$E$7=TH!F1976),"x","")</f>
        <v/>
      </c>
      <c r="Z1976" s="39" t="str">
        <f>IF(AND(B1976&lt;=NKC!$N$8,B1976&gt;=NKC!$M$8),"x","")</f>
        <v>x</v>
      </c>
      <c r="AA1976" s="883"/>
    </row>
    <row r="1977" spans="1:27" s="211" customFormat="1" ht="15.75" customHeight="1">
      <c r="A1977" s="204" t="str">
        <f>IF(B1977&lt;&gt;"",IF(AND(B1977&gt;=_TM1,B1977&lt;=_TM2,OR(TH!L1977="1111",TH!M1977="1111")),TH!D1977,""),"")</f>
        <v/>
      </c>
      <c r="B1977" s="36">
        <f t="shared" si="476"/>
        <v>9</v>
      </c>
      <c r="C1977" s="191">
        <f t="shared" si="475"/>
        <v>41540</v>
      </c>
      <c r="D1977" s="37" t="s">
        <v>487</v>
      </c>
      <c r="E1977" s="191">
        <v>41540</v>
      </c>
      <c r="F1977" s="189" t="s">
        <v>1133</v>
      </c>
      <c r="G1977" s="604" t="s">
        <v>1124</v>
      </c>
      <c r="H1977" s="7" t="s">
        <v>1290</v>
      </c>
      <c r="I1977" s="256">
        <v>257</v>
      </c>
      <c r="J1977" s="256">
        <v>6866.4250293541618</v>
      </c>
      <c r="K1977" s="602">
        <f t="shared" si="477"/>
        <v>1764671</v>
      </c>
      <c r="L1977" s="39" t="s">
        <v>173</v>
      </c>
      <c r="M1977" s="39" t="s">
        <v>167</v>
      </c>
      <c r="N1977" s="39" t="str">
        <f>IF(AND('331-CT'!$E$7=TH!H1977,OR(L1977="331",M1977="331")),"331",IF(AND(OR(L1977="131",M1977="131"),H1977='131-CT'!$E$7),"131",""))</f>
        <v/>
      </c>
      <c r="O1977" s="39" t="str">
        <f>IF(AND($B1977&gt;='111'!$N$11,$B1977&lt;='111'!$O$11,OR($L1977=$O$7,$M1977=$O$7)),"x","")</f>
        <v/>
      </c>
      <c r="P1977" s="39" t="str">
        <f>IF(AND($L1977=$O$7,$B1977&lt;'111'!$N$11),"x","")</f>
        <v/>
      </c>
      <c r="Q1977" s="39" t="str">
        <f>IF(AND($M1977=$O$7,$B1977&lt;'111'!$N$11),"x","")</f>
        <v/>
      </c>
      <c r="R1977" s="39" t="str">
        <f>IF(ISERROR(FIND('112'!$M$9,G1977,1)),"",IF((AND(FIND('112'!$M$9,G1977,1)&gt;=1,$B1977&gt;='112'!$N$8,$B1977&lt;='112'!$O$8,OR($L1977='112'!$I$6,$M1977='112'!$I$6))),"x",""))</f>
        <v/>
      </c>
      <c r="S1977" s="39" t="str">
        <f>IF(ISERROR(FIND('112'!$M$9,G1977,1)),"",IF((AND(LEFT(G1977,2)=LEFT('112'!$M$9,2),B1977&lt;'112'!$N$8,$L1977='112'!$I$6)),"x",""))</f>
        <v/>
      </c>
      <c r="T1977" s="39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39" t="str">
        <f>IF(OR(TH!L1977=TH!$V$7,M1977=TH!$V$7),"x","")</f>
        <v/>
      </c>
      <c r="W1977" s="39" t="str">
        <f>IF(AND(B1977&gt;='IN-NX'!$P$3,B1977&lt;='IN-NX'!$Q$3,'IN-NX'!$D$7=D1977,OR(LEFT(L1977,2)="15",AND(LEFT(M1977,2)&lt;&gt;"15",LEFT(M1977,2)&lt;&gt;"33"))),"x","")</f>
        <v/>
      </c>
      <c r="X1977" s="39" t="str">
        <f>IF(AND(OR(LEFT(TH!L1977,2)="15",LEFT(TH!M1977,2)="15"),'152-CT'!$J$8=TH!F1977),"x","")</f>
        <v/>
      </c>
      <c r="Y1977" s="39" t="str">
        <f>IF(AND(OR(LEFT(TH!L1977,2)="15",LEFT(TH!M1977,2)="15"),TK!$E$7=TH!F1977),"x","")</f>
        <v/>
      </c>
      <c r="Z1977" s="39" t="str">
        <f>IF(AND(B1977&lt;=NKC!$N$8,B1977&gt;=NKC!$M$8),"x","")</f>
        <v>x</v>
      </c>
      <c r="AA1977" s="883"/>
    </row>
    <row r="1978" spans="1:27" s="211" customFormat="1" ht="15.75" customHeight="1">
      <c r="A1978" s="204" t="str">
        <f>IF(B1978&lt;&gt;"",IF(AND(B1978&gt;=_TM1,B1978&lt;=_TM2,OR(TH!L1978="1111",TH!M1978="1111")),TH!D1978,""),"")</f>
        <v/>
      </c>
      <c r="B1978" s="36">
        <f t="shared" si="476"/>
        <v>9</v>
      </c>
      <c r="C1978" s="191">
        <f t="shared" si="475"/>
        <v>41540</v>
      </c>
      <c r="D1978" s="37" t="s">
        <v>487</v>
      </c>
      <c r="E1978" s="191">
        <v>41540</v>
      </c>
      <c r="F1978" s="189" t="s">
        <v>815</v>
      </c>
      <c r="G1978" s="604" t="s">
        <v>933</v>
      </c>
      <c r="H1978" s="7" t="s">
        <v>1290</v>
      </c>
      <c r="I1978" s="256">
        <v>424</v>
      </c>
      <c r="J1978" s="256">
        <v>16754.59623557984</v>
      </c>
      <c r="K1978" s="602">
        <f t="shared" si="477"/>
        <v>7103949</v>
      </c>
      <c r="L1978" s="39" t="s">
        <v>173</v>
      </c>
      <c r="M1978" s="39" t="s">
        <v>167</v>
      </c>
      <c r="N1978" s="39" t="str">
        <f>IF(AND('331-CT'!$E$7=TH!H1978,OR(L1978="331",M1978="331")),"331",IF(AND(OR(L1978="131",M1978="131"),H1978='131-CT'!$E$7),"131",""))</f>
        <v/>
      </c>
      <c r="O1978" s="39" t="str">
        <f>IF(AND($B1978&gt;='111'!$N$11,$B1978&lt;='111'!$O$11,OR($L1978=$O$7,$M1978=$O$7)),"x","")</f>
        <v/>
      </c>
      <c r="P1978" s="39" t="str">
        <f>IF(AND($L1978=$O$7,$B1978&lt;'111'!$N$11),"x","")</f>
        <v/>
      </c>
      <c r="Q1978" s="39" t="str">
        <f>IF(AND($M1978=$O$7,$B1978&lt;'111'!$N$11),"x","")</f>
        <v/>
      </c>
      <c r="R1978" s="39" t="str">
        <f>IF(ISERROR(FIND('112'!$M$9,G1978,1)),"",IF((AND(FIND('112'!$M$9,G1978,1)&gt;=1,$B1978&gt;='112'!$N$8,$B1978&lt;='112'!$O$8,OR($L1978='112'!$I$6,$M1978='112'!$I$6))),"x",""))</f>
        <v/>
      </c>
      <c r="S1978" s="39" t="str">
        <f>IF(ISERROR(FIND('112'!$M$9,G1978,1)),"",IF((AND(LEFT(G1978,2)=LEFT('112'!$M$9,2),B1978&lt;'112'!$N$8,$L1978='112'!$I$6)),"x",""))</f>
        <v/>
      </c>
      <c r="T1978" s="39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39" t="str">
        <f>IF(OR(TH!L1978=TH!$V$7,M1978=TH!$V$7),"x","")</f>
        <v/>
      </c>
      <c r="W1978" s="39" t="str">
        <f>IF(AND(B1978&gt;='IN-NX'!$P$3,B1978&lt;='IN-NX'!$Q$3,'IN-NX'!$D$7=D1978,OR(LEFT(L1978,2)="15",AND(LEFT(M1978,2)&lt;&gt;"15",LEFT(M1978,2)&lt;&gt;"33"))),"x","")</f>
        <v/>
      </c>
      <c r="X1978" s="39" t="str">
        <f>IF(AND(OR(LEFT(TH!L1978,2)="15",LEFT(TH!M1978,2)="15"),'152-CT'!$J$8=TH!F1978),"x","")</f>
        <v/>
      </c>
      <c r="Y1978" s="39" t="str">
        <f>IF(AND(OR(LEFT(TH!L1978,2)="15",LEFT(TH!M1978,2)="15"),TK!$E$7=TH!F1978),"x","")</f>
        <v/>
      </c>
      <c r="Z1978" s="39" t="str">
        <f>IF(AND(B1978&lt;=NKC!$N$8,B1978&gt;=NKC!$M$8),"x","")</f>
        <v>x</v>
      </c>
      <c r="AA1978" s="883"/>
    </row>
    <row r="1979" spans="1:27" s="211" customFormat="1" ht="15.75" customHeight="1">
      <c r="A1979" s="204" t="str">
        <f>IF(B1979&lt;&gt;"",IF(AND(B1979&gt;=_TM1,B1979&lt;=_TM2,OR(TH!L1979="1111",TH!M1979="1111")),TH!D1979,""),"")</f>
        <v/>
      </c>
      <c r="B1979" s="36">
        <f t="shared" si="476"/>
        <v>9</v>
      </c>
      <c r="C1979" s="191">
        <f t="shared" si="475"/>
        <v>41540</v>
      </c>
      <c r="D1979" s="37" t="s">
        <v>487</v>
      </c>
      <c r="E1979" s="773">
        <v>41540</v>
      </c>
      <c r="F1979" s="189" t="s">
        <v>887</v>
      </c>
      <c r="G1979" s="40" t="s">
        <v>934</v>
      </c>
      <c r="H1979" s="7" t="s">
        <v>1290</v>
      </c>
      <c r="I1979" s="256">
        <v>980</v>
      </c>
      <c r="J1979" s="256">
        <v>6675.4023580288222</v>
      </c>
      <c r="K1979" s="602">
        <f t="shared" si="477"/>
        <v>6541894</v>
      </c>
      <c r="L1979" s="39" t="s">
        <v>173</v>
      </c>
      <c r="M1979" s="39" t="s">
        <v>167</v>
      </c>
      <c r="N1979" s="39" t="str">
        <f>IF(AND('331-CT'!$E$7=TH!H1979,OR(L1979="331",M1979="331")),"331",IF(AND(OR(L1979="131",M1979="131"),H1979='131-CT'!$E$7),"131",""))</f>
        <v/>
      </c>
      <c r="O1979" s="39" t="str">
        <f>IF(AND($B1979&gt;='111'!$N$11,$B1979&lt;='111'!$O$11,OR($L1979=$O$7,$M1979=$O$7)),"x","")</f>
        <v/>
      </c>
      <c r="P1979" s="39" t="str">
        <f>IF(AND($L1979=$O$7,$B1979&lt;'111'!$N$11),"x","")</f>
        <v/>
      </c>
      <c r="Q1979" s="39" t="str">
        <f>IF(AND($M1979=$O$7,$B1979&lt;'111'!$N$11),"x","")</f>
        <v/>
      </c>
      <c r="R1979" s="39" t="str">
        <f>IF(ISERROR(FIND('112'!$M$9,G1979,1)),"",IF((AND(FIND('112'!$M$9,G1979,1)&gt;=1,$B1979&gt;='112'!$N$8,$B1979&lt;='112'!$O$8,OR($L1979='112'!$I$6,$M1979='112'!$I$6))),"x",""))</f>
        <v/>
      </c>
      <c r="S1979" s="39" t="str">
        <f>IF(ISERROR(FIND('112'!$M$9,G1979,1)),"",IF((AND(LEFT(G1979,2)=LEFT('112'!$M$9,2),B1979&lt;'112'!$N$8,$L1979='112'!$I$6)),"x",""))</f>
        <v/>
      </c>
      <c r="T1979" s="39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39" t="str">
        <f>IF(OR(TH!L1979=TH!$V$7,M1979=TH!$V$7),"x","")</f>
        <v/>
      </c>
      <c r="W1979" s="39" t="str">
        <f>IF(AND(B1979&gt;='IN-NX'!$P$3,B1979&lt;='IN-NX'!$Q$3,'IN-NX'!$D$7=D1979,OR(LEFT(L1979,2)="15",AND(LEFT(M1979,2)&lt;&gt;"15",LEFT(M1979,2)&lt;&gt;"33"))),"x","")</f>
        <v/>
      </c>
      <c r="X1979" s="39" t="str">
        <f>IF(AND(OR(LEFT(TH!L1979,2)="15",LEFT(TH!M1979,2)="15"),'152-CT'!$J$8=TH!F1979),"x","")</f>
        <v/>
      </c>
      <c r="Y1979" s="39" t="str">
        <f>IF(AND(OR(LEFT(TH!L1979,2)="15",LEFT(TH!M1979,2)="15"),TK!$E$7=TH!F1979),"x","")</f>
        <v/>
      </c>
      <c r="Z1979" s="39" t="str">
        <f>IF(AND(B1979&lt;=NKC!$N$8,B1979&gt;=NKC!$M$8),"x","")</f>
        <v>x</v>
      </c>
      <c r="AA1979" s="883"/>
    </row>
    <row r="1980" spans="1:27" s="211" customFormat="1" ht="15.75" customHeight="1">
      <c r="A1980" s="204" t="str">
        <f>IF(B1980&lt;&gt;"",IF(AND(B1980&gt;=_TM1,B1980&lt;=_TM2,OR(TH!L1980="1111",TH!M1980="1111")),TH!D1980,""),"")</f>
        <v/>
      </c>
      <c r="B1980" s="36">
        <f t="shared" si="476"/>
        <v>9</v>
      </c>
      <c r="C1980" s="191">
        <f t="shared" si="475"/>
        <v>41542</v>
      </c>
      <c r="D1980" s="37" t="s">
        <v>487</v>
      </c>
      <c r="E1980" s="773">
        <v>41542</v>
      </c>
      <c r="F1980" s="40" t="s">
        <v>1148</v>
      </c>
      <c r="G1980" s="40" t="s">
        <v>935</v>
      </c>
      <c r="H1980" s="7" t="s">
        <v>1290</v>
      </c>
      <c r="I1980" s="256">
        <v>2700</v>
      </c>
      <c r="J1980" s="256">
        <v>4072.9395689131761</v>
      </c>
      <c r="K1980" s="602">
        <f t="shared" si="477"/>
        <v>10996937</v>
      </c>
      <c r="L1980" s="39" t="s">
        <v>173</v>
      </c>
      <c r="M1980" s="39" t="s">
        <v>167</v>
      </c>
      <c r="N1980" s="39" t="str">
        <f>IF(AND('331-CT'!$E$7=TH!H1980,OR(L1980="331",M1980="331")),"331",IF(AND(OR(L1980="131",M1980="131"),H1980='131-CT'!$E$7),"131",""))</f>
        <v/>
      </c>
      <c r="O1980" s="39" t="str">
        <f>IF(AND($B1980&gt;='111'!$N$11,$B1980&lt;='111'!$O$11,OR($L1980=$O$7,$M1980=$O$7)),"x","")</f>
        <v/>
      </c>
      <c r="P1980" s="39" t="str">
        <f>IF(AND($L1980=$O$7,$B1980&lt;'111'!$N$11),"x","")</f>
        <v/>
      </c>
      <c r="Q1980" s="39" t="str">
        <f>IF(AND($M1980=$O$7,$B1980&lt;'111'!$N$11),"x","")</f>
        <v/>
      </c>
      <c r="R1980" s="39" t="str">
        <f>IF(ISERROR(FIND('112'!$M$9,G1980,1)),"",IF((AND(FIND('112'!$M$9,G1980,1)&gt;=1,$B1980&gt;='112'!$N$8,$B1980&lt;='112'!$O$8,OR($L1980='112'!$I$6,$M1980='112'!$I$6))),"x",""))</f>
        <v/>
      </c>
      <c r="S1980" s="39" t="str">
        <f>IF(ISERROR(FIND('112'!$M$9,G1980,1)),"",IF((AND(LEFT(G1980,2)=LEFT('112'!$M$9,2),B1980&lt;'112'!$N$8,$L1980='112'!$I$6)),"x",""))</f>
        <v/>
      </c>
      <c r="T1980" s="39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39" t="str">
        <f>IF(OR(TH!L1980=TH!$V$7,M1980=TH!$V$7),"x","")</f>
        <v/>
      </c>
      <c r="W1980" s="39" t="str">
        <f>IF(AND(B1980&gt;='IN-NX'!$P$3,B1980&lt;='IN-NX'!$Q$3,'IN-NX'!$D$7=D1980,OR(LEFT(L1980,2)="15",AND(LEFT(M1980,2)&lt;&gt;"15",LEFT(M1980,2)&lt;&gt;"33"))),"x","")</f>
        <v/>
      </c>
      <c r="X1980" s="39" t="str">
        <f>IF(AND(OR(LEFT(TH!L1980,2)="15",LEFT(TH!M1980,2)="15"),'152-CT'!$J$8=TH!F1980),"x","")</f>
        <v/>
      </c>
      <c r="Y1980" s="39" t="str">
        <f>IF(AND(OR(LEFT(TH!L1980,2)="15",LEFT(TH!M1980,2)="15"),TK!$E$7=TH!F1980),"x","")</f>
        <v/>
      </c>
      <c r="Z1980" s="39" t="str">
        <f>IF(AND(B1980&lt;=NKC!$N$8,B1980&gt;=NKC!$M$8),"x","")</f>
        <v>x</v>
      </c>
      <c r="AA1980" s="883"/>
    </row>
    <row r="1981" spans="1:27" s="211" customFormat="1" ht="15.75" customHeight="1">
      <c r="A1981" s="204" t="str">
        <f>IF(B1981&lt;&gt;"",IF(AND(B1981&gt;=_TM1,B1981&lt;=_TM2,OR(TH!L1981="1111",TH!M1981="1111")),TH!D1981,""),"")</f>
        <v/>
      </c>
      <c r="B1981" s="36">
        <f t="shared" si="476"/>
        <v>9</v>
      </c>
      <c r="C1981" s="191">
        <f t="shared" si="475"/>
        <v>41543</v>
      </c>
      <c r="D1981" s="37" t="s">
        <v>487</v>
      </c>
      <c r="E1981" s="773">
        <v>41543</v>
      </c>
      <c r="F1981" s="189" t="s">
        <v>1151</v>
      </c>
      <c r="G1981" s="40" t="s">
        <v>936</v>
      </c>
      <c r="H1981" s="7" t="s">
        <v>1290</v>
      </c>
      <c r="I1981" s="256">
        <v>3500</v>
      </c>
      <c r="J1981" s="256">
        <v>3407.2682355798415</v>
      </c>
      <c r="K1981" s="602">
        <f t="shared" si="477"/>
        <v>11925439</v>
      </c>
      <c r="L1981" s="39" t="s">
        <v>173</v>
      </c>
      <c r="M1981" s="39" t="s">
        <v>167</v>
      </c>
      <c r="N1981" s="39" t="str">
        <f>IF(AND('331-CT'!$E$7=TH!H1981,OR(L1981="331",M1981="331")),"331",IF(AND(OR(L1981="131",M1981="131"),H1981='131-CT'!$E$7),"131",""))</f>
        <v/>
      </c>
      <c r="O1981" s="39" t="str">
        <f>IF(AND($B1981&gt;='111'!$N$11,$B1981&lt;='111'!$O$11,OR($L1981=$O$7,$M1981=$O$7)),"x","")</f>
        <v/>
      </c>
      <c r="P1981" s="39" t="str">
        <f>IF(AND($L1981=$O$7,$B1981&lt;'111'!$N$11),"x","")</f>
        <v/>
      </c>
      <c r="Q1981" s="39" t="str">
        <f>IF(AND($M1981=$O$7,$B1981&lt;'111'!$N$11),"x","")</f>
        <v/>
      </c>
      <c r="R1981" s="39" t="str">
        <f>IF(ISERROR(FIND('112'!$M$9,G1981,1)),"",IF((AND(FIND('112'!$M$9,G1981,1)&gt;=1,$B1981&gt;='112'!$N$8,$B1981&lt;='112'!$O$8,OR($L1981='112'!$I$6,$M1981='112'!$I$6))),"x",""))</f>
        <v/>
      </c>
      <c r="S1981" s="39" t="str">
        <f>IF(ISERROR(FIND('112'!$M$9,G1981,1)),"",IF((AND(LEFT(G1981,2)=LEFT('112'!$M$9,2),B1981&lt;'112'!$N$8,$L1981='112'!$I$6)),"x",""))</f>
        <v/>
      </c>
      <c r="T1981" s="39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39" t="str">
        <f>IF(OR(TH!L1981=TH!$V$7,M1981=TH!$V$7),"x","")</f>
        <v/>
      </c>
      <c r="W1981" s="39" t="str">
        <f>IF(AND(B1981&gt;='IN-NX'!$P$3,B1981&lt;='IN-NX'!$Q$3,'IN-NX'!$D$7=D1981,OR(LEFT(L1981,2)="15",AND(LEFT(M1981,2)&lt;&gt;"15",LEFT(M1981,2)&lt;&gt;"33"))),"x","")</f>
        <v/>
      </c>
      <c r="X1981" s="39" t="str">
        <f>IF(AND(OR(LEFT(TH!L1981,2)="15",LEFT(TH!M1981,2)="15"),'152-CT'!$J$8=TH!F1981),"x","")</f>
        <v/>
      </c>
      <c r="Y1981" s="39" t="str">
        <f>IF(AND(OR(LEFT(TH!L1981,2)="15",LEFT(TH!M1981,2)="15"),TK!$E$7=TH!F1981),"x","")</f>
        <v/>
      </c>
      <c r="Z1981" s="39" t="str">
        <f>IF(AND(B1981&lt;=NKC!$N$8,B1981&gt;=NKC!$M$8),"x","")</f>
        <v>x</v>
      </c>
      <c r="AA1981" s="883"/>
    </row>
    <row r="1982" spans="1:27" s="211" customFormat="1" ht="15.75" customHeight="1">
      <c r="A1982" s="204" t="str">
        <f>IF(B1982&lt;&gt;"",IF(AND(B1982&gt;=_TM1,B1982&lt;=_TM2,OR(TH!L1982="1111",TH!M1982="1111")),TH!D1982,""),"")</f>
        <v/>
      </c>
      <c r="B1982" s="36">
        <f t="shared" si="476"/>
        <v>9</v>
      </c>
      <c r="C1982" s="191">
        <f t="shared" si="475"/>
        <v>41547</v>
      </c>
      <c r="D1982" s="37" t="s">
        <v>487</v>
      </c>
      <c r="E1982" s="773">
        <v>41547</v>
      </c>
      <c r="F1982" s="297" t="s">
        <v>836</v>
      </c>
      <c r="G1982" s="40" t="s">
        <v>937</v>
      </c>
      <c r="H1982" s="7" t="s">
        <v>1290</v>
      </c>
      <c r="I1982" s="256">
        <v>1004</v>
      </c>
      <c r="J1982" s="256">
        <v>9217.0145622730688</v>
      </c>
      <c r="K1982" s="602">
        <f t="shared" si="477"/>
        <v>9253883</v>
      </c>
      <c r="L1982" s="39" t="s">
        <v>173</v>
      </c>
      <c r="M1982" s="39" t="s">
        <v>167</v>
      </c>
      <c r="N1982" s="39" t="str">
        <f>IF(AND('331-CT'!$E$7=TH!H1982,OR(L1982="331",M1982="331")),"331",IF(AND(OR(L1982="131",M1982="131"),H1982='131-CT'!$E$7),"131",""))</f>
        <v/>
      </c>
      <c r="O1982" s="39" t="str">
        <f>IF(AND($B1982&gt;='111'!$N$11,$B1982&lt;='111'!$O$11,OR($L1982=$O$7,$M1982=$O$7)),"x","")</f>
        <v/>
      </c>
      <c r="P1982" s="39" t="str">
        <f>IF(AND($L1982=$O$7,$B1982&lt;'111'!$N$11),"x","")</f>
        <v/>
      </c>
      <c r="Q1982" s="39" t="str">
        <f>IF(AND($M1982=$O$7,$B1982&lt;'111'!$N$11),"x","")</f>
        <v/>
      </c>
      <c r="R1982" s="39" t="str">
        <f>IF(ISERROR(FIND('112'!$M$9,G1982,1)),"",IF((AND(FIND('112'!$M$9,G1982,1)&gt;=1,$B1982&gt;='112'!$N$8,$B1982&lt;='112'!$O$8,OR($L1982='112'!$I$6,$M1982='112'!$I$6))),"x",""))</f>
        <v/>
      </c>
      <c r="S1982" s="39" t="str">
        <f>IF(ISERROR(FIND('112'!$M$9,G1982,1)),"",IF((AND(LEFT(G1982,2)=LEFT('112'!$M$9,2),B1982&lt;'112'!$N$8,$L1982='112'!$I$6)),"x",""))</f>
        <v/>
      </c>
      <c r="T1982" s="39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39" t="str">
        <f>IF(OR(TH!L1982=TH!$V$7,M1982=TH!$V$7),"x","")</f>
        <v/>
      </c>
      <c r="W1982" s="39" t="str">
        <f>IF(AND(B1982&gt;='IN-NX'!$P$3,B1982&lt;='IN-NX'!$Q$3,'IN-NX'!$D$7=D1982,OR(LEFT(L1982,2)="15",AND(LEFT(M1982,2)&lt;&gt;"15",LEFT(M1982,2)&lt;&gt;"33"))),"x","")</f>
        <v/>
      </c>
      <c r="X1982" s="39" t="str">
        <f>IF(AND(OR(LEFT(TH!L1982,2)="15",LEFT(TH!M1982,2)="15"),'152-CT'!$J$8=TH!F1982),"x","")</f>
        <v/>
      </c>
      <c r="Y1982" s="39" t="str">
        <f>IF(AND(OR(LEFT(TH!L1982,2)="15",LEFT(TH!M1982,2)="15"),TK!$E$7=TH!F1982),"x","")</f>
        <v/>
      </c>
      <c r="Z1982" s="39" t="str">
        <f>IF(AND(B1982&lt;=NKC!$N$8,B1982&gt;=NKC!$M$8),"x","")</f>
        <v>x</v>
      </c>
      <c r="AA1982" s="883"/>
    </row>
    <row r="1983" spans="1:27" s="211" customFormat="1" ht="15.75" customHeight="1">
      <c r="A1983" s="204" t="str">
        <f>IF(B1983&lt;&gt;"",IF(AND(B1983&gt;=_TM1,B1983&lt;=_TM2,OR(TH!L1983="1111",TH!M1983="1111")),TH!D1983,""),"")</f>
        <v/>
      </c>
      <c r="B1983" s="36">
        <f t="shared" si="476"/>
        <v>9</v>
      </c>
      <c r="C1983" s="191">
        <f t="shared" si="475"/>
        <v>41547</v>
      </c>
      <c r="D1983" s="37" t="s">
        <v>487</v>
      </c>
      <c r="E1983" s="773">
        <v>41547</v>
      </c>
      <c r="F1983" s="40" t="s">
        <v>938</v>
      </c>
      <c r="G1983" s="40" t="s">
        <v>939</v>
      </c>
      <c r="H1983" s="7" t="s">
        <v>1290</v>
      </c>
      <c r="I1983" s="256">
        <v>525</v>
      </c>
      <c r="J1983" s="256">
        <v>18595.396235579843</v>
      </c>
      <c r="K1983" s="602">
        <f t="shared" si="477"/>
        <v>9762583</v>
      </c>
      <c r="L1983" s="39" t="s">
        <v>173</v>
      </c>
      <c r="M1983" s="39" t="s">
        <v>167</v>
      </c>
      <c r="N1983" s="39" t="str">
        <f>IF(AND('331-CT'!$E$7=TH!H1983,OR(L1983="331",M1983="331")),"331",IF(AND(OR(L1983="131",M1983="131"),H1983='131-CT'!$E$7),"131",""))</f>
        <v/>
      </c>
      <c r="O1983" s="39" t="str">
        <f>IF(AND($B1983&gt;='111'!$N$11,$B1983&lt;='111'!$O$11,OR($L1983=$O$7,$M1983=$O$7)),"x","")</f>
        <v/>
      </c>
      <c r="P1983" s="39" t="str">
        <f>IF(AND($L1983=$O$7,$B1983&lt;'111'!$N$11),"x","")</f>
        <v/>
      </c>
      <c r="Q1983" s="39" t="str">
        <f>IF(AND($M1983=$O$7,$B1983&lt;'111'!$N$11),"x","")</f>
        <v/>
      </c>
      <c r="R1983" s="39" t="str">
        <f>IF(ISERROR(FIND('112'!$M$9,G1983,1)),"",IF((AND(FIND('112'!$M$9,G1983,1)&gt;=1,$B1983&gt;='112'!$N$8,$B1983&lt;='112'!$O$8,OR($L1983='112'!$I$6,$M1983='112'!$I$6))),"x",""))</f>
        <v/>
      </c>
      <c r="S1983" s="39" t="str">
        <f>IF(ISERROR(FIND('112'!$M$9,G1983,1)),"",IF((AND(LEFT(G1983,2)=LEFT('112'!$M$9,2),B1983&lt;'112'!$N$8,$L1983='112'!$I$6)),"x",""))</f>
        <v/>
      </c>
      <c r="T1983" s="39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39" t="str">
        <f>IF(OR(TH!L1983=TH!$V$7,M1983=TH!$V$7),"x","")</f>
        <v/>
      </c>
      <c r="W1983" s="39" t="str">
        <f>IF(AND(B1983&gt;='IN-NX'!$P$3,B1983&lt;='IN-NX'!$Q$3,'IN-NX'!$D$7=D1983,OR(LEFT(L1983,2)="15",AND(LEFT(M1983,2)&lt;&gt;"15",LEFT(M1983,2)&lt;&gt;"33"))),"x","")</f>
        <v/>
      </c>
      <c r="X1983" s="39" t="str">
        <f>IF(AND(OR(LEFT(TH!L1983,2)="15",LEFT(TH!M1983,2)="15"),'152-CT'!$J$8=TH!F1983),"x","")</f>
        <v/>
      </c>
      <c r="Y1983" s="39" t="str">
        <f>IF(AND(OR(LEFT(TH!L1983,2)="15",LEFT(TH!M1983,2)="15"),TK!$E$7=TH!F1983),"x","")</f>
        <v/>
      </c>
      <c r="Z1983" s="39" t="str">
        <f>IF(AND(B1983&lt;=NKC!$N$8,B1983&gt;=NKC!$M$8),"x","")</f>
        <v>x</v>
      </c>
      <c r="AA1983" s="883"/>
    </row>
    <row r="1984" spans="1:27" s="211" customFormat="1" ht="15.75" customHeight="1">
      <c r="A1984" s="204" t="str">
        <f>IF(B1984&lt;&gt;"",IF(AND(B1984&gt;=_TM1,B1984&lt;=_TM2,OR(TH!L1984="1111",TH!M1984="1111")),TH!D1984,""),"")</f>
        <v/>
      </c>
      <c r="B1984" s="36">
        <f t="shared" si="476"/>
        <v>9</v>
      </c>
      <c r="C1984" s="191">
        <f t="shared" si="475"/>
        <v>41547</v>
      </c>
      <c r="D1984" s="37" t="s">
        <v>487</v>
      </c>
      <c r="E1984" s="773">
        <v>41547</v>
      </c>
      <c r="F1984" s="189" t="s">
        <v>940</v>
      </c>
      <c r="G1984" s="40" t="s">
        <v>939</v>
      </c>
      <c r="H1984" s="7" t="s">
        <v>1290</v>
      </c>
      <c r="I1984" s="256">
        <v>344</v>
      </c>
      <c r="J1984" s="256">
        <v>15538.59623557984</v>
      </c>
      <c r="K1984" s="602">
        <f t="shared" si="477"/>
        <v>5345277</v>
      </c>
      <c r="L1984" s="39" t="s">
        <v>173</v>
      </c>
      <c r="M1984" s="39" t="s">
        <v>167</v>
      </c>
      <c r="N1984" s="39" t="str">
        <f>IF(AND('331-CT'!$E$7=TH!H1984,OR(L1984="331",M1984="331")),"331",IF(AND(OR(L1984="131",M1984="131"),H1984='131-CT'!$E$7),"131",""))</f>
        <v/>
      </c>
      <c r="O1984" s="39" t="str">
        <f>IF(AND($B1984&gt;='111'!$N$11,$B1984&lt;='111'!$O$11,OR($L1984=$O$7,$M1984=$O$7)),"x","")</f>
        <v/>
      </c>
      <c r="P1984" s="39" t="str">
        <f>IF(AND($L1984=$O$7,$B1984&lt;'111'!$N$11),"x","")</f>
        <v/>
      </c>
      <c r="Q1984" s="39" t="str">
        <f>IF(AND($M1984=$O$7,$B1984&lt;'111'!$N$11),"x","")</f>
        <v/>
      </c>
      <c r="R1984" s="39" t="str">
        <f>IF(ISERROR(FIND('112'!$M$9,G1984,1)),"",IF((AND(FIND('112'!$M$9,G1984,1)&gt;=1,$B1984&gt;='112'!$N$8,$B1984&lt;='112'!$O$8,OR($L1984='112'!$I$6,$M1984='112'!$I$6))),"x",""))</f>
        <v/>
      </c>
      <c r="S1984" s="39" t="str">
        <f>IF(ISERROR(FIND('112'!$M$9,G1984,1)),"",IF((AND(LEFT(G1984,2)=LEFT('112'!$M$9,2),B1984&lt;'112'!$N$8,$L1984='112'!$I$6)),"x",""))</f>
        <v/>
      </c>
      <c r="T1984" s="39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39" t="str">
        <f>IF(OR(TH!L1984=TH!$V$7,M1984=TH!$V$7),"x","")</f>
        <v/>
      </c>
      <c r="W1984" s="39" t="str">
        <f>IF(AND(B1984&gt;='IN-NX'!$P$3,B1984&lt;='IN-NX'!$Q$3,'IN-NX'!$D$7=D1984,OR(LEFT(L1984,2)="15",AND(LEFT(M1984,2)&lt;&gt;"15",LEFT(M1984,2)&lt;&gt;"33"))),"x","")</f>
        <v/>
      </c>
      <c r="X1984" s="39" t="str">
        <f>IF(AND(OR(LEFT(TH!L1984,2)="15",LEFT(TH!M1984,2)="15"),'152-CT'!$J$8=TH!F1984),"x","")</f>
        <v/>
      </c>
      <c r="Y1984" s="39" t="str">
        <f>IF(AND(OR(LEFT(TH!L1984,2)="15",LEFT(TH!M1984,2)="15"),TK!$E$7=TH!F1984),"x","")</f>
        <v/>
      </c>
      <c r="Z1984" s="39" t="str">
        <f>IF(AND(B1984&lt;=NKC!$N$8,B1984&gt;=NKC!$M$8),"x","")</f>
        <v>x</v>
      </c>
      <c r="AA1984" s="883"/>
    </row>
    <row r="1985" spans="1:27" s="211" customFormat="1" ht="15.75" customHeight="1">
      <c r="A1985" s="204" t="str">
        <f>IF(B1985&lt;&gt;"",IF(AND(B1985&gt;=_TM1,B1985&lt;=_TM2,OR(TH!L1985="1111",TH!M1985="1111")),TH!D1985,""),"")</f>
        <v/>
      </c>
      <c r="B1985" s="36">
        <f t="shared" si="476"/>
        <v>9</v>
      </c>
      <c r="C1985" s="191">
        <f t="shared" si="475"/>
        <v>41547</v>
      </c>
      <c r="D1985" s="37" t="s">
        <v>487</v>
      </c>
      <c r="E1985" s="773">
        <v>41547</v>
      </c>
      <c r="F1985" s="40" t="s">
        <v>941</v>
      </c>
      <c r="G1985" s="40" t="s">
        <v>942</v>
      </c>
      <c r="H1985" s="7" t="s">
        <v>1290</v>
      </c>
      <c r="I1985" s="256">
        <v>499</v>
      </c>
      <c r="J1985" s="256">
        <v>8532.4238908904645</v>
      </c>
      <c r="K1985" s="602">
        <f t="shared" si="477"/>
        <v>4257680</v>
      </c>
      <c r="L1985" s="39" t="s">
        <v>173</v>
      </c>
      <c r="M1985" s="39" t="s">
        <v>167</v>
      </c>
      <c r="N1985" s="39" t="str">
        <f>IF(AND('331-CT'!$E$7=TH!H1985,OR(L1985="331",M1985="331")),"331",IF(AND(OR(L1985="131",M1985="131"),H1985='131-CT'!$E$7),"131",""))</f>
        <v/>
      </c>
      <c r="O1985" s="39" t="str">
        <f>IF(AND($B1985&gt;='111'!$N$11,$B1985&lt;='111'!$O$11,OR($L1985=$O$7,$M1985=$O$7)),"x","")</f>
        <v/>
      </c>
      <c r="P1985" s="39" t="str">
        <f>IF(AND($L1985=$O$7,$B1985&lt;'111'!$N$11),"x","")</f>
        <v/>
      </c>
      <c r="Q1985" s="39" t="str">
        <f>IF(AND($M1985=$O$7,$B1985&lt;'111'!$N$11),"x","")</f>
        <v/>
      </c>
      <c r="R1985" s="39" t="str">
        <f>IF(ISERROR(FIND('112'!$M$9,G1985,1)),"",IF((AND(FIND('112'!$M$9,G1985,1)&gt;=1,$B1985&gt;='112'!$N$8,$B1985&lt;='112'!$O$8,OR($L1985='112'!$I$6,$M1985='112'!$I$6))),"x",""))</f>
        <v/>
      </c>
      <c r="S1985" s="39" t="str">
        <f>IF(ISERROR(FIND('112'!$M$9,G1985,1)),"",IF((AND(LEFT(G1985,2)=LEFT('112'!$M$9,2),B1985&lt;'112'!$N$8,$L1985='112'!$I$6)),"x",""))</f>
        <v/>
      </c>
      <c r="T1985" s="39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39" t="str">
        <f>IF(OR(TH!L1985=TH!$V$7,M1985=TH!$V$7),"x","")</f>
        <v/>
      </c>
      <c r="W1985" s="39" t="str">
        <f>IF(AND(B1985&gt;='IN-NX'!$P$3,B1985&lt;='IN-NX'!$Q$3,'IN-NX'!$D$7=D1985,OR(LEFT(L1985,2)="15",AND(LEFT(M1985,2)&lt;&gt;"15",LEFT(M1985,2)&lt;&gt;"33"))),"x","")</f>
        <v/>
      </c>
      <c r="X1985" s="39" t="str">
        <f>IF(AND(OR(LEFT(TH!L1985,2)="15",LEFT(TH!M1985,2)="15"),'152-CT'!$J$8=TH!F1985),"x","")</f>
        <v/>
      </c>
      <c r="Y1985" s="39" t="str">
        <f>IF(AND(OR(LEFT(TH!L1985,2)="15",LEFT(TH!M1985,2)="15"),TK!$E$7=TH!F1985),"x","")</f>
        <v/>
      </c>
      <c r="Z1985" s="39" t="str">
        <f>IF(AND(B1985&lt;=NKC!$N$8,B1985&gt;=NKC!$M$8),"x","")</f>
        <v>x</v>
      </c>
      <c r="AA1985" s="883"/>
    </row>
    <row r="1986" spans="1:27" s="211" customFormat="1" ht="15.75" customHeight="1">
      <c r="A1986" s="204" t="str">
        <f>IF(B1986&lt;&gt;"",IF(AND(B1986&gt;=_TM1,B1986&lt;=_TM2,OR(TH!L1986="1111",TH!M1986="1111")),TH!D1986,""),"")</f>
        <v/>
      </c>
      <c r="B1986" s="36">
        <f t="shared" si="476"/>
        <v>9</v>
      </c>
      <c r="C1986" s="191">
        <f t="shared" si="475"/>
        <v>41547</v>
      </c>
      <c r="D1986" s="37" t="s">
        <v>487</v>
      </c>
      <c r="E1986" s="773">
        <v>41547</v>
      </c>
      <c r="F1986" s="189" t="s">
        <v>943</v>
      </c>
      <c r="G1986" s="40" t="s">
        <v>942</v>
      </c>
      <c r="H1986" s="7" t="s">
        <v>1290</v>
      </c>
      <c r="I1986" s="256">
        <v>503</v>
      </c>
      <c r="J1986" s="256">
        <v>4261.5544860768605</v>
      </c>
      <c r="K1986" s="602">
        <f t="shared" si="477"/>
        <v>2143562</v>
      </c>
      <c r="L1986" s="39" t="s">
        <v>173</v>
      </c>
      <c r="M1986" s="39" t="s">
        <v>167</v>
      </c>
      <c r="N1986" s="39" t="str">
        <f>IF(AND('331-CT'!$E$7=TH!H1986,OR(L1986="331",M1986="331")),"331",IF(AND(OR(L1986="131",M1986="131"),H1986='131-CT'!$E$7),"131",""))</f>
        <v/>
      </c>
      <c r="O1986" s="39" t="str">
        <f>IF(AND($B1986&gt;='111'!$N$11,$B1986&lt;='111'!$O$11,OR($L1986=$O$7,$M1986=$O$7)),"x","")</f>
        <v/>
      </c>
      <c r="P1986" s="39" t="str">
        <f>IF(AND($L1986=$O$7,$B1986&lt;'111'!$N$11),"x","")</f>
        <v/>
      </c>
      <c r="Q1986" s="39" t="str">
        <f>IF(AND($M1986=$O$7,$B1986&lt;'111'!$N$11),"x","")</f>
        <v/>
      </c>
      <c r="R1986" s="39" t="str">
        <f>IF(ISERROR(FIND('112'!$M$9,G1986,1)),"",IF((AND(FIND('112'!$M$9,G1986,1)&gt;=1,$B1986&gt;='112'!$N$8,$B1986&lt;='112'!$O$8,OR($L1986='112'!$I$6,$M1986='112'!$I$6))),"x",""))</f>
        <v/>
      </c>
      <c r="S1986" s="39" t="str">
        <f>IF(ISERROR(FIND('112'!$M$9,G1986,1)),"",IF((AND(LEFT(G1986,2)=LEFT('112'!$M$9,2),B1986&lt;'112'!$N$8,$L1986='112'!$I$6)),"x",""))</f>
        <v/>
      </c>
      <c r="T1986" s="39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39" t="str">
        <f>IF(OR(TH!L1986=TH!$V$7,M1986=TH!$V$7),"x","")</f>
        <v/>
      </c>
      <c r="W1986" s="39" t="str">
        <f>IF(AND(B1986&gt;='IN-NX'!$P$3,B1986&lt;='IN-NX'!$Q$3,'IN-NX'!$D$7=D1986,OR(LEFT(L1986,2)="15",AND(LEFT(M1986,2)&lt;&gt;"15",LEFT(M1986,2)&lt;&gt;"33"))),"x","")</f>
        <v/>
      </c>
      <c r="X1986" s="39" t="str">
        <f>IF(AND(OR(LEFT(TH!L1986,2)="15",LEFT(TH!M1986,2)="15"),'152-CT'!$J$8=TH!F1986),"x","")</f>
        <v/>
      </c>
      <c r="Y1986" s="39" t="str">
        <f>IF(AND(OR(LEFT(TH!L1986,2)="15",LEFT(TH!M1986,2)="15"),TK!$E$7=TH!F1986),"x","")</f>
        <v/>
      </c>
      <c r="Z1986" s="39" t="str">
        <f>IF(AND(B1986&lt;=NKC!$N$8,B1986&gt;=NKC!$M$8),"x","")</f>
        <v>x</v>
      </c>
      <c r="AA1986" s="883"/>
    </row>
    <row r="1987" spans="1:27" s="211" customFormat="1" ht="15.75" customHeight="1">
      <c r="A1987" s="204" t="str">
        <f>IF(B1987&lt;&gt;"",IF(AND(B1987&gt;=_TM1,B1987&lt;=_TM2,OR(TH!L1987="1111",TH!M1987="1111")),TH!D1987,""),"")</f>
        <v/>
      </c>
      <c r="B1987" s="36">
        <f t="shared" si="476"/>
        <v>9</v>
      </c>
      <c r="C1987" s="191">
        <f t="shared" si="475"/>
        <v>41547</v>
      </c>
      <c r="D1987" s="37" t="s">
        <v>487</v>
      </c>
      <c r="E1987" s="773">
        <v>41547</v>
      </c>
      <c r="F1987" s="189" t="s">
        <v>943</v>
      </c>
      <c r="G1987" s="40" t="s">
        <v>942</v>
      </c>
      <c r="H1987" s="7" t="s">
        <v>1290</v>
      </c>
      <c r="I1987" s="256">
        <v>503</v>
      </c>
      <c r="J1987" s="256">
        <v>4261.5544860768605</v>
      </c>
      <c r="K1987" s="602">
        <f t="shared" si="477"/>
        <v>2143562</v>
      </c>
      <c r="L1987" s="39" t="s">
        <v>173</v>
      </c>
      <c r="M1987" s="39" t="s">
        <v>167</v>
      </c>
      <c r="N1987" s="39" t="str">
        <f>IF(AND('331-CT'!$E$7=TH!H1987,OR(L1987="331",M1987="331")),"331",IF(AND(OR(L1987="131",M1987="131"),H1987='131-CT'!$E$7),"131",""))</f>
        <v/>
      </c>
      <c r="O1987" s="39" t="str">
        <f>IF(AND($B1987&gt;='111'!$N$11,$B1987&lt;='111'!$O$11,OR($L1987=$O$7,$M1987=$O$7)),"x","")</f>
        <v/>
      </c>
      <c r="P1987" s="39" t="str">
        <f>IF(AND($L1987=$O$7,$B1987&lt;'111'!$N$11),"x","")</f>
        <v/>
      </c>
      <c r="Q1987" s="39" t="str">
        <f>IF(AND($M1987=$O$7,$B1987&lt;'111'!$N$11),"x","")</f>
        <v/>
      </c>
      <c r="R1987" s="39" t="str">
        <f>IF(ISERROR(FIND('112'!$M$9,G1987,1)),"",IF((AND(FIND('112'!$M$9,G1987,1)&gt;=1,$B1987&gt;='112'!$N$8,$B1987&lt;='112'!$O$8,OR($L1987='112'!$I$6,$M1987='112'!$I$6))),"x",""))</f>
        <v/>
      </c>
      <c r="S1987" s="39" t="str">
        <f>IF(ISERROR(FIND('112'!$M$9,G1987,1)),"",IF((AND(LEFT(G1987,2)=LEFT('112'!$M$9,2),B1987&lt;'112'!$N$8,$L1987='112'!$I$6)),"x",""))</f>
        <v/>
      </c>
      <c r="T1987" s="39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39" t="str">
        <f>IF(OR(TH!L1987=TH!$V$7,M1987=TH!$V$7),"x","")</f>
        <v/>
      </c>
      <c r="W1987" s="39" t="str">
        <f>IF(AND(B1987&gt;='IN-NX'!$P$3,B1987&lt;='IN-NX'!$Q$3,'IN-NX'!$D$7=D1987,OR(LEFT(L1987,2)="15",AND(LEFT(M1987,2)&lt;&gt;"15",LEFT(M1987,2)&lt;&gt;"33"))),"x","")</f>
        <v/>
      </c>
      <c r="X1987" s="39" t="str">
        <f>IF(AND(OR(LEFT(TH!L1987,2)="15",LEFT(TH!M1987,2)="15"),'152-CT'!$J$8=TH!F1987),"x","")</f>
        <v/>
      </c>
      <c r="Y1987" s="39" t="str">
        <f>IF(AND(OR(LEFT(TH!L1987,2)="15",LEFT(TH!M1987,2)="15"),TK!$E$7=TH!F1987),"x","")</f>
        <v/>
      </c>
      <c r="Z1987" s="39" t="str">
        <f>IF(AND(B1987&lt;=NKC!$N$8,B1987&gt;=NKC!$M$8),"x","")</f>
        <v>x</v>
      </c>
      <c r="AA1987" s="883"/>
    </row>
    <row r="1988" spans="1:27" s="211" customFormat="1" ht="15.75" customHeight="1">
      <c r="A1988" s="204" t="str">
        <f>IF(B1988&lt;&gt;"",IF(AND(B1988&gt;=_TM1,B1988&lt;=_TM2,OR(TH!L1988="1111",TH!M1988="1111")),TH!D1988,""),"")</f>
        <v/>
      </c>
      <c r="B1988" s="36">
        <f t="shared" si="476"/>
        <v>9</v>
      </c>
      <c r="C1988" s="191">
        <f t="shared" si="475"/>
        <v>41547</v>
      </c>
      <c r="D1988" s="37" t="s">
        <v>487</v>
      </c>
      <c r="E1988" s="184">
        <v>41547</v>
      </c>
      <c r="F1988" s="189" t="s">
        <v>944</v>
      </c>
      <c r="G1988" s="604" t="s">
        <v>942</v>
      </c>
      <c r="H1988" s="7" t="s">
        <v>1290</v>
      </c>
      <c r="I1988" s="256">
        <v>510</v>
      </c>
      <c r="J1988" s="256">
        <v>4307.9197649916068</v>
      </c>
      <c r="K1988" s="602">
        <f t="shared" si="477"/>
        <v>2197039</v>
      </c>
      <c r="L1988" s="39" t="s">
        <v>173</v>
      </c>
      <c r="M1988" s="39" t="s">
        <v>167</v>
      </c>
      <c r="N1988" s="39" t="str">
        <f>IF(AND('331-CT'!$E$7=TH!H1988,OR(L1988="331",M1988="331")),"331",IF(AND(OR(L1988="131",M1988="131"),H1988='131-CT'!$E$7),"131",""))</f>
        <v/>
      </c>
      <c r="O1988" s="39" t="str">
        <f>IF(AND($B1988&gt;='111'!$N$11,$B1988&lt;='111'!$O$11,OR($L1988=$O$7,$M1988=$O$7)),"x","")</f>
        <v/>
      </c>
      <c r="P1988" s="39" t="str">
        <f>IF(AND($L1988=$O$7,$B1988&lt;'111'!$N$11),"x","")</f>
        <v/>
      </c>
      <c r="Q1988" s="39" t="str">
        <f>IF(AND($M1988=$O$7,$B1988&lt;'111'!$N$11),"x","")</f>
        <v/>
      </c>
      <c r="R1988" s="39" t="str">
        <f>IF(ISERROR(FIND('112'!$M$9,G1988,1)),"",IF((AND(FIND('112'!$M$9,G1988,1)&gt;=1,$B1988&gt;='112'!$N$8,$B1988&lt;='112'!$O$8,OR($L1988='112'!$I$6,$M1988='112'!$I$6))),"x",""))</f>
        <v/>
      </c>
      <c r="S1988" s="39" t="str">
        <f>IF(ISERROR(FIND('112'!$M$9,G1988,1)),"",IF((AND(LEFT(G1988,2)=LEFT('112'!$M$9,2),B1988&lt;'112'!$N$8,$L1988='112'!$I$6)),"x",""))</f>
        <v/>
      </c>
      <c r="T1988" s="39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39" t="str">
        <f>IF(OR(TH!L1988=TH!$V$7,M1988=TH!$V$7),"x","")</f>
        <v/>
      </c>
      <c r="W1988" s="39" t="str">
        <f>IF(AND(B1988&gt;='IN-NX'!$P$3,B1988&lt;='IN-NX'!$Q$3,'IN-NX'!$D$7=D1988,OR(LEFT(L1988,2)="15",AND(LEFT(M1988,2)&lt;&gt;"15",LEFT(M1988,2)&lt;&gt;"33"))),"x","")</f>
        <v/>
      </c>
      <c r="X1988" s="39" t="str">
        <f>IF(AND(OR(LEFT(TH!L1988,2)="15",LEFT(TH!M1988,2)="15"),'152-CT'!$J$8=TH!F1988),"x","")</f>
        <v/>
      </c>
      <c r="Y1988" s="39" t="str">
        <f>IF(AND(OR(LEFT(TH!L1988,2)="15",LEFT(TH!M1988,2)="15"),TK!$E$7=TH!F1988),"x","")</f>
        <v/>
      </c>
      <c r="Z1988" s="39" t="str">
        <f>IF(AND(B1988&lt;=NKC!$N$8,B1988&gt;=NKC!$M$8),"x","")</f>
        <v>x</v>
      </c>
      <c r="AA1988" s="883"/>
    </row>
    <row r="1989" spans="1:27" s="211" customFormat="1" ht="15.75" customHeight="1">
      <c r="A1989" s="204" t="str">
        <f>IF(B1989&lt;&gt;"",IF(AND(B1989&gt;=_TM1,B1989&lt;=_TM2,OR(TH!L1989="1111",TH!M1989="1111")),TH!D1989,""),"")</f>
        <v/>
      </c>
      <c r="B1989" s="36">
        <f t="shared" si="476"/>
        <v>9</v>
      </c>
      <c r="C1989" s="191">
        <f t="shared" si="475"/>
        <v>41547</v>
      </c>
      <c r="D1989" s="37" t="s">
        <v>487</v>
      </c>
      <c r="E1989" s="773">
        <v>41547</v>
      </c>
      <c r="F1989" s="40" t="s">
        <v>1135</v>
      </c>
      <c r="G1989" s="40" t="s">
        <v>945</v>
      </c>
      <c r="H1989" s="7" t="s">
        <v>1290</v>
      </c>
      <c r="I1989" s="256">
        <v>2700</v>
      </c>
      <c r="J1989" s="256">
        <v>6142.688828172435</v>
      </c>
      <c r="K1989" s="602">
        <f t="shared" si="477"/>
        <v>16585260</v>
      </c>
      <c r="L1989" s="39" t="s">
        <v>173</v>
      </c>
      <c r="M1989" s="39" t="s">
        <v>167</v>
      </c>
      <c r="N1989" s="39" t="str">
        <f>IF(AND('331-CT'!$E$7=TH!H1989,OR(L1989="331",M1989="331")),"331",IF(AND(OR(L1989="131",M1989="131"),H1989='131-CT'!$E$7),"131",""))</f>
        <v/>
      </c>
      <c r="O1989" s="39" t="str">
        <f>IF(AND($B1989&gt;='111'!$N$11,$B1989&lt;='111'!$O$11,OR($L1989=$O$7,$M1989=$O$7)),"x","")</f>
        <v/>
      </c>
      <c r="P1989" s="39" t="str">
        <f>IF(AND($L1989=$O$7,$B1989&lt;'111'!$N$11),"x","")</f>
        <v/>
      </c>
      <c r="Q1989" s="39" t="str">
        <f>IF(AND($M1989=$O$7,$B1989&lt;'111'!$N$11),"x","")</f>
        <v/>
      </c>
      <c r="R1989" s="39" t="str">
        <f>IF(ISERROR(FIND('112'!$M$9,G1989,1)),"",IF((AND(FIND('112'!$M$9,G1989,1)&gt;=1,$B1989&gt;='112'!$N$8,$B1989&lt;='112'!$O$8,OR($L1989='112'!$I$6,$M1989='112'!$I$6))),"x",""))</f>
        <v/>
      </c>
      <c r="S1989" s="39" t="str">
        <f>IF(ISERROR(FIND('112'!$M$9,G1989,1)),"",IF((AND(LEFT(G1989,2)=LEFT('112'!$M$9,2),B1989&lt;'112'!$N$8,$L1989='112'!$I$6)),"x",""))</f>
        <v/>
      </c>
      <c r="T1989" s="39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39" t="str">
        <f>IF(OR(TH!L1989=TH!$V$7,M1989=TH!$V$7),"x","")</f>
        <v/>
      </c>
      <c r="W1989" s="39" t="str">
        <f>IF(AND(B1989&gt;='IN-NX'!$P$3,B1989&lt;='IN-NX'!$Q$3,'IN-NX'!$D$7=D1989,OR(LEFT(L1989,2)="15",AND(LEFT(M1989,2)&lt;&gt;"15",LEFT(M1989,2)&lt;&gt;"33"))),"x","")</f>
        <v/>
      </c>
      <c r="X1989" s="39" t="str">
        <f>IF(AND(OR(LEFT(TH!L1989,2)="15",LEFT(TH!M1989,2)="15"),'152-CT'!$J$8=TH!F1989),"x","")</f>
        <v/>
      </c>
      <c r="Y1989" s="39" t="str">
        <f>IF(AND(OR(LEFT(TH!L1989,2)="15",LEFT(TH!M1989,2)="15"),TK!$E$7=TH!F1989),"x","")</f>
        <v/>
      </c>
      <c r="Z1989" s="39" t="str">
        <f>IF(AND(B1989&lt;=NKC!$N$8,B1989&gt;=NKC!$M$8),"x","")</f>
        <v>x</v>
      </c>
      <c r="AA1989" s="883"/>
    </row>
    <row r="1990" spans="1:27" s="840" customFormat="1" ht="15.75" customHeight="1">
      <c r="A1990" s="902" t="str">
        <f>IF(B1990&lt;&gt;"",IF(AND(B1990&gt;=_TM1,B1990&lt;=_TM2,OR(TH!L1990="1111",TH!M1990="1111")),TH!D1990,""),"")</f>
        <v/>
      </c>
      <c r="B1990" s="838">
        <f t="shared" si="476"/>
        <v>10</v>
      </c>
      <c r="C1990" s="903">
        <f t="shared" si="475"/>
        <v>41548</v>
      </c>
      <c r="D1990" s="37" t="s">
        <v>487</v>
      </c>
      <c r="E1990" s="923">
        <v>41548</v>
      </c>
      <c r="F1990" s="915" t="s">
        <v>938</v>
      </c>
      <c r="G1990" s="905" t="s">
        <v>946</v>
      </c>
      <c r="H1990" s="906" t="s">
        <v>1290</v>
      </c>
      <c r="I1990" s="914">
        <v>60</v>
      </c>
      <c r="J1990" s="914">
        <v>18010.140192092691</v>
      </c>
      <c r="K1990" s="835">
        <f t="shared" si="477"/>
        <v>1080608</v>
      </c>
      <c r="L1990" s="828" t="s">
        <v>173</v>
      </c>
      <c r="M1990" s="828" t="s">
        <v>167</v>
      </c>
      <c r="N1990" s="828" t="str">
        <f>IF(AND('331-CT'!$E$7=TH!H1990,OR(L1990="331",M1990="331")),"331",IF(AND(OR(L1990="131",M1990="131"),H1990='131-CT'!$E$7),"131",""))</f>
        <v/>
      </c>
      <c r="O1990" s="828" t="str">
        <f>IF(AND($B1990&gt;='111'!$N$11,$B1990&lt;='111'!$O$11,OR($L1990=$O$7,$M1990=$O$7)),"x","")</f>
        <v/>
      </c>
      <c r="P1990" s="828" t="str">
        <f>IF(AND($L1990=$O$7,$B1990&lt;'111'!$N$11),"x","")</f>
        <v/>
      </c>
      <c r="Q1990" s="828" t="str">
        <f>IF(AND($M1990=$O$7,$B1990&lt;'111'!$N$11),"x","")</f>
        <v/>
      </c>
      <c r="R1990" s="828" t="str">
        <f>IF(ISERROR(FIND('112'!$M$9,G1990,1)),"",IF((AND(FIND('112'!$M$9,G1990,1)&gt;=1,$B1990&gt;='112'!$N$8,$B1990&lt;='112'!$O$8,OR($L1990='112'!$I$6,$M1990='112'!$I$6))),"x",""))</f>
        <v/>
      </c>
      <c r="S1990" s="828" t="str">
        <f>IF(ISERROR(FIND('112'!$M$9,G1990,1)),"",IF((AND(LEFT(G1990,2)=LEFT('112'!$M$9,2),B1990&lt;'112'!$N$8,$L1990='112'!$I$6)),"x",""))</f>
        <v/>
      </c>
      <c r="T1990" s="828" t="str">
        <f>IF(ISERROR(FIND('112'!$M$9,G1990,1)),"",IF((AND(RIGHT(G1990,2)=RIGHT('112'!$M$9,2),B1990&lt;'112'!$N$8,$M1990='112'!$I$6)),"x",""))</f>
        <v/>
      </c>
      <c r="U1990" s="828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828" t="str">
        <f>IF(OR(TH!L1990=TH!$V$7,M1990=TH!$V$7),"x","")</f>
        <v/>
      </c>
      <c r="W1990" s="828" t="str">
        <f>IF(AND(B1990&gt;='IN-NX'!$P$3,B1990&lt;='IN-NX'!$Q$3,'IN-NX'!$D$7=D1990,OR(LEFT(L1990,2)="15",AND(LEFT(M1990,2)&lt;&gt;"15",LEFT(M1990,2)&lt;&gt;"33"))),"x","")</f>
        <v/>
      </c>
      <c r="X1990" s="828" t="str">
        <f>IF(AND(OR(LEFT(TH!L1990,2)="15",LEFT(TH!M1990,2)="15"),'152-CT'!$J$8=TH!F1990),"x","")</f>
        <v/>
      </c>
      <c r="Y1990" s="828" t="str">
        <f>IF(AND(OR(LEFT(TH!L1990,2)="15",LEFT(TH!M1990,2)="15"),TK!$E$7=TH!F1990),"x","")</f>
        <v/>
      </c>
      <c r="Z1990" s="828" t="str">
        <f>IF(AND(B1990&lt;=NKC!$N$8,B1990&gt;=NKC!$M$8),"x","")</f>
        <v/>
      </c>
      <c r="AA1990" s="910"/>
    </row>
    <row r="1991" spans="1:27" s="211" customFormat="1" ht="15.75" customHeight="1">
      <c r="A1991" s="204" t="str">
        <f>IF(B1991&lt;&gt;"",IF(AND(B1991&gt;=_TM1,B1991&lt;=_TM2,OR(TH!L1991="1111",TH!M1991="1111")),TH!D1991,""),"")</f>
        <v/>
      </c>
      <c r="B1991" s="36">
        <f t="shared" si="476"/>
        <v>10</v>
      </c>
      <c r="C1991" s="191">
        <f t="shared" si="475"/>
        <v>41548</v>
      </c>
      <c r="D1991" s="37" t="s">
        <v>487</v>
      </c>
      <c r="E1991" s="773">
        <v>41548</v>
      </c>
      <c r="F1991" s="189" t="s">
        <v>940</v>
      </c>
      <c r="G1991" s="40" t="s">
        <v>946</v>
      </c>
      <c r="H1991" s="7" t="s">
        <v>1290</v>
      </c>
      <c r="I1991" s="256">
        <v>98</v>
      </c>
      <c r="J1991" s="256">
        <v>15727.479988011059</v>
      </c>
      <c r="K1991" s="602">
        <f t="shared" si="477"/>
        <v>1541293</v>
      </c>
      <c r="L1991" s="39" t="s">
        <v>173</v>
      </c>
      <c r="M1991" s="39" t="s">
        <v>167</v>
      </c>
      <c r="N1991" s="39" t="str">
        <f>IF(AND('331-CT'!$E$7=TH!H1991,OR(L1991="331",M1991="331")),"331",IF(AND(OR(L1991="131",M1991="131"),H1991='131-CT'!$E$7),"131",""))</f>
        <v/>
      </c>
      <c r="O1991" s="39" t="str">
        <f>IF(AND($B1991&gt;='111'!$N$11,$B1991&lt;='111'!$O$11,OR($L1991=$O$7,$M1991=$O$7)),"x","")</f>
        <v/>
      </c>
      <c r="P1991" s="39" t="str">
        <f>IF(AND($L1991=$O$7,$B1991&lt;'111'!$N$11),"x","")</f>
        <v/>
      </c>
      <c r="Q1991" s="39" t="str">
        <f>IF(AND($M1991=$O$7,$B1991&lt;'111'!$N$11),"x","")</f>
        <v/>
      </c>
      <c r="R1991" s="39" t="str">
        <f>IF(ISERROR(FIND('112'!$M$9,G1991,1)),"",IF((AND(FIND('112'!$M$9,G1991,1)&gt;=1,$B1991&gt;='112'!$N$8,$B1991&lt;='112'!$O$8,OR($L1991='112'!$I$6,$M1991='112'!$I$6))),"x",""))</f>
        <v/>
      </c>
      <c r="S1991" s="39" t="str">
        <f>IF(ISERROR(FIND('112'!$M$9,G1991,1)),"",IF((AND(LEFT(G1991,2)=LEFT('112'!$M$9,2),B1991&lt;'112'!$N$8,$L1991='112'!$I$6)),"x",""))</f>
        <v/>
      </c>
      <c r="T1991" s="39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39" t="str">
        <f>IF(OR(TH!L1991=TH!$V$7,M1991=TH!$V$7),"x","")</f>
        <v/>
      </c>
      <c r="W1991" s="39" t="str">
        <f>IF(AND(B1991&gt;='IN-NX'!$P$3,B1991&lt;='IN-NX'!$Q$3,'IN-NX'!$D$7=D1991,OR(LEFT(L1991,2)="15",AND(LEFT(M1991,2)&lt;&gt;"15",LEFT(M1991,2)&lt;&gt;"33"))),"x","")</f>
        <v/>
      </c>
      <c r="X1991" s="39" t="str">
        <f>IF(AND(OR(LEFT(TH!L1991,2)="15",LEFT(TH!M1991,2)="15"),'152-CT'!$J$8=TH!F1991),"x","")</f>
        <v/>
      </c>
      <c r="Y1991" s="39" t="str">
        <f>IF(AND(OR(LEFT(TH!L1991,2)="15",LEFT(TH!M1991,2)="15"),TK!$E$7=TH!F1991),"x","")</f>
        <v/>
      </c>
      <c r="Z1991" s="39" t="str">
        <f>IF(AND(B1991&lt;=NKC!$N$8,B1991&gt;=NKC!$M$8),"x","")</f>
        <v/>
      </c>
      <c r="AA1991" s="883"/>
    </row>
    <row r="1992" spans="1:27" s="211" customFormat="1" ht="15.75" customHeight="1">
      <c r="A1992" s="204" t="str">
        <f>IF(B1992&lt;&gt;"",IF(AND(B1992&gt;=_TM1,B1992&lt;=_TM2,OR(TH!L1992="1111",TH!M1992="1111")),TH!D1992,""),"")</f>
        <v/>
      </c>
      <c r="B1992" s="36">
        <f t="shared" si="476"/>
        <v>10</v>
      </c>
      <c r="C1992" s="191">
        <f t="shared" si="475"/>
        <v>41548</v>
      </c>
      <c r="D1992" s="37" t="s">
        <v>487</v>
      </c>
      <c r="E1992" s="773">
        <v>41548</v>
      </c>
      <c r="F1992" s="189" t="s">
        <v>1154</v>
      </c>
      <c r="G1992" s="40" t="s">
        <v>947</v>
      </c>
      <c r="H1992" s="7" t="s">
        <v>1290</v>
      </c>
      <c r="I1992" s="256">
        <v>1554</v>
      </c>
      <c r="J1992" s="256">
        <v>4656.7469488494489</v>
      </c>
      <c r="K1992" s="602">
        <f t="shared" si="477"/>
        <v>7236585</v>
      </c>
      <c r="L1992" s="39" t="s">
        <v>173</v>
      </c>
      <c r="M1992" s="39" t="s">
        <v>167</v>
      </c>
      <c r="N1992" s="39" t="str">
        <f>IF(AND('331-CT'!$E$7=TH!H1992,OR(L1992="331",M1992="331")),"331",IF(AND(OR(L1992="131",M1992="131"),H1992='131-CT'!$E$7),"131",""))</f>
        <v/>
      </c>
      <c r="O1992" s="39" t="str">
        <f>IF(AND($B1992&gt;='111'!$N$11,$B1992&lt;='111'!$O$11,OR($L1992=$O$7,$M1992=$O$7)),"x","")</f>
        <v/>
      </c>
      <c r="P1992" s="39" t="str">
        <f>IF(AND($L1992=$O$7,$B1992&lt;'111'!$N$11),"x","")</f>
        <v/>
      </c>
      <c r="Q1992" s="39" t="str">
        <f>IF(AND($M1992=$O$7,$B1992&lt;'111'!$N$11),"x","")</f>
        <v/>
      </c>
      <c r="R1992" s="39" t="str">
        <f>IF(ISERROR(FIND('112'!$M$9,G1992,1)),"",IF((AND(FIND('112'!$M$9,G1992,1)&gt;=1,$B1992&gt;='112'!$N$8,$B1992&lt;='112'!$O$8,OR($L1992='112'!$I$6,$M1992='112'!$I$6))),"x",""))</f>
        <v/>
      </c>
      <c r="S1992" s="39" t="str">
        <f>IF(ISERROR(FIND('112'!$M$9,G1992,1)),"",IF((AND(LEFT(G1992,2)=LEFT('112'!$M$9,2),B1992&lt;'112'!$N$8,$L1992='112'!$I$6)),"x",""))</f>
        <v/>
      </c>
      <c r="T1992" s="39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39" t="str">
        <f>IF(OR(TH!L1992=TH!$V$7,M1992=TH!$V$7),"x","")</f>
        <v/>
      </c>
      <c r="W1992" s="39" t="str">
        <f>IF(AND(B1992&gt;='IN-NX'!$P$3,B1992&lt;='IN-NX'!$Q$3,'IN-NX'!$D$7=D1992,OR(LEFT(L1992,2)="15",AND(LEFT(M1992,2)&lt;&gt;"15",LEFT(M1992,2)&lt;&gt;"33"))),"x","")</f>
        <v/>
      </c>
      <c r="X1992" s="39" t="str">
        <f>IF(AND(OR(LEFT(TH!L1992,2)="15",LEFT(TH!M1992,2)="15"),'152-CT'!$J$8=TH!F1992),"x","")</f>
        <v/>
      </c>
      <c r="Y1992" s="39" t="str">
        <f>IF(AND(OR(LEFT(TH!L1992,2)="15",LEFT(TH!M1992,2)="15"),TK!$E$7=TH!F1992),"x","")</f>
        <v/>
      </c>
      <c r="Z1992" s="39" t="str">
        <f>IF(AND(B1992&lt;=NKC!$N$8,B1992&gt;=NKC!$M$8),"x","")</f>
        <v/>
      </c>
      <c r="AA1992" s="883"/>
    </row>
    <row r="1993" spans="1:27" s="211" customFormat="1" ht="15.75" customHeight="1">
      <c r="A1993" s="204" t="str">
        <f>IF(B1993&lt;&gt;"",IF(AND(B1993&gt;=_TM1,B1993&lt;=_TM2,OR(TH!L1993="1111",TH!M1993="1111")),TH!D1993,""),"")</f>
        <v/>
      </c>
      <c r="B1993" s="36">
        <f t="shared" si="476"/>
        <v>10</v>
      </c>
      <c r="C1993" s="191">
        <f t="shared" si="475"/>
        <v>41548</v>
      </c>
      <c r="D1993" s="37" t="s">
        <v>487</v>
      </c>
      <c r="E1993" s="773">
        <v>41548</v>
      </c>
      <c r="F1993" s="189" t="s">
        <v>874</v>
      </c>
      <c r="G1993" s="40" t="s">
        <v>947</v>
      </c>
      <c r="H1993" s="7" t="s">
        <v>1290</v>
      </c>
      <c r="I1993" s="256">
        <v>525</v>
      </c>
      <c r="J1993" s="256">
        <v>11432.585430187928</v>
      </c>
      <c r="K1993" s="602">
        <f t="shared" si="477"/>
        <v>6002107</v>
      </c>
      <c r="L1993" s="39" t="s">
        <v>173</v>
      </c>
      <c r="M1993" s="39" t="s">
        <v>167</v>
      </c>
      <c r="N1993" s="39" t="str">
        <f>IF(AND('331-CT'!$E$7=TH!H1993,OR(L1993="331",M1993="331")),"331",IF(AND(OR(L1993="131",M1993="131"),H1993='131-CT'!$E$7),"131",""))</f>
        <v/>
      </c>
      <c r="O1993" s="39" t="str">
        <f>IF(AND($B1993&gt;='111'!$N$11,$B1993&lt;='111'!$O$11,OR($L1993=$O$7,$M1993=$O$7)),"x","")</f>
        <v/>
      </c>
      <c r="P1993" s="39" t="str">
        <f>IF(AND($L1993=$O$7,$B1993&lt;'111'!$N$11),"x","")</f>
        <v/>
      </c>
      <c r="Q1993" s="39" t="str">
        <f>IF(AND($M1993=$O$7,$B1993&lt;'111'!$N$11),"x","")</f>
        <v/>
      </c>
      <c r="R1993" s="39" t="str">
        <f>IF(ISERROR(FIND('112'!$M$9,G1993,1)),"",IF((AND(FIND('112'!$M$9,G1993,1)&gt;=1,$B1993&gt;='112'!$N$8,$B1993&lt;='112'!$O$8,OR($L1993='112'!$I$6,$M1993='112'!$I$6))),"x",""))</f>
        <v/>
      </c>
      <c r="S1993" s="39" t="str">
        <f>IF(ISERROR(FIND('112'!$M$9,G1993,1)),"",IF((AND(LEFT(G1993,2)=LEFT('112'!$M$9,2),B1993&lt;'112'!$N$8,$L1993='112'!$I$6)),"x",""))</f>
        <v/>
      </c>
      <c r="T1993" s="39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39" t="str">
        <f>IF(OR(TH!L1993=TH!$V$7,M1993=TH!$V$7),"x","")</f>
        <v/>
      </c>
      <c r="W1993" s="39" t="str">
        <f>IF(AND(B1993&gt;='IN-NX'!$P$3,B1993&lt;='IN-NX'!$Q$3,'IN-NX'!$D$7=D1993,OR(LEFT(L1993,2)="15",AND(LEFT(M1993,2)&lt;&gt;"15",LEFT(M1993,2)&lt;&gt;"33"))),"x","")</f>
        <v/>
      </c>
      <c r="X1993" s="39" t="str">
        <f>IF(AND(OR(LEFT(TH!L1993,2)="15",LEFT(TH!M1993,2)="15"),'152-CT'!$J$8=TH!F1993),"x","")</f>
        <v/>
      </c>
      <c r="Y1993" s="39" t="str">
        <f>IF(AND(OR(LEFT(TH!L1993,2)="15",LEFT(TH!M1993,2)="15"),TK!$E$7=TH!F1993),"x","")</f>
        <v/>
      </c>
      <c r="Z1993" s="39" t="str">
        <f>IF(AND(B1993&lt;=NKC!$N$8,B1993&gt;=NKC!$M$8),"x","")</f>
        <v/>
      </c>
      <c r="AA1993" s="883"/>
    </row>
    <row r="1994" spans="1:27" s="211" customFormat="1" ht="15.75" customHeight="1">
      <c r="A1994" s="204" t="str">
        <f>IF(B1994&lt;&gt;"",IF(AND(B1994&gt;=_TM1,B1994&lt;=_TM2,OR(TH!L1994="1111",TH!M1994="1111")),TH!D1994,""),"")</f>
        <v/>
      </c>
      <c r="B1994" s="36">
        <f t="shared" si="476"/>
        <v>10</v>
      </c>
      <c r="C1994" s="191">
        <f t="shared" si="475"/>
        <v>41548</v>
      </c>
      <c r="D1994" s="37" t="s">
        <v>487</v>
      </c>
      <c r="E1994" s="773">
        <v>41548</v>
      </c>
      <c r="F1994" s="189" t="s">
        <v>845</v>
      </c>
      <c r="G1994" s="40" t="s">
        <v>948</v>
      </c>
      <c r="H1994" s="7" t="s">
        <v>1290</v>
      </c>
      <c r="I1994" s="256">
        <v>220</v>
      </c>
      <c r="J1994" s="256">
        <v>18398.035646638145</v>
      </c>
      <c r="K1994" s="602">
        <f t="shared" si="477"/>
        <v>4047568</v>
      </c>
      <c r="L1994" s="39" t="s">
        <v>173</v>
      </c>
      <c r="M1994" s="39" t="s">
        <v>167</v>
      </c>
      <c r="N1994" s="39" t="str">
        <f>IF(AND('331-CT'!$E$7=TH!H1994,OR(L1994="331",M1994="331")),"331",IF(AND(OR(L1994="131",M1994="131"),H1994='131-CT'!$E$7),"131",""))</f>
        <v/>
      </c>
      <c r="O1994" s="39" t="str">
        <f>IF(AND($B1994&gt;='111'!$N$11,$B1994&lt;='111'!$O$11,OR($L1994=$O$7,$M1994=$O$7)),"x","")</f>
        <v/>
      </c>
      <c r="P1994" s="39" t="str">
        <f>IF(AND($L1994=$O$7,$B1994&lt;'111'!$N$11),"x","")</f>
        <v/>
      </c>
      <c r="Q1994" s="39" t="str">
        <f>IF(AND($M1994=$O$7,$B1994&lt;'111'!$N$11),"x","")</f>
        <v/>
      </c>
      <c r="R1994" s="39" t="str">
        <f>IF(ISERROR(FIND('112'!$M$9,G1994,1)),"",IF((AND(FIND('112'!$M$9,G1994,1)&gt;=1,$B1994&gt;='112'!$N$8,$B1994&lt;='112'!$O$8,OR($L1994='112'!$I$6,$M1994='112'!$I$6))),"x",""))</f>
        <v/>
      </c>
      <c r="S1994" s="39" t="str">
        <f>IF(ISERROR(FIND('112'!$M$9,G1994,1)),"",IF((AND(LEFT(G1994,2)=LEFT('112'!$M$9,2),B1994&lt;'112'!$N$8,$L1994='112'!$I$6)),"x",""))</f>
        <v/>
      </c>
      <c r="T1994" s="39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39" t="str">
        <f>IF(OR(TH!L1994=TH!$V$7,M1994=TH!$V$7),"x","")</f>
        <v/>
      </c>
      <c r="W1994" s="39" t="str">
        <f>IF(AND(B1994&gt;='IN-NX'!$P$3,B1994&lt;='IN-NX'!$Q$3,'IN-NX'!$D$7=D1994,OR(LEFT(L1994,2)="15",AND(LEFT(M1994,2)&lt;&gt;"15",LEFT(M1994,2)&lt;&gt;"33"))),"x","")</f>
        <v/>
      </c>
      <c r="X1994" s="39" t="str">
        <f>IF(AND(OR(LEFT(TH!L1994,2)="15",LEFT(TH!M1994,2)="15"),'152-CT'!$J$8=TH!F1994),"x","")</f>
        <v/>
      </c>
      <c r="Y1994" s="39" t="str">
        <f>IF(AND(OR(LEFT(TH!L1994,2)="15",LEFT(TH!M1994,2)="15"),TK!$E$7=TH!F1994),"x","")</f>
        <v/>
      </c>
      <c r="Z1994" s="39" t="str">
        <f>IF(AND(B1994&lt;=NKC!$N$8,B1994&gt;=NKC!$M$8),"x","")</f>
        <v/>
      </c>
      <c r="AA1994" s="883"/>
    </row>
    <row r="1995" spans="1:27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476"/>
        <v>10</v>
      </c>
      <c r="C1995" s="191">
        <f t="shared" si="475"/>
        <v>41549</v>
      </c>
      <c r="D1995" s="37" t="s">
        <v>487</v>
      </c>
      <c r="E1995" s="773">
        <v>41549</v>
      </c>
      <c r="F1995" s="189" t="s">
        <v>1151</v>
      </c>
      <c r="G1995" s="40" t="s">
        <v>949</v>
      </c>
      <c r="H1995" s="7" t="s">
        <v>1290</v>
      </c>
      <c r="I1995" s="256">
        <v>3397</v>
      </c>
      <c r="J1995" s="256">
        <v>3785.9982874709676</v>
      </c>
      <c r="K1995" s="602">
        <f t="shared" si="477"/>
        <v>12861036</v>
      </c>
      <c r="L1995" s="39" t="s">
        <v>173</v>
      </c>
      <c r="M1995" s="39" t="s">
        <v>167</v>
      </c>
      <c r="N1995" s="39" t="str">
        <f>IF(AND('331-CT'!$E$7=TH!H1995,OR(L1995="331",M1995="331")),"331",IF(AND(OR(L1995="131",M1995="131"),H1995='131-CT'!$E$7),"131",""))</f>
        <v/>
      </c>
      <c r="O1995" s="39" t="str">
        <f>IF(AND($B1995&gt;='111'!$N$11,$B1995&lt;='111'!$O$11,OR($L1995=$O$7,$M1995=$O$7)),"x","")</f>
        <v/>
      </c>
      <c r="P1995" s="39" t="str">
        <f>IF(AND($L1995=$O$7,$B1995&lt;'111'!$N$11),"x","")</f>
        <v/>
      </c>
      <c r="Q1995" s="39" t="str">
        <f>IF(AND($M1995=$O$7,$B1995&lt;'111'!$N$11),"x","")</f>
        <v/>
      </c>
      <c r="R1995" s="39" t="str">
        <f>IF(ISERROR(FIND('112'!$M$9,G1995,1)),"",IF((AND(FIND('112'!$M$9,G1995,1)&gt;=1,$B1995&gt;='112'!$N$8,$B1995&lt;='112'!$O$8,OR($L1995='112'!$I$6,$M1995='112'!$I$6))),"x",""))</f>
        <v/>
      </c>
      <c r="S1995" s="39" t="str">
        <f>IF(ISERROR(FIND('112'!$M$9,G1995,1)),"",IF((AND(LEFT(G1995,2)=LEFT('112'!$M$9,2),B1995&lt;'112'!$N$8,$L1995='112'!$I$6)),"x",""))</f>
        <v/>
      </c>
      <c r="T1995" s="39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39" t="str">
        <f>IF(OR(TH!L1995=TH!$V$7,M1995=TH!$V$7),"x","")</f>
        <v/>
      </c>
      <c r="W1995" s="39" t="str">
        <f>IF(AND(B1995&gt;='IN-NX'!$P$3,B1995&lt;='IN-NX'!$Q$3,'IN-NX'!$D$7=D1995,OR(LEFT(L1995,2)="15",AND(LEFT(M1995,2)&lt;&gt;"15",LEFT(M1995,2)&lt;&gt;"33"))),"x","")</f>
        <v/>
      </c>
      <c r="X1995" s="39" t="str">
        <f>IF(AND(OR(LEFT(TH!L1995,2)="15",LEFT(TH!M1995,2)="15"),'152-CT'!$J$8=TH!F1995),"x","")</f>
        <v/>
      </c>
      <c r="Y1995" s="39" t="str">
        <f>IF(AND(OR(LEFT(TH!L1995,2)="15",LEFT(TH!M1995,2)="15"),TK!$E$7=TH!F1995),"x","")</f>
        <v/>
      </c>
      <c r="Z1995" s="39" t="str">
        <f>IF(AND(B1995&lt;=NKC!$N$8,B1995&gt;=NKC!$M$8),"x","")</f>
        <v/>
      </c>
      <c r="AA1995" s="883"/>
    </row>
    <row r="1996" spans="1:27" s="211" customFormat="1" ht="15.75" customHeight="1">
      <c r="A1996" s="204" t="str">
        <f>IF(B1996&lt;&gt;"",IF(AND(B1996&gt;=_TM1,B1996&lt;=_TM2,OR(TH!L1996="1111",TH!M1996="1111")),TH!D1996,""),"")</f>
        <v/>
      </c>
      <c r="B1996" s="36">
        <f t="shared" si="476"/>
        <v>10</v>
      </c>
      <c r="C1996" s="191">
        <f t="shared" si="475"/>
        <v>41550</v>
      </c>
      <c r="D1996" s="37" t="s">
        <v>487</v>
      </c>
      <c r="E1996" s="773">
        <v>41550</v>
      </c>
      <c r="F1996" s="189" t="s">
        <v>944</v>
      </c>
      <c r="G1996" s="40" t="s">
        <v>951</v>
      </c>
      <c r="H1996" s="7" t="s">
        <v>1290</v>
      </c>
      <c r="I1996" s="256">
        <v>494</v>
      </c>
      <c r="J1996" s="256">
        <v>4562.1136738740688</v>
      </c>
      <c r="K1996" s="602">
        <f t="shared" si="477"/>
        <v>2253684</v>
      </c>
      <c r="L1996" s="39" t="s">
        <v>173</v>
      </c>
      <c r="M1996" s="39" t="s">
        <v>167</v>
      </c>
      <c r="N1996" s="39" t="str">
        <f>IF(AND('331-CT'!$E$7=TH!H1996,OR(L1996="331",M1996="331")),"331",IF(AND(OR(L1996="131",M1996="131"),H1996='131-CT'!$E$7),"131",""))</f>
        <v/>
      </c>
      <c r="O1996" s="39" t="str">
        <f>IF(AND($B1996&gt;='111'!$N$11,$B1996&lt;='111'!$O$11,OR($L1996=$O$7,$M1996=$O$7)),"x","")</f>
        <v/>
      </c>
      <c r="P1996" s="39" t="str">
        <f>IF(AND($L1996=$O$7,$B1996&lt;'111'!$N$11),"x","")</f>
        <v/>
      </c>
      <c r="Q1996" s="39" t="str">
        <f>IF(AND($M1996=$O$7,$B1996&lt;'111'!$N$11),"x","")</f>
        <v/>
      </c>
      <c r="R1996" s="39" t="str">
        <f>IF(ISERROR(FIND('112'!$M$9,G1996,1)),"",IF((AND(FIND('112'!$M$9,G1996,1)&gt;=1,$B1996&gt;='112'!$N$8,$B1996&lt;='112'!$O$8,OR($L1996='112'!$I$6,$M1996='112'!$I$6))),"x",""))</f>
        <v/>
      </c>
      <c r="S1996" s="39" t="str">
        <f>IF(ISERROR(FIND('112'!$M$9,G1996,1)),"",IF((AND(LEFT(G1996,2)=LEFT('112'!$M$9,2),B1996&lt;'112'!$N$8,$L1996='112'!$I$6)),"x",""))</f>
        <v/>
      </c>
      <c r="T1996" s="39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39" t="str">
        <f>IF(OR(TH!L1996=TH!$V$7,M1996=TH!$V$7),"x","")</f>
        <v/>
      </c>
      <c r="W1996" s="39" t="str">
        <f>IF(AND(B1996&gt;='IN-NX'!$P$3,B1996&lt;='IN-NX'!$Q$3,'IN-NX'!$D$7=D1996,OR(LEFT(L1996,2)="15",AND(LEFT(M1996,2)&lt;&gt;"15",LEFT(M1996,2)&lt;&gt;"33"))),"x","")</f>
        <v/>
      </c>
      <c r="X1996" s="39" t="str">
        <f>IF(AND(OR(LEFT(TH!L1996,2)="15",LEFT(TH!M1996,2)="15"),'152-CT'!$J$8=TH!F1996),"x","")</f>
        <v/>
      </c>
      <c r="Y1996" s="39" t="str">
        <f>IF(AND(OR(LEFT(TH!L1996,2)="15",LEFT(TH!M1996,2)="15"),TK!$E$7=TH!F1996),"x","")</f>
        <v/>
      </c>
      <c r="Z1996" s="39" t="str">
        <f>IF(AND(B1996&lt;=NKC!$N$8,B1996&gt;=NKC!$M$8),"x","")</f>
        <v/>
      </c>
      <c r="AA1996" s="883"/>
    </row>
    <row r="1997" spans="1:27" s="211" customFormat="1" ht="15.75" customHeight="1">
      <c r="A1997" s="204" t="str">
        <f>IF(B1997&lt;&gt;"",IF(AND(B1997&gt;=_TM1,B1997&lt;=_TM2,OR(TH!L1997="1111",TH!M1997="1111")),TH!D1997,""),"")</f>
        <v/>
      </c>
      <c r="B1997" s="36">
        <f t="shared" si="476"/>
        <v>10</v>
      </c>
      <c r="C1997" s="191">
        <f t="shared" si="475"/>
        <v>41550</v>
      </c>
      <c r="D1997" s="37" t="s">
        <v>487</v>
      </c>
      <c r="E1997" s="773">
        <v>41550</v>
      </c>
      <c r="F1997" s="189" t="s">
        <v>952</v>
      </c>
      <c r="G1997" s="40" t="s">
        <v>951</v>
      </c>
      <c r="H1997" s="7" t="s">
        <v>1290</v>
      </c>
      <c r="I1997" s="256">
        <v>509</v>
      </c>
      <c r="J1997" s="256">
        <v>4666.9675987724559</v>
      </c>
      <c r="K1997" s="602">
        <f t="shared" si="477"/>
        <v>2375487</v>
      </c>
      <c r="L1997" s="39" t="s">
        <v>173</v>
      </c>
      <c r="M1997" s="39" t="s">
        <v>167</v>
      </c>
      <c r="N1997" s="39" t="str">
        <f>IF(AND('331-CT'!$E$7=TH!H1997,OR(L1997="331",M1997="331")),"331",IF(AND(OR(L1997="131",M1997="131"),H1997='131-CT'!$E$7),"131",""))</f>
        <v/>
      </c>
      <c r="O1997" s="39" t="str">
        <f>IF(AND($B1997&gt;='111'!$N$11,$B1997&lt;='111'!$O$11,OR($L1997=$O$7,$M1997=$O$7)),"x","")</f>
        <v/>
      </c>
      <c r="P1997" s="39" t="str">
        <f>IF(AND($L1997=$O$7,$B1997&lt;'111'!$N$11),"x","")</f>
        <v/>
      </c>
      <c r="Q1997" s="39" t="str">
        <f>IF(AND($M1997=$O$7,$B1997&lt;'111'!$N$11),"x","")</f>
        <v/>
      </c>
      <c r="R1997" s="39" t="str">
        <f>IF(ISERROR(FIND('112'!$M$9,G1997,1)),"",IF((AND(FIND('112'!$M$9,G1997,1)&gt;=1,$B1997&gt;='112'!$N$8,$B1997&lt;='112'!$O$8,OR($L1997='112'!$I$6,$M1997='112'!$I$6))),"x",""))</f>
        <v/>
      </c>
      <c r="S1997" s="39" t="str">
        <f>IF(ISERROR(FIND('112'!$M$9,G1997,1)),"",IF((AND(LEFT(G1997,2)=LEFT('112'!$M$9,2),B1997&lt;'112'!$N$8,$L1997='112'!$I$6)),"x",""))</f>
        <v/>
      </c>
      <c r="T1997" s="39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39" t="str">
        <f>IF(OR(TH!L1997=TH!$V$7,M1997=TH!$V$7),"x","")</f>
        <v/>
      </c>
      <c r="W1997" s="39" t="str">
        <f>IF(AND(B1997&gt;='IN-NX'!$P$3,B1997&lt;='IN-NX'!$Q$3,'IN-NX'!$D$7=D1997,OR(LEFT(L1997,2)="15",AND(LEFT(M1997,2)&lt;&gt;"15",LEFT(M1997,2)&lt;&gt;"33"))),"x","")</f>
        <v/>
      </c>
      <c r="X1997" s="39" t="str">
        <f>IF(AND(OR(LEFT(TH!L1997,2)="15",LEFT(TH!M1997,2)="15"),'152-CT'!$J$8=TH!F1997),"x","")</f>
        <v/>
      </c>
      <c r="Y1997" s="39" t="str">
        <f>IF(AND(OR(LEFT(TH!L1997,2)="15",LEFT(TH!M1997,2)="15"),TK!$E$7=TH!F1997),"x","")</f>
        <v/>
      </c>
      <c r="Z1997" s="39" t="str">
        <f>IF(AND(B1997&lt;=NKC!$N$8,B1997&gt;=NKC!$M$8),"x","")</f>
        <v/>
      </c>
      <c r="AA1997" s="883"/>
    </row>
    <row r="1998" spans="1:27" s="211" customFormat="1" ht="15.75" customHeight="1">
      <c r="A1998" s="204" t="str">
        <f>IF(B1998&lt;&gt;"",IF(AND(B1998&gt;=_TM1,B1998&lt;=_TM2,OR(TH!L1998="1111",TH!M1998="1111")),TH!D1998,""),"")</f>
        <v/>
      </c>
      <c r="B1998" s="36">
        <f t="shared" si="476"/>
        <v>10</v>
      </c>
      <c r="C1998" s="191">
        <f t="shared" ref="C1998:C2061" si="478">E1998</f>
        <v>41552</v>
      </c>
      <c r="D1998" s="37" t="s">
        <v>487</v>
      </c>
      <c r="E1998" s="773">
        <v>41552</v>
      </c>
      <c r="F1998" s="189" t="s">
        <v>1151</v>
      </c>
      <c r="G1998" s="40" t="s">
        <v>953</v>
      </c>
      <c r="H1998" s="7" t="s">
        <v>1290</v>
      </c>
      <c r="I1998" s="256">
        <v>103</v>
      </c>
      <c r="J1998" s="256">
        <v>3955.5775707334697</v>
      </c>
      <c r="K1998" s="602">
        <f t="shared" si="477"/>
        <v>407424</v>
      </c>
      <c r="L1998" s="39" t="s">
        <v>173</v>
      </c>
      <c r="M1998" s="39" t="s">
        <v>167</v>
      </c>
      <c r="N1998" s="39" t="str">
        <f>IF(AND('331-CT'!$E$7=TH!H1998,OR(L1998="331",M1998="331")),"331",IF(AND(OR(L1998="131",M1998="131"),H1998='131-CT'!$E$7),"131",""))</f>
        <v/>
      </c>
      <c r="O1998" s="39" t="str">
        <f>IF(AND($B1998&gt;='111'!$N$11,$B1998&lt;='111'!$O$11,OR($L1998=$O$7,$M1998=$O$7)),"x","")</f>
        <v/>
      </c>
      <c r="P1998" s="39" t="str">
        <f>IF(AND($L1998=$O$7,$B1998&lt;'111'!$N$11),"x","")</f>
        <v/>
      </c>
      <c r="Q1998" s="39" t="str">
        <f>IF(AND($M1998=$O$7,$B1998&lt;'111'!$N$11),"x","")</f>
        <v/>
      </c>
      <c r="R1998" s="39" t="str">
        <f>IF(ISERROR(FIND('112'!$M$9,G1998,1)),"",IF((AND(FIND('112'!$M$9,G1998,1)&gt;=1,$B1998&gt;='112'!$N$8,$B1998&lt;='112'!$O$8,OR($L1998='112'!$I$6,$M1998='112'!$I$6))),"x",""))</f>
        <v/>
      </c>
      <c r="S1998" s="39" t="str">
        <f>IF(ISERROR(FIND('112'!$M$9,G1998,1)),"",IF((AND(LEFT(G1998,2)=LEFT('112'!$M$9,2),B1998&lt;'112'!$N$8,$L1998='112'!$I$6)),"x",""))</f>
        <v/>
      </c>
      <c r="T1998" s="39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39" t="str">
        <f>IF(OR(TH!L1998=TH!$V$7,M1998=TH!$V$7),"x","")</f>
        <v/>
      </c>
      <c r="W1998" s="39" t="str">
        <f>IF(AND(B1998&gt;='IN-NX'!$P$3,B1998&lt;='IN-NX'!$Q$3,'IN-NX'!$D$7=D1998,OR(LEFT(L1998,2)="15",AND(LEFT(M1998,2)&lt;&gt;"15",LEFT(M1998,2)&lt;&gt;"33"))),"x","")</f>
        <v/>
      </c>
      <c r="X1998" s="39" t="str">
        <f>IF(AND(OR(LEFT(TH!L1998,2)="15",LEFT(TH!M1998,2)="15"),'152-CT'!$J$8=TH!F1998),"x","")</f>
        <v/>
      </c>
      <c r="Y1998" s="39" t="str">
        <f>IF(AND(OR(LEFT(TH!L1998,2)="15",LEFT(TH!M1998,2)="15"),TK!$E$7=TH!F1998),"x","")</f>
        <v/>
      </c>
      <c r="Z1998" s="39" t="str">
        <f>IF(AND(B1998&lt;=NKC!$N$8,B1998&gt;=NKC!$M$8),"x","")</f>
        <v/>
      </c>
      <c r="AA1998" s="883"/>
    </row>
    <row r="1999" spans="1:27" s="211" customFormat="1" ht="15.75" customHeight="1">
      <c r="A1999" s="204" t="str">
        <f>IF(B1999&lt;&gt;"",IF(AND(B1999&gt;=_TM1,B1999&lt;=_TM2,OR(TH!L1999="1111",TH!M1999="1111")),TH!D1999,""),"")</f>
        <v/>
      </c>
      <c r="B1999" s="36">
        <f t="shared" si="476"/>
        <v>10</v>
      </c>
      <c r="C1999" s="191">
        <f t="shared" si="478"/>
        <v>41552</v>
      </c>
      <c r="D1999" s="37" t="s">
        <v>487</v>
      </c>
      <c r="E1999" s="773">
        <v>41552</v>
      </c>
      <c r="F1999" s="189" t="s">
        <v>1148</v>
      </c>
      <c r="G1999" s="40" t="s">
        <v>953</v>
      </c>
      <c r="H1999" s="7" t="s">
        <v>1290</v>
      </c>
      <c r="I1999" s="256">
        <v>2658</v>
      </c>
      <c r="J1999" s="256">
        <v>4322.7422613176732</v>
      </c>
      <c r="K1999" s="602">
        <f t="shared" si="477"/>
        <v>11489849</v>
      </c>
      <c r="L1999" s="39" t="s">
        <v>173</v>
      </c>
      <c r="M1999" s="39" t="s">
        <v>167</v>
      </c>
      <c r="N1999" s="39" t="str">
        <f>IF(AND('331-CT'!$E$7=TH!H1999,OR(L1999="331",M1999="331")),"331",IF(AND(OR(L1999="131",M1999="131"),H1999='131-CT'!$E$7),"131",""))</f>
        <v/>
      </c>
      <c r="O1999" s="39" t="str">
        <f>IF(AND($B1999&gt;='111'!$N$11,$B1999&lt;='111'!$O$11,OR($L1999=$O$7,$M1999=$O$7)),"x","")</f>
        <v/>
      </c>
      <c r="P1999" s="39" t="str">
        <f>IF(AND($L1999=$O$7,$B1999&lt;'111'!$N$11),"x","")</f>
        <v/>
      </c>
      <c r="Q1999" s="39" t="str">
        <f>IF(AND($M1999=$O$7,$B1999&lt;'111'!$N$11),"x","")</f>
        <v/>
      </c>
      <c r="R1999" s="39" t="str">
        <f>IF(ISERROR(FIND('112'!$M$9,G1999,1)),"",IF((AND(FIND('112'!$M$9,G1999,1)&gt;=1,$B1999&gt;='112'!$N$8,$B1999&lt;='112'!$O$8,OR($L1999='112'!$I$6,$M1999='112'!$I$6))),"x",""))</f>
        <v/>
      </c>
      <c r="S1999" s="39" t="str">
        <f>IF(ISERROR(FIND('112'!$M$9,G1999,1)),"",IF((AND(LEFT(G1999,2)=LEFT('112'!$M$9,2),B1999&lt;'112'!$N$8,$L1999='112'!$I$6)),"x",""))</f>
        <v/>
      </c>
      <c r="T1999" s="39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39" t="str">
        <f>IF(OR(TH!L1999=TH!$V$7,M1999=TH!$V$7),"x","")</f>
        <v/>
      </c>
      <c r="W1999" s="39" t="str">
        <f>IF(AND(B1999&gt;='IN-NX'!$P$3,B1999&lt;='IN-NX'!$Q$3,'IN-NX'!$D$7=D1999,OR(LEFT(L1999,2)="15",AND(LEFT(M1999,2)&lt;&gt;"15",LEFT(M1999,2)&lt;&gt;"33"))),"x","")</f>
        <v/>
      </c>
      <c r="X1999" s="39" t="str">
        <f>IF(AND(OR(LEFT(TH!L1999,2)="15",LEFT(TH!M1999,2)="15"),'152-CT'!$J$8=TH!F1999),"x","")</f>
        <v/>
      </c>
      <c r="Y1999" s="39" t="str">
        <f>IF(AND(OR(LEFT(TH!L1999,2)="15",LEFT(TH!M1999,2)="15"),TK!$E$7=TH!F1999),"x","")</f>
        <v/>
      </c>
      <c r="Z1999" s="39" t="str">
        <f>IF(AND(B1999&lt;=NKC!$N$8,B1999&gt;=NKC!$M$8),"x","")</f>
        <v/>
      </c>
      <c r="AA1999" s="883"/>
    </row>
    <row r="2000" spans="1:27" s="211" customFormat="1" ht="15.75" customHeight="1">
      <c r="A2000" s="204" t="str">
        <f>IF(B2000&lt;&gt;"",IF(AND(B2000&gt;=_TM1,B2000&lt;=_TM2,OR(TH!L2000="1111",TH!M2000="1111")),TH!D2000,""),"")</f>
        <v/>
      </c>
      <c r="B2000" s="36">
        <f t="shared" si="476"/>
        <v>10</v>
      </c>
      <c r="C2000" s="191">
        <f t="shared" si="478"/>
        <v>41552</v>
      </c>
      <c r="D2000" s="37" t="s">
        <v>487</v>
      </c>
      <c r="E2000" s="184">
        <v>41552</v>
      </c>
      <c r="F2000" s="189" t="s">
        <v>1135</v>
      </c>
      <c r="G2000" s="604" t="s">
        <v>954</v>
      </c>
      <c r="H2000" s="7" t="s">
        <v>1290</v>
      </c>
      <c r="I2000" s="256">
        <v>2260</v>
      </c>
      <c r="J2000" s="256">
        <v>6517.9901920926932</v>
      </c>
      <c r="K2000" s="602">
        <f t="shared" si="477"/>
        <v>14730658</v>
      </c>
      <c r="L2000" s="39" t="s">
        <v>173</v>
      </c>
      <c r="M2000" s="39" t="s">
        <v>167</v>
      </c>
      <c r="N2000" s="39" t="str">
        <f>IF(AND('331-CT'!$E$7=TH!H2000,OR(L2000="331",M2000="331")),"331",IF(AND(OR(L2000="131",M2000="131"),H2000='131-CT'!$E$7),"131",""))</f>
        <v/>
      </c>
      <c r="O2000" s="39" t="str">
        <f>IF(AND($B2000&gt;='111'!$N$11,$B2000&lt;='111'!$O$11,OR($L2000=$O$7,$M2000=$O$7)),"x","")</f>
        <v/>
      </c>
      <c r="P2000" s="39" t="str">
        <f>IF(AND($L2000=$O$7,$B2000&lt;'111'!$N$11),"x","")</f>
        <v/>
      </c>
      <c r="Q2000" s="39" t="str">
        <f>IF(AND($M2000=$O$7,$B2000&lt;'111'!$N$11),"x","")</f>
        <v/>
      </c>
      <c r="R2000" s="39" t="str">
        <f>IF(ISERROR(FIND('112'!$M$9,G2000,1)),"",IF((AND(FIND('112'!$M$9,G2000,1)&gt;=1,$B2000&gt;='112'!$N$8,$B2000&lt;='112'!$O$8,OR($L2000='112'!$I$6,$M2000='112'!$I$6))),"x",""))</f>
        <v/>
      </c>
      <c r="S2000" s="39" t="str">
        <f>IF(ISERROR(FIND('112'!$M$9,G2000,1)),"",IF((AND(LEFT(G2000,2)=LEFT('112'!$M$9,2),B2000&lt;'112'!$N$8,$L2000='112'!$I$6)),"x",""))</f>
        <v/>
      </c>
      <c r="T2000" s="39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39" t="str">
        <f>IF(OR(TH!L2000=TH!$V$7,M2000=TH!$V$7),"x","")</f>
        <v/>
      </c>
      <c r="W2000" s="39" t="str">
        <f>IF(AND(B2000&gt;='IN-NX'!$P$3,B2000&lt;='IN-NX'!$Q$3,'IN-NX'!$D$7=D2000,OR(LEFT(L2000,2)="15",AND(LEFT(M2000,2)&lt;&gt;"15",LEFT(M2000,2)&lt;&gt;"33"))),"x","")</f>
        <v/>
      </c>
      <c r="X2000" s="39" t="str">
        <f>IF(AND(OR(LEFT(TH!L2000,2)="15",LEFT(TH!M2000,2)="15"),'152-CT'!$J$8=TH!F2000),"x","")</f>
        <v/>
      </c>
      <c r="Y2000" s="39" t="str">
        <f>IF(AND(OR(LEFT(TH!L2000,2)="15",LEFT(TH!M2000,2)="15"),TK!$E$7=TH!F2000),"x","")</f>
        <v/>
      </c>
      <c r="Z2000" s="39" t="str">
        <f>IF(AND(B2000&lt;=NKC!$N$8,B2000&gt;=NKC!$M$8),"x","")</f>
        <v/>
      </c>
      <c r="AA2000" s="883"/>
    </row>
    <row r="2001" spans="1:27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476"/>
        <v>10</v>
      </c>
      <c r="C2001" s="191">
        <f t="shared" si="478"/>
        <v>41555</v>
      </c>
      <c r="D2001" s="37" t="s">
        <v>487</v>
      </c>
      <c r="E2001" s="191">
        <v>41555</v>
      </c>
      <c r="F2001" s="192" t="s">
        <v>865</v>
      </c>
      <c r="G2001" s="487" t="s">
        <v>955</v>
      </c>
      <c r="H2001" s="7" t="s">
        <v>1290</v>
      </c>
      <c r="I2001" s="256">
        <v>516</v>
      </c>
      <c r="J2001" s="256">
        <v>19797.521199844628</v>
      </c>
      <c r="K2001" s="602">
        <f t="shared" si="477"/>
        <v>10215521</v>
      </c>
      <c r="L2001" s="39" t="s">
        <v>173</v>
      </c>
      <c r="M2001" s="39" t="s">
        <v>167</v>
      </c>
      <c r="N2001" s="39" t="str">
        <f>IF(AND('331-CT'!$E$7=TH!H2001,OR(L2001="331",M2001="331")),"331",IF(AND(OR(L2001="131",M2001="131"),H2001='131-CT'!$E$7),"131",""))</f>
        <v/>
      </c>
      <c r="O2001" s="39" t="str">
        <f>IF(AND($B2001&gt;='111'!$N$11,$B2001&lt;='111'!$O$11,OR($L2001=$O$7,$M2001=$O$7)),"x","")</f>
        <v/>
      </c>
      <c r="P2001" s="39" t="str">
        <f>IF(AND($L2001=$O$7,$B2001&lt;'111'!$N$11),"x","")</f>
        <v/>
      </c>
      <c r="Q2001" s="39" t="str">
        <f>IF(AND($M2001=$O$7,$B2001&lt;'111'!$N$11),"x","")</f>
        <v/>
      </c>
      <c r="R2001" s="39" t="str">
        <f>IF(ISERROR(FIND('112'!$M$9,G2001,1)),"",IF((AND(FIND('112'!$M$9,G2001,1)&gt;=1,$B2001&gt;='112'!$N$8,$B2001&lt;='112'!$O$8,OR($L2001='112'!$I$6,$M2001='112'!$I$6))),"x",""))</f>
        <v/>
      </c>
      <c r="S2001" s="39" t="str">
        <f>IF(ISERROR(FIND('112'!$M$9,G2001,1)),"",IF((AND(LEFT(G2001,2)=LEFT('112'!$M$9,2),B2001&lt;'112'!$N$8,$L2001='112'!$I$6)),"x",""))</f>
        <v/>
      </c>
      <c r="T2001" s="39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39" t="str">
        <f>IF(OR(TH!L2001=TH!$V$7,M2001=TH!$V$7),"x","")</f>
        <v/>
      </c>
      <c r="W2001" s="39" t="str">
        <f>IF(AND(B2001&gt;='IN-NX'!$P$3,B2001&lt;='IN-NX'!$Q$3,'IN-NX'!$D$7=D2001,OR(LEFT(L2001,2)="15",AND(LEFT(M2001,2)&lt;&gt;"15",LEFT(M2001,2)&lt;&gt;"33"))),"x","")</f>
        <v/>
      </c>
      <c r="X2001" s="39" t="str">
        <f>IF(AND(OR(LEFT(TH!L2001,2)="15",LEFT(TH!M2001,2)="15"),'152-CT'!$J$8=TH!F2001),"x","")</f>
        <v/>
      </c>
      <c r="Y2001" s="39" t="str">
        <f>IF(AND(OR(LEFT(TH!L2001,2)="15",LEFT(TH!M2001,2)="15"),TK!$E$7=TH!F2001),"x","")</f>
        <v/>
      </c>
      <c r="Z2001" s="39" t="str">
        <f>IF(AND(B2001&lt;=NKC!$N$8,B2001&gt;=NKC!$M$8),"x","")</f>
        <v/>
      </c>
      <c r="AA2001" s="883"/>
    </row>
    <row r="2002" spans="1:27" s="211" customFormat="1" ht="15.75" customHeight="1">
      <c r="A2002" s="204" t="str">
        <f>IF(B2002&lt;&gt;"",IF(AND(B2002&gt;=_TM1,B2002&lt;=_TM2,OR(TH!L2002="1111",TH!M2002="1111")),TH!D2002,""),"")</f>
        <v/>
      </c>
      <c r="B2002" s="36">
        <f t="shared" si="476"/>
        <v>10</v>
      </c>
      <c r="C2002" s="191">
        <f t="shared" si="478"/>
        <v>41557</v>
      </c>
      <c r="D2002" s="37" t="s">
        <v>487</v>
      </c>
      <c r="E2002" s="191">
        <v>41557</v>
      </c>
      <c r="F2002" s="192" t="s">
        <v>1129</v>
      </c>
      <c r="G2002" s="487" t="s">
        <v>956</v>
      </c>
      <c r="H2002" s="7" t="s">
        <v>1290</v>
      </c>
      <c r="I2002" s="256">
        <v>304</v>
      </c>
      <c r="J2002" s="256">
        <v>6506.4901920926923</v>
      </c>
      <c r="K2002" s="602">
        <f t="shared" si="477"/>
        <v>1977973</v>
      </c>
      <c r="L2002" s="39" t="s">
        <v>173</v>
      </c>
      <c r="M2002" s="39" t="s">
        <v>167</v>
      </c>
      <c r="N2002" s="39" t="str">
        <f>IF(AND('331-CT'!$E$7=TH!H2002,OR(L2002="331",M2002="331")),"331",IF(AND(OR(L2002="131",M2002="131"),H2002='131-CT'!$E$7),"131",""))</f>
        <v/>
      </c>
      <c r="O2002" s="39" t="str">
        <f>IF(AND($B2002&gt;='111'!$N$11,$B2002&lt;='111'!$O$11,OR($L2002=$O$7,$M2002=$O$7)),"x","")</f>
        <v/>
      </c>
      <c r="P2002" s="39" t="str">
        <f>IF(AND($L2002=$O$7,$B2002&lt;'111'!$N$11),"x","")</f>
        <v/>
      </c>
      <c r="Q2002" s="39" t="str">
        <f>IF(AND($M2002=$O$7,$B2002&lt;'111'!$N$11),"x","")</f>
        <v/>
      </c>
      <c r="R2002" s="39" t="str">
        <f>IF(ISERROR(FIND('112'!$M$9,G2002,1)),"",IF((AND(FIND('112'!$M$9,G2002,1)&gt;=1,$B2002&gt;='112'!$N$8,$B2002&lt;='112'!$O$8,OR($L2002='112'!$I$6,$M2002='112'!$I$6))),"x",""))</f>
        <v/>
      </c>
      <c r="S2002" s="39" t="str">
        <f>IF(ISERROR(FIND('112'!$M$9,G2002,1)),"",IF((AND(LEFT(G2002,2)=LEFT('112'!$M$9,2),B2002&lt;'112'!$N$8,$L2002='112'!$I$6)),"x",""))</f>
        <v/>
      </c>
      <c r="T2002" s="39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39" t="str">
        <f>IF(OR(TH!L2002=TH!$V$7,M2002=TH!$V$7),"x","")</f>
        <v/>
      </c>
      <c r="W2002" s="39" t="str">
        <f>IF(AND(B2002&gt;='IN-NX'!$P$3,B2002&lt;='IN-NX'!$Q$3,'IN-NX'!$D$7=D2002,OR(LEFT(L2002,2)="15",AND(LEFT(M2002,2)&lt;&gt;"15",LEFT(M2002,2)&lt;&gt;"33"))),"x","")</f>
        <v/>
      </c>
      <c r="X2002" s="39" t="str">
        <f>IF(AND(OR(LEFT(TH!L2002,2)="15",LEFT(TH!M2002,2)="15"),'152-CT'!$J$8=TH!F2002),"x","")</f>
        <v/>
      </c>
      <c r="Y2002" s="39" t="str">
        <f>IF(AND(OR(LEFT(TH!L2002,2)="15",LEFT(TH!M2002,2)="15"),TK!$E$7=TH!F2002),"x","")</f>
        <v/>
      </c>
      <c r="Z2002" s="39" t="str">
        <f>IF(AND(B2002&lt;=NKC!$N$8,B2002&gt;=NKC!$M$8),"x","")</f>
        <v/>
      </c>
      <c r="AA2002" s="883"/>
    </row>
    <row r="2003" spans="1:27" s="211" customFormat="1" ht="15.75" customHeight="1">
      <c r="A2003" s="204" t="str">
        <f>IF(B2003&lt;&gt;"",IF(AND(B2003&gt;=_TM1,B2003&lt;=_TM2,OR(TH!L2003="1111",TH!M2003="1111")),TH!D2003,""),"")</f>
        <v/>
      </c>
      <c r="B2003" s="36">
        <f t="shared" si="476"/>
        <v>10</v>
      </c>
      <c r="C2003" s="191">
        <f t="shared" si="478"/>
        <v>41563</v>
      </c>
      <c r="D2003" s="37" t="s">
        <v>487</v>
      </c>
      <c r="E2003" s="191">
        <v>41563</v>
      </c>
      <c r="F2003" s="192" t="s">
        <v>836</v>
      </c>
      <c r="G2003" s="487" t="s">
        <v>957</v>
      </c>
      <c r="H2003" s="7" t="s">
        <v>1290</v>
      </c>
      <c r="I2003" s="256">
        <v>996</v>
      </c>
      <c r="J2003" s="256">
        <v>9477.6267382774313</v>
      </c>
      <c r="K2003" s="602">
        <f t="shared" si="477"/>
        <v>9439716</v>
      </c>
      <c r="L2003" s="39" t="s">
        <v>173</v>
      </c>
      <c r="M2003" s="39" t="s">
        <v>167</v>
      </c>
      <c r="N2003" s="39" t="str">
        <f>IF(AND('331-CT'!$E$7=TH!H2003,OR(L2003="331",M2003="331")),"331",IF(AND(OR(L2003="131",M2003="131"),H2003='131-CT'!$E$7),"131",""))</f>
        <v/>
      </c>
      <c r="O2003" s="39" t="str">
        <f>IF(AND($B2003&gt;='111'!$N$11,$B2003&lt;='111'!$O$11,OR($L2003=$O$7,$M2003=$O$7)),"x","")</f>
        <v/>
      </c>
      <c r="P2003" s="39" t="str">
        <f>IF(AND($L2003=$O$7,$B2003&lt;'111'!$N$11),"x","")</f>
        <v/>
      </c>
      <c r="Q2003" s="39" t="str">
        <f>IF(AND($M2003=$O$7,$B2003&lt;'111'!$N$11),"x","")</f>
        <v/>
      </c>
      <c r="R2003" s="39" t="str">
        <f>IF(ISERROR(FIND('112'!$M$9,G2003,1)),"",IF((AND(FIND('112'!$M$9,G2003,1)&gt;=1,$B2003&gt;='112'!$N$8,$B2003&lt;='112'!$O$8,OR($L2003='112'!$I$6,$M2003='112'!$I$6))),"x",""))</f>
        <v/>
      </c>
      <c r="S2003" s="39" t="str">
        <f>IF(ISERROR(FIND('112'!$M$9,G2003,1)),"",IF((AND(LEFT(G2003,2)=LEFT('112'!$M$9,2),B2003&lt;'112'!$N$8,$L2003='112'!$I$6)),"x",""))</f>
        <v/>
      </c>
      <c r="T2003" s="39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39" t="str">
        <f>IF(OR(TH!L2003=TH!$V$7,M2003=TH!$V$7),"x","")</f>
        <v/>
      </c>
      <c r="W2003" s="39" t="str">
        <f>IF(AND(B2003&gt;='IN-NX'!$P$3,B2003&lt;='IN-NX'!$Q$3,'IN-NX'!$D$7=D2003,OR(LEFT(L2003,2)="15",AND(LEFT(M2003,2)&lt;&gt;"15",LEFT(M2003,2)&lt;&gt;"33"))),"x","")</f>
        <v/>
      </c>
      <c r="X2003" s="39" t="str">
        <f>IF(AND(OR(LEFT(TH!L2003,2)="15",LEFT(TH!M2003,2)="15"),'152-CT'!$J$8=TH!F2003),"x","")</f>
        <v/>
      </c>
      <c r="Y2003" s="39" t="str">
        <f>IF(AND(OR(LEFT(TH!L2003,2)="15",LEFT(TH!M2003,2)="15"),TK!$E$7=TH!F2003),"x","")</f>
        <v/>
      </c>
      <c r="Z2003" s="39" t="str">
        <f>IF(AND(B2003&lt;=NKC!$N$8,B2003&gt;=NKC!$M$8),"x","")</f>
        <v/>
      </c>
      <c r="AA2003" s="883"/>
    </row>
    <row r="2004" spans="1:27" s="211" customFormat="1" ht="15.75" customHeight="1">
      <c r="A2004" s="204" t="str">
        <f>IF(B2004&lt;&gt;"",IF(AND(B2004&gt;=_TM1,B2004&lt;=_TM2,OR(TH!L2004="1111",TH!M2004="1111")),TH!D2004,""),"")</f>
        <v/>
      </c>
      <c r="B2004" s="36">
        <f t="shared" si="476"/>
        <v>10</v>
      </c>
      <c r="C2004" s="191">
        <f t="shared" si="478"/>
        <v>41563</v>
      </c>
      <c r="D2004" s="37" t="s">
        <v>487</v>
      </c>
      <c r="E2004" s="191">
        <v>41563</v>
      </c>
      <c r="F2004" s="192" t="s">
        <v>1158</v>
      </c>
      <c r="G2004" s="487" t="s">
        <v>958</v>
      </c>
      <c r="H2004" s="7" t="s">
        <v>1290</v>
      </c>
      <c r="I2004" s="256">
        <v>1400</v>
      </c>
      <c r="J2004" s="256">
        <v>4845.6401920926928</v>
      </c>
      <c r="K2004" s="602">
        <f t="shared" si="477"/>
        <v>6783896</v>
      </c>
      <c r="L2004" s="39" t="s">
        <v>173</v>
      </c>
      <c r="M2004" s="39" t="s">
        <v>167</v>
      </c>
      <c r="N2004" s="39" t="str">
        <f>IF(AND('331-CT'!$E$7=TH!H2004,OR(L2004="331",M2004="331")),"331",IF(AND(OR(L2004="131",M2004="131"),H2004='131-CT'!$E$7),"131",""))</f>
        <v/>
      </c>
      <c r="O2004" s="39" t="str">
        <f>IF(AND($B2004&gt;='111'!$N$11,$B2004&lt;='111'!$O$11,OR($L2004=$O$7,$M2004=$O$7)),"x","")</f>
        <v/>
      </c>
      <c r="P2004" s="39" t="str">
        <f>IF(AND($L2004=$O$7,$B2004&lt;'111'!$N$11),"x","")</f>
        <v/>
      </c>
      <c r="Q2004" s="39" t="str">
        <f>IF(AND($M2004=$O$7,$B2004&lt;'111'!$N$11),"x","")</f>
        <v/>
      </c>
      <c r="R2004" s="39" t="str">
        <f>IF(ISERROR(FIND('112'!$M$9,G2004,1)),"",IF((AND(FIND('112'!$M$9,G2004,1)&gt;=1,$B2004&gt;='112'!$N$8,$B2004&lt;='112'!$O$8,OR($L2004='112'!$I$6,$M2004='112'!$I$6))),"x",""))</f>
        <v/>
      </c>
      <c r="S2004" s="39" t="str">
        <f>IF(ISERROR(FIND('112'!$M$9,G2004,1)),"",IF((AND(LEFT(G2004,2)=LEFT('112'!$M$9,2),B2004&lt;'112'!$N$8,$L2004='112'!$I$6)),"x",""))</f>
        <v/>
      </c>
      <c r="T2004" s="39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39" t="str">
        <f>IF(OR(TH!L2004=TH!$V$7,M2004=TH!$V$7),"x","")</f>
        <v/>
      </c>
      <c r="W2004" s="39" t="str">
        <f>IF(AND(B2004&gt;='IN-NX'!$P$3,B2004&lt;='IN-NX'!$Q$3,'IN-NX'!$D$7=D2004,OR(LEFT(L2004,2)="15",AND(LEFT(M2004,2)&lt;&gt;"15",LEFT(M2004,2)&lt;&gt;"33"))),"x","")</f>
        <v/>
      </c>
      <c r="X2004" s="39" t="str">
        <f>IF(AND(OR(LEFT(TH!L2004,2)="15",LEFT(TH!M2004,2)="15"),'152-CT'!$J$8=TH!F2004),"x","")</f>
        <v/>
      </c>
      <c r="Y2004" s="39" t="str">
        <f>IF(AND(OR(LEFT(TH!L2004,2)="15",LEFT(TH!M2004,2)="15"),TK!$E$7=TH!F2004),"x","")</f>
        <v/>
      </c>
      <c r="Z2004" s="39" t="str">
        <f>IF(AND(B2004&lt;=NKC!$N$8,B2004&gt;=NKC!$M$8),"x","")</f>
        <v/>
      </c>
      <c r="AA2004" s="883"/>
    </row>
    <row r="2005" spans="1:27" s="211" customFormat="1" ht="15.75" customHeight="1">
      <c r="A2005" s="204" t="str">
        <f>IF(B2005&lt;&gt;"",IF(AND(B2005&gt;=_TM1,B2005&lt;=_TM2,OR(TH!L2005="1111",TH!M2005="1111")),TH!D2005,""),"")</f>
        <v/>
      </c>
      <c r="B2005" s="36">
        <f t="shared" si="476"/>
        <v>10</v>
      </c>
      <c r="C2005" s="191">
        <f t="shared" si="478"/>
        <v>41563</v>
      </c>
      <c r="D2005" s="37" t="s">
        <v>487</v>
      </c>
      <c r="E2005" s="191">
        <v>41563</v>
      </c>
      <c r="F2005" s="192" t="s">
        <v>1148</v>
      </c>
      <c r="G2005" s="487" t="s">
        <v>959</v>
      </c>
      <c r="H2005" s="7" t="s">
        <v>1290</v>
      </c>
      <c r="I2005" s="256">
        <v>5391</v>
      </c>
      <c r="J2005" s="256">
        <v>4059.7951447916353</v>
      </c>
      <c r="K2005" s="602">
        <f t="shared" si="477"/>
        <v>21886356</v>
      </c>
      <c r="L2005" s="39" t="s">
        <v>173</v>
      </c>
      <c r="M2005" s="39" t="s">
        <v>167</v>
      </c>
      <c r="N2005" s="39" t="str">
        <f>IF(AND('331-CT'!$E$7=TH!H2005,OR(L2005="331",M2005="331")),"331",IF(AND(OR(L2005="131",M2005="131"),H2005='131-CT'!$E$7),"131",""))</f>
        <v/>
      </c>
      <c r="O2005" s="39" t="str">
        <f>IF(AND($B2005&gt;='111'!$N$11,$B2005&lt;='111'!$O$11,OR($L2005=$O$7,$M2005=$O$7)),"x","")</f>
        <v/>
      </c>
      <c r="P2005" s="39" t="str">
        <f>IF(AND($L2005=$O$7,$B2005&lt;'111'!$N$11),"x","")</f>
        <v/>
      </c>
      <c r="Q2005" s="39" t="str">
        <f>IF(AND($M2005=$O$7,$B2005&lt;'111'!$N$11),"x","")</f>
        <v/>
      </c>
      <c r="R2005" s="39" t="str">
        <f>IF(ISERROR(FIND('112'!$M$9,G2005,1)),"",IF((AND(FIND('112'!$M$9,G2005,1)&gt;=1,$B2005&gt;='112'!$N$8,$B2005&lt;='112'!$O$8,OR($L2005='112'!$I$6,$M2005='112'!$I$6))),"x",""))</f>
        <v/>
      </c>
      <c r="S2005" s="39" t="str">
        <f>IF(ISERROR(FIND('112'!$M$9,G2005,1)),"",IF((AND(LEFT(G2005,2)=LEFT('112'!$M$9,2),B2005&lt;'112'!$N$8,$L2005='112'!$I$6)),"x",""))</f>
        <v/>
      </c>
      <c r="T2005" s="39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39" t="str">
        <f>IF(OR(TH!L2005=TH!$V$7,M2005=TH!$V$7),"x","")</f>
        <v/>
      </c>
      <c r="W2005" s="39" t="str">
        <f>IF(AND(B2005&gt;='IN-NX'!$P$3,B2005&lt;='IN-NX'!$Q$3,'IN-NX'!$D$7=D2005,OR(LEFT(L2005,2)="15",AND(LEFT(M2005,2)&lt;&gt;"15",LEFT(M2005,2)&lt;&gt;"33"))),"x","")</f>
        <v/>
      </c>
      <c r="X2005" s="39" t="str">
        <f>IF(AND(OR(LEFT(TH!L2005,2)="15",LEFT(TH!M2005,2)="15"),'152-CT'!$J$8=TH!F2005),"x","")</f>
        <v/>
      </c>
      <c r="Y2005" s="39" t="str">
        <f>IF(AND(OR(LEFT(TH!L2005,2)="15",LEFT(TH!M2005,2)="15"),TK!$E$7=TH!F2005),"x","")</f>
        <v/>
      </c>
      <c r="Z2005" s="39" t="str">
        <f>IF(AND(B2005&lt;=NKC!$N$8,B2005&gt;=NKC!$M$8),"x","")</f>
        <v/>
      </c>
      <c r="AA2005" s="883"/>
    </row>
    <row r="2006" spans="1:27" s="211" customFormat="1" ht="15.75" customHeight="1">
      <c r="A2006" s="204" t="str">
        <f>IF(B2006&lt;&gt;"",IF(AND(B2006&gt;=_TM1,B2006&lt;=_TM2,OR(TH!L2006="1111",TH!M2006="1111")),TH!D2006,""),"")</f>
        <v/>
      </c>
      <c r="B2006" s="36">
        <f t="shared" si="476"/>
        <v>10</v>
      </c>
      <c r="C2006" s="191">
        <f t="shared" si="478"/>
        <v>41565</v>
      </c>
      <c r="D2006" s="37" t="s">
        <v>487</v>
      </c>
      <c r="E2006" s="37">
        <v>41565</v>
      </c>
      <c r="F2006" s="40" t="s">
        <v>938</v>
      </c>
      <c r="G2006" s="40" t="s">
        <v>960</v>
      </c>
      <c r="H2006" s="7" t="s">
        <v>1290</v>
      </c>
      <c r="I2006" s="256">
        <v>100</v>
      </c>
      <c r="J2006" s="256">
        <v>17903.490192092693</v>
      </c>
      <c r="K2006" s="602">
        <f t="shared" si="477"/>
        <v>1790349</v>
      </c>
      <c r="L2006" s="39" t="s">
        <v>173</v>
      </c>
      <c r="M2006" s="39" t="s">
        <v>167</v>
      </c>
      <c r="N2006" s="39" t="str">
        <f>IF(AND('331-CT'!$E$7=TH!H2006,OR(L2006="331",M2006="331")),"331",IF(AND(OR(L2006="131",M2006="131"),H2006='131-CT'!$E$7),"131",""))</f>
        <v/>
      </c>
      <c r="O2006" s="39" t="str">
        <f>IF(AND($B2006&gt;='111'!$N$11,$B2006&lt;='111'!$O$11,OR($L2006=$O$7,$M2006=$O$7)),"x","")</f>
        <v/>
      </c>
      <c r="P2006" s="39" t="str">
        <f>IF(AND($L2006=$O$7,$B2006&lt;'111'!$N$11),"x","")</f>
        <v/>
      </c>
      <c r="Q2006" s="39" t="str">
        <f>IF(AND($M2006=$O$7,$B2006&lt;'111'!$N$11),"x","")</f>
        <v/>
      </c>
      <c r="R2006" s="39" t="str">
        <f>IF(ISERROR(FIND('112'!$M$9,G2006,1)),"",IF((AND(FIND('112'!$M$9,G2006,1)&gt;=1,$B2006&gt;='112'!$N$8,$B2006&lt;='112'!$O$8,OR($L2006='112'!$I$6,$M2006='112'!$I$6))),"x",""))</f>
        <v/>
      </c>
      <c r="S2006" s="39" t="str">
        <f>IF(ISERROR(FIND('112'!$M$9,G2006,1)),"",IF((AND(LEFT(G2006,2)=LEFT('112'!$M$9,2),B2006&lt;'112'!$N$8,$L2006='112'!$I$6)),"x",""))</f>
        <v/>
      </c>
      <c r="T2006" s="39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39" t="str">
        <f>IF(OR(TH!L2006=TH!$V$7,M2006=TH!$V$7),"x","")</f>
        <v/>
      </c>
      <c r="W2006" s="39" t="str">
        <f>IF(AND(B2006&gt;='IN-NX'!$P$3,B2006&lt;='IN-NX'!$Q$3,'IN-NX'!$D$7=D2006,OR(LEFT(L2006,2)="15",AND(LEFT(M2006,2)&lt;&gt;"15",LEFT(M2006,2)&lt;&gt;"33"))),"x","")</f>
        <v/>
      </c>
      <c r="X2006" s="39" t="str">
        <f>IF(AND(OR(LEFT(TH!L2006,2)="15",LEFT(TH!M2006,2)="15"),'152-CT'!$J$8=TH!F2006),"x","")</f>
        <v/>
      </c>
      <c r="Y2006" s="39" t="str">
        <f>IF(AND(OR(LEFT(TH!L2006,2)="15",LEFT(TH!M2006,2)="15"),TK!$E$7=TH!F2006),"x","")</f>
        <v/>
      </c>
      <c r="Z2006" s="39" t="str">
        <f>IF(AND(B2006&lt;=NKC!$N$8,B2006&gt;=NKC!$M$8),"x","")</f>
        <v/>
      </c>
      <c r="AA2006" s="883"/>
    </row>
    <row r="2007" spans="1:27" s="211" customFormat="1" ht="15.75" customHeight="1">
      <c r="A2007" s="204" t="str">
        <f>IF(B2007&lt;&gt;"",IF(AND(B2007&gt;=_TM1,B2007&lt;=_TM2,OR(TH!L2007="1111",TH!M2007="1111")),TH!D2007,""),"")</f>
        <v/>
      </c>
      <c r="B2007" s="36">
        <f t="shared" si="476"/>
        <v>10</v>
      </c>
      <c r="C2007" s="191">
        <f t="shared" si="478"/>
        <v>41566</v>
      </c>
      <c r="D2007" s="37" t="s">
        <v>487</v>
      </c>
      <c r="E2007" s="37">
        <v>41566</v>
      </c>
      <c r="F2007" s="40" t="s">
        <v>1140</v>
      </c>
      <c r="G2007" s="40" t="s">
        <v>961</v>
      </c>
      <c r="H2007" s="7" t="s">
        <v>1290</v>
      </c>
      <c r="I2007" s="256">
        <v>1157</v>
      </c>
      <c r="J2007" s="256">
        <v>4680.8869077365989</v>
      </c>
      <c r="K2007" s="602">
        <f t="shared" si="477"/>
        <v>5415786</v>
      </c>
      <c r="L2007" s="39" t="s">
        <v>173</v>
      </c>
      <c r="M2007" s="39" t="s">
        <v>167</v>
      </c>
      <c r="N2007" s="39" t="str">
        <f>IF(AND('331-CT'!$E$7=TH!H2007,OR(L2007="331",M2007="331")),"331",IF(AND(OR(L2007="131",M2007="131"),H2007='131-CT'!$E$7),"131",""))</f>
        <v/>
      </c>
      <c r="O2007" s="39" t="str">
        <f>IF(AND($B2007&gt;='111'!$N$11,$B2007&lt;='111'!$O$11,OR($L2007=$O$7,$M2007=$O$7)),"x","")</f>
        <v/>
      </c>
      <c r="P2007" s="39" t="str">
        <f>IF(AND($L2007=$O$7,$B2007&lt;'111'!$N$11),"x","")</f>
        <v/>
      </c>
      <c r="Q2007" s="39" t="str">
        <f>IF(AND($M2007=$O$7,$B2007&lt;'111'!$N$11),"x","")</f>
        <v/>
      </c>
      <c r="R2007" s="39" t="str">
        <f>IF(ISERROR(FIND('112'!$M$9,G2007,1)),"",IF((AND(FIND('112'!$M$9,G2007,1)&gt;=1,$B2007&gt;='112'!$N$8,$B2007&lt;='112'!$O$8,OR($L2007='112'!$I$6,$M2007='112'!$I$6))),"x",""))</f>
        <v/>
      </c>
      <c r="S2007" s="39" t="str">
        <f>IF(ISERROR(FIND('112'!$M$9,G2007,1)),"",IF((AND(LEFT(G2007,2)=LEFT('112'!$M$9,2),B2007&lt;'112'!$N$8,$L2007='112'!$I$6)),"x",""))</f>
        <v/>
      </c>
      <c r="T2007" s="39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39" t="str">
        <f>IF(OR(TH!L2007=TH!$V$7,M2007=TH!$V$7),"x","")</f>
        <v/>
      </c>
      <c r="W2007" s="39" t="str">
        <f>IF(AND(B2007&gt;='IN-NX'!$P$3,B2007&lt;='IN-NX'!$Q$3,'IN-NX'!$D$7=D2007,OR(LEFT(L2007,2)="15",AND(LEFT(M2007,2)&lt;&gt;"15",LEFT(M2007,2)&lt;&gt;"33"))),"x","")</f>
        <v/>
      </c>
      <c r="X2007" s="39" t="str">
        <f>IF(AND(OR(LEFT(TH!L2007,2)="15",LEFT(TH!M2007,2)="15"),'152-CT'!$J$8=TH!F2007),"x","")</f>
        <v/>
      </c>
      <c r="Y2007" s="39" t="str">
        <f>IF(AND(OR(LEFT(TH!L2007,2)="15",LEFT(TH!M2007,2)="15"),TK!$E$7=TH!F2007),"x","")</f>
        <v/>
      </c>
      <c r="Z2007" s="39" t="str">
        <f>IF(AND(B2007&lt;=NKC!$N$8,B2007&gt;=NKC!$M$8),"x","")</f>
        <v/>
      </c>
      <c r="AA2007" s="883"/>
    </row>
    <row r="2008" spans="1:27" s="211" customFormat="1" ht="15.75" customHeight="1">
      <c r="A2008" s="204" t="str">
        <f>IF(B2008&lt;&gt;"",IF(AND(B2008&gt;=_TM1,B2008&lt;=_TM2,OR(TH!L2008="1111",TH!M2008="1111")),TH!D2008,""),"")</f>
        <v/>
      </c>
      <c r="B2008" s="36">
        <f t="shared" si="476"/>
        <v>10</v>
      </c>
      <c r="C2008" s="191">
        <f t="shared" si="478"/>
        <v>41566</v>
      </c>
      <c r="D2008" s="37" t="s">
        <v>487</v>
      </c>
      <c r="E2008" s="184">
        <v>41566</v>
      </c>
      <c r="F2008" s="189" t="s">
        <v>962</v>
      </c>
      <c r="G2008" s="604" t="s">
        <v>961</v>
      </c>
      <c r="H2008" s="7" t="s">
        <v>1290</v>
      </c>
      <c r="I2008" s="256">
        <v>220</v>
      </c>
      <c r="J2008" s="256">
        <v>7902.0356466381472</v>
      </c>
      <c r="K2008" s="602">
        <f t="shared" si="477"/>
        <v>1738448</v>
      </c>
      <c r="L2008" s="39" t="s">
        <v>173</v>
      </c>
      <c r="M2008" s="39" t="s">
        <v>167</v>
      </c>
      <c r="N2008" s="39" t="str">
        <f>IF(AND('331-CT'!$E$7=TH!H2008,OR(L2008="331",M2008="331")),"331",IF(AND(OR(L2008="131",M2008="131"),H2008='131-CT'!$E$7),"131",""))</f>
        <v/>
      </c>
      <c r="O2008" s="39" t="str">
        <f>IF(AND($B2008&gt;='111'!$N$11,$B2008&lt;='111'!$O$11,OR($L2008=$O$7,$M2008=$O$7)),"x","")</f>
        <v/>
      </c>
      <c r="P2008" s="39" t="str">
        <f>IF(AND($L2008=$O$7,$B2008&lt;'111'!$N$11),"x","")</f>
        <v/>
      </c>
      <c r="Q2008" s="39" t="str">
        <f>IF(AND($M2008=$O$7,$B2008&lt;'111'!$N$11),"x","")</f>
        <v/>
      </c>
      <c r="R2008" s="39" t="str">
        <f>IF(ISERROR(FIND('112'!$M$9,G2008,1)),"",IF((AND(FIND('112'!$M$9,G2008,1)&gt;=1,$B2008&gt;='112'!$N$8,$B2008&lt;='112'!$O$8,OR($L2008='112'!$I$6,$M2008='112'!$I$6))),"x",""))</f>
        <v/>
      </c>
      <c r="S2008" s="39" t="str">
        <f>IF(ISERROR(FIND('112'!$M$9,G2008,1)),"",IF((AND(LEFT(G2008,2)=LEFT('112'!$M$9,2),B2008&lt;'112'!$N$8,$L2008='112'!$I$6)),"x",""))</f>
        <v/>
      </c>
      <c r="T2008" s="39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39" t="str">
        <f>IF(OR(TH!L2008=TH!$V$7,M2008=TH!$V$7),"x","")</f>
        <v/>
      </c>
      <c r="W2008" s="39" t="str">
        <f>IF(AND(B2008&gt;='IN-NX'!$P$3,B2008&lt;='IN-NX'!$Q$3,'IN-NX'!$D$7=D2008,OR(LEFT(L2008,2)="15",AND(LEFT(M2008,2)&lt;&gt;"15",LEFT(M2008,2)&lt;&gt;"33"))),"x","")</f>
        <v/>
      </c>
      <c r="X2008" s="39" t="str">
        <f>IF(AND(OR(LEFT(TH!L2008,2)="15",LEFT(TH!M2008,2)="15"),'152-CT'!$J$8=TH!F2008),"x","")</f>
        <v/>
      </c>
      <c r="Y2008" s="39" t="str">
        <f>IF(AND(OR(LEFT(TH!L2008,2)="15",LEFT(TH!M2008,2)="15"),TK!$E$7=TH!F2008),"x","")</f>
        <v/>
      </c>
      <c r="Z2008" s="39" t="str">
        <f>IF(AND(B2008&lt;=NKC!$N$8,B2008&gt;=NKC!$M$8),"x","")</f>
        <v/>
      </c>
      <c r="AA2008" s="883"/>
    </row>
    <row r="2009" spans="1:27" s="211" customFormat="1" ht="15.75" customHeight="1">
      <c r="A2009" s="204" t="str">
        <f>IF(B2009&lt;&gt;"",IF(AND(B2009&gt;=_TM1,B2009&lt;=_TM2,OR(TH!L2009="1111",TH!M2009="1111")),TH!D2009,""),"")</f>
        <v/>
      </c>
      <c r="B2009" s="36">
        <f t="shared" si="476"/>
        <v>10</v>
      </c>
      <c r="C2009" s="191">
        <f t="shared" si="478"/>
        <v>41568</v>
      </c>
      <c r="D2009" s="37" t="s">
        <v>487</v>
      </c>
      <c r="E2009" s="184">
        <v>41568</v>
      </c>
      <c r="F2009" s="189" t="s">
        <v>729</v>
      </c>
      <c r="G2009" s="604" t="s">
        <v>963</v>
      </c>
      <c r="H2009" s="7" t="s">
        <v>1290</v>
      </c>
      <c r="I2009" s="256">
        <v>529</v>
      </c>
      <c r="J2009" s="256">
        <v>8357.4788499376828</v>
      </c>
      <c r="K2009" s="602">
        <f t="shared" si="477"/>
        <v>4421106</v>
      </c>
      <c r="L2009" s="39" t="s">
        <v>173</v>
      </c>
      <c r="M2009" s="39" t="s">
        <v>167</v>
      </c>
      <c r="N2009" s="39" t="str">
        <f>IF(AND('331-CT'!$E$7=TH!H2009,OR(L2009="331",M2009="331")),"331",IF(AND(OR(L2009="131",M2009="131"),H2009='131-CT'!$E$7),"131",""))</f>
        <v/>
      </c>
      <c r="O2009" s="39" t="str">
        <f>IF(AND($B2009&gt;='111'!$N$11,$B2009&lt;='111'!$O$11,OR($L2009=$O$7,$M2009=$O$7)),"x","")</f>
        <v/>
      </c>
      <c r="P2009" s="39" t="str">
        <f>IF(AND($L2009=$O$7,$B2009&lt;'111'!$N$11),"x","")</f>
        <v/>
      </c>
      <c r="Q2009" s="39" t="str">
        <f>IF(AND($M2009=$O$7,$B2009&lt;'111'!$N$11),"x","")</f>
        <v/>
      </c>
      <c r="R2009" s="39" t="str">
        <f>IF(ISERROR(FIND('112'!$M$9,G2009,1)),"",IF((AND(FIND('112'!$M$9,G2009,1)&gt;=1,$B2009&gt;='112'!$N$8,$B2009&lt;='112'!$O$8,OR($L2009='112'!$I$6,$M2009='112'!$I$6))),"x",""))</f>
        <v/>
      </c>
      <c r="S2009" s="39" t="str">
        <f>IF(ISERROR(FIND('112'!$M$9,G2009,1)),"",IF((AND(LEFT(G2009,2)=LEFT('112'!$M$9,2),B2009&lt;'112'!$N$8,$L2009='112'!$I$6)),"x",""))</f>
        <v/>
      </c>
      <c r="T2009" s="39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39" t="str">
        <f>IF(OR(TH!L2009=TH!$V$7,M2009=TH!$V$7),"x","")</f>
        <v/>
      </c>
      <c r="W2009" s="39" t="str">
        <f>IF(AND(B2009&gt;='IN-NX'!$P$3,B2009&lt;='IN-NX'!$Q$3,'IN-NX'!$D$7=D2009,OR(LEFT(L2009,2)="15",AND(LEFT(M2009,2)&lt;&gt;"15",LEFT(M2009,2)&lt;&gt;"33"))),"x","")</f>
        <v/>
      </c>
      <c r="X2009" s="39" t="str">
        <f>IF(AND(OR(LEFT(TH!L2009,2)="15",LEFT(TH!M2009,2)="15"),'152-CT'!$J$8=TH!F2009),"x","")</f>
        <v/>
      </c>
      <c r="Y2009" s="39" t="str">
        <f>IF(AND(OR(LEFT(TH!L2009,2)="15",LEFT(TH!M2009,2)="15"),TK!$E$7=TH!F2009),"x","")</f>
        <v/>
      </c>
      <c r="Z2009" s="39" t="str">
        <f>IF(AND(B2009&lt;=NKC!$N$8,B2009&gt;=NKC!$M$8),"x","")</f>
        <v/>
      </c>
      <c r="AA2009" s="883"/>
    </row>
    <row r="2010" spans="1:27" s="211" customFormat="1" ht="15.75" customHeight="1">
      <c r="A2010" s="204" t="str">
        <f>IF(B2010&lt;&gt;"",IF(AND(B2010&gt;=_TM1,B2010&lt;=_TM2,OR(TH!L2010="1111",TH!M2010="1111")),TH!D2010,""),"")</f>
        <v/>
      </c>
      <c r="B2010" s="36">
        <f t="shared" si="476"/>
        <v>10</v>
      </c>
      <c r="C2010" s="191">
        <f t="shared" si="478"/>
        <v>41568</v>
      </c>
      <c r="D2010" s="37" t="s">
        <v>487</v>
      </c>
      <c r="E2010" s="184">
        <v>41568</v>
      </c>
      <c r="F2010" s="189" t="s">
        <v>964</v>
      </c>
      <c r="G2010" s="604" t="s">
        <v>965</v>
      </c>
      <c r="H2010" s="7" t="s">
        <v>1290</v>
      </c>
      <c r="I2010" s="256">
        <v>80</v>
      </c>
      <c r="J2010" s="256">
        <v>3398.4651920926926</v>
      </c>
      <c r="K2010" s="602">
        <f t="shared" si="477"/>
        <v>271877</v>
      </c>
      <c r="L2010" s="39" t="s">
        <v>173</v>
      </c>
      <c r="M2010" s="39" t="s">
        <v>167</v>
      </c>
      <c r="N2010" s="39" t="str">
        <f>IF(AND('331-CT'!$E$7=TH!H2010,OR(L2010="331",M2010="331")),"331",IF(AND(OR(L2010="131",M2010="131"),H2010='131-CT'!$E$7),"131",""))</f>
        <v/>
      </c>
      <c r="O2010" s="39" t="str">
        <f>IF(AND($B2010&gt;='111'!$N$11,$B2010&lt;='111'!$O$11,OR($L2010=$O$7,$M2010=$O$7)),"x","")</f>
        <v/>
      </c>
      <c r="P2010" s="39" t="str">
        <f>IF(AND($L2010=$O$7,$B2010&lt;'111'!$N$11),"x","")</f>
        <v/>
      </c>
      <c r="Q2010" s="39" t="str">
        <f>IF(AND($M2010=$O$7,$B2010&lt;'111'!$N$11),"x","")</f>
        <v/>
      </c>
      <c r="R2010" s="39" t="str">
        <f>IF(ISERROR(FIND('112'!$M$9,G2010,1)),"",IF((AND(FIND('112'!$M$9,G2010,1)&gt;=1,$B2010&gt;='112'!$N$8,$B2010&lt;='112'!$O$8,OR($L2010='112'!$I$6,$M2010='112'!$I$6))),"x",""))</f>
        <v/>
      </c>
      <c r="S2010" s="39" t="str">
        <f>IF(ISERROR(FIND('112'!$M$9,G2010,1)),"",IF((AND(LEFT(G2010,2)=LEFT('112'!$M$9,2),B2010&lt;'112'!$N$8,$L2010='112'!$I$6)),"x",""))</f>
        <v/>
      </c>
      <c r="T2010" s="39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39" t="str">
        <f>IF(OR(TH!L2010=TH!$V$7,M2010=TH!$V$7),"x","")</f>
        <v/>
      </c>
      <c r="W2010" s="39" t="str">
        <f>IF(AND(B2010&gt;='IN-NX'!$P$3,B2010&lt;='IN-NX'!$Q$3,'IN-NX'!$D$7=D2010,OR(LEFT(L2010,2)="15",AND(LEFT(M2010,2)&lt;&gt;"15",LEFT(M2010,2)&lt;&gt;"33"))),"x","")</f>
        <v/>
      </c>
      <c r="X2010" s="39" t="str">
        <f>IF(AND(OR(LEFT(TH!L2010,2)="15",LEFT(TH!M2010,2)="15"),'152-CT'!$J$8=TH!F2010),"x","")</f>
        <v/>
      </c>
      <c r="Y2010" s="39" t="str">
        <f>IF(AND(OR(LEFT(TH!L2010,2)="15",LEFT(TH!M2010,2)="15"),TK!$E$7=TH!F2010),"x","")</f>
        <v/>
      </c>
      <c r="Z2010" s="39" t="str">
        <f>IF(AND(B2010&lt;=NKC!$N$8,B2010&gt;=NKC!$M$8),"x","")</f>
        <v/>
      </c>
      <c r="AA2010" s="883"/>
    </row>
    <row r="2011" spans="1:27" s="211" customFormat="1" ht="15.75" customHeight="1">
      <c r="A2011" s="204" t="str">
        <f>IF(B2011&lt;&gt;"",IF(AND(B2011&gt;=_TM1,B2011&lt;=_TM2,OR(TH!L2011="1111",TH!M2011="1111")),TH!D2011,""),"")</f>
        <v/>
      </c>
      <c r="B2011" s="36">
        <f t="shared" si="476"/>
        <v>10</v>
      </c>
      <c r="C2011" s="191">
        <f t="shared" si="478"/>
        <v>41568</v>
      </c>
      <c r="D2011" s="37" t="s">
        <v>487</v>
      </c>
      <c r="E2011" s="184">
        <v>41568</v>
      </c>
      <c r="F2011" s="189" t="s">
        <v>966</v>
      </c>
      <c r="G2011" s="604" t="s">
        <v>965</v>
      </c>
      <c r="H2011" s="7" t="s">
        <v>1290</v>
      </c>
      <c r="I2011" s="256">
        <v>80</v>
      </c>
      <c r="J2011" s="256">
        <v>3911.7401920926918</v>
      </c>
      <c r="K2011" s="602">
        <f t="shared" si="477"/>
        <v>312939</v>
      </c>
      <c r="L2011" s="39" t="s">
        <v>173</v>
      </c>
      <c r="M2011" s="39" t="s">
        <v>167</v>
      </c>
      <c r="N2011" s="39" t="str">
        <f>IF(AND('331-CT'!$E$7=TH!H2011,OR(L2011="331",M2011="331")),"331",IF(AND(OR(L2011="131",M2011="131"),H2011='131-CT'!$E$7),"131",""))</f>
        <v/>
      </c>
      <c r="O2011" s="39" t="str">
        <f>IF(AND($B2011&gt;='111'!$N$11,$B2011&lt;='111'!$O$11,OR($L2011=$O$7,$M2011=$O$7)),"x","")</f>
        <v/>
      </c>
      <c r="P2011" s="39" t="str">
        <f>IF(AND($L2011=$O$7,$B2011&lt;'111'!$N$11),"x","")</f>
        <v/>
      </c>
      <c r="Q2011" s="39" t="str">
        <f>IF(AND($M2011=$O$7,$B2011&lt;'111'!$N$11),"x","")</f>
        <v/>
      </c>
      <c r="R2011" s="39" t="str">
        <f>IF(ISERROR(FIND('112'!$M$9,G2011,1)),"",IF((AND(FIND('112'!$M$9,G2011,1)&gt;=1,$B2011&gt;='112'!$N$8,$B2011&lt;='112'!$O$8,OR($L2011='112'!$I$6,$M2011='112'!$I$6))),"x",""))</f>
        <v/>
      </c>
      <c r="S2011" s="39" t="str">
        <f>IF(ISERROR(FIND('112'!$M$9,G2011,1)),"",IF((AND(LEFT(G2011,2)=LEFT('112'!$M$9,2),B2011&lt;'112'!$N$8,$L2011='112'!$I$6)),"x",""))</f>
        <v/>
      </c>
      <c r="T2011" s="39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39" t="str">
        <f>IF(OR(TH!L2011=TH!$V$7,M2011=TH!$V$7),"x","")</f>
        <v/>
      </c>
      <c r="W2011" s="39" t="str">
        <f>IF(AND(B2011&gt;='IN-NX'!$P$3,B2011&lt;='IN-NX'!$Q$3,'IN-NX'!$D$7=D2011,OR(LEFT(L2011,2)="15",AND(LEFT(M2011,2)&lt;&gt;"15",LEFT(M2011,2)&lt;&gt;"33"))),"x","")</f>
        <v/>
      </c>
      <c r="X2011" s="39" t="str">
        <f>IF(AND(OR(LEFT(TH!L2011,2)="15",LEFT(TH!M2011,2)="15"),'152-CT'!$J$8=TH!F2011),"x","")</f>
        <v/>
      </c>
      <c r="Y2011" s="39" t="str">
        <f>IF(AND(OR(LEFT(TH!L2011,2)="15",LEFT(TH!M2011,2)="15"),TK!$E$7=TH!F2011),"x","")</f>
        <v/>
      </c>
      <c r="Z2011" s="39" t="str">
        <f>IF(AND(B2011&lt;=NKC!$N$8,B2011&gt;=NKC!$M$8),"x","")</f>
        <v/>
      </c>
      <c r="AA2011" s="883"/>
    </row>
    <row r="2012" spans="1:27" s="211" customFormat="1" ht="15.75" customHeight="1">
      <c r="A2012" s="204" t="str">
        <f>IF(B2012&lt;&gt;"",IF(AND(B2012&gt;=_TM1,B2012&lt;=_TM2,OR(TH!L2012="1111",TH!M2012="1111")),TH!D2012,""),"")</f>
        <v/>
      </c>
      <c r="B2012" s="36">
        <f t="shared" si="476"/>
        <v>10</v>
      </c>
      <c r="C2012" s="191">
        <f t="shared" si="478"/>
        <v>41568</v>
      </c>
      <c r="D2012" s="37" t="s">
        <v>487</v>
      </c>
      <c r="E2012" s="184">
        <v>41568</v>
      </c>
      <c r="F2012" s="189" t="s">
        <v>1162</v>
      </c>
      <c r="G2012" s="604" t="s">
        <v>965</v>
      </c>
      <c r="H2012" s="7" t="s">
        <v>1290</v>
      </c>
      <c r="I2012" s="256">
        <v>79</v>
      </c>
      <c r="J2012" s="256">
        <v>4626.5281667762365</v>
      </c>
      <c r="K2012" s="602">
        <f t="shared" si="477"/>
        <v>365496</v>
      </c>
      <c r="L2012" s="39" t="s">
        <v>173</v>
      </c>
      <c r="M2012" s="39" t="s">
        <v>167</v>
      </c>
      <c r="N2012" s="39" t="str">
        <f>IF(AND('331-CT'!$E$7=TH!H2012,OR(L2012="331",M2012="331")),"331",IF(AND(OR(L2012="131",M2012="131"),H2012='131-CT'!$E$7),"131",""))</f>
        <v/>
      </c>
      <c r="O2012" s="39" t="str">
        <f>IF(AND($B2012&gt;='111'!$N$11,$B2012&lt;='111'!$O$11,OR($L2012=$O$7,$M2012=$O$7)),"x","")</f>
        <v/>
      </c>
      <c r="P2012" s="39" t="str">
        <f>IF(AND($L2012=$O$7,$B2012&lt;'111'!$N$11),"x","")</f>
        <v/>
      </c>
      <c r="Q2012" s="39" t="str">
        <f>IF(AND($M2012=$O$7,$B2012&lt;'111'!$N$11),"x","")</f>
        <v/>
      </c>
      <c r="R2012" s="39" t="str">
        <f>IF(ISERROR(FIND('112'!$M$9,G2012,1)),"",IF((AND(FIND('112'!$M$9,G2012,1)&gt;=1,$B2012&gt;='112'!$N$8,$B2012&lt;='112'!$O$8,OR($L2012='112'!$I$6,$M2012='112'!$I$6))),"x",""))</f>
        <v/>
      </c>
      <c r="S2012" s="39" t="str">
        <f>IF(ISERROR(FIND('112'!$M$9,G2012,1)),"",IF((AND(LEFT(G2012,2)=LEFT('112'!$M$9,2),B2012&lt;'112'!$N$8,$L2012='112'!$I$6)),"x",""))</f>
        <v/>
      </c>
      <c r="T2012" s="39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39" t="str">
        <f>IF(OR(TH!L2012=TH!$V$7,M2012=TH!$V$7),"x","")</f>
        <v/>
      </c>
      <c r="W2012" s="39" t="str">
        <f>IF(AND(B2012&gt;='IN-NX'!$P$3,B2012&lt;='IN-NX'!$Q$3,'IN-NX'!$D$7=D2012,OR(LEFT(L2012,2)="15",AND(LEFT(M2012,2)&lt;&gt;"15",LEFT(M2012,2)&lt;&gt;"33"))),"x","")</f>
        <v/>
      </c>
      <c r="X2012" s="39" t="str">
        <f>IF(AND(OR(LEFT(TH!L2012,2)="15",LEFT(TH!M2012,2)="15"),'152-CT'!$J$8=TH!F2012),"x","")</f>
        <v/>
      </c>
      <c r="Y2012" s="39" t="str">
        <f>IF(AND(OR(LEFT(TH!L2012,2)="15",LEFT(TH!M2012,2)="15"),TK!$E$7=TH!F2012),"x","")</f>
        <v/>
      </c>
      <c r="Z2012" s="39" t="str">
        <f>IF(AND(B2012&lt;=NKC!$N$8,B2012&gt;=NKC!$M$8),"x","")</f>
        <v/>
      </c>
      <c r="AA2012" s="883"/>
    </row>
    <row r="2013" spans="1:27" s="211" customFormat="1" ht="15.75" customHeight="1">
      <c r="A2013" s="204" t="str">
        <f>IF(B2013&lt;&gt;"",IF(AND(B2013&gt;=_TM1,B2013&lt;=_TM2,OR(TH!L2013="1111",TH!M2013="1111")),TH!D2013,""),"")</f>
        <v/>
      </c>
      <c r="B2013" s="36">
        <f t="shared" si="476"/>
        <v>10</v>
      </c>
      <c r="C2013" s="191">
        <f t="shared" si="478"/>
        <v>41568</v>
      </c>
      <c r="D2013" s="37" t="s">
        <v>487</v>
      </c>
      <c r="E2013" s="184">
        <v>41568</v>
      </c>
      <c r="F2013" s="189" t="s">
        <v>1159</v>
      </c>
      <c r="G2013" s="604" t="s">
        <v>965</v>
      </c>
      <c r="H2013" s="7" t="s">
        <v>1290</v>
      </c>
      <c r="I2013" s="256">
        <v>82</v>
      </c>
      <c r="J2013" s="256">
        <v>4038.9779969707411</v>
      </c>
      <c r="K2013" s="602">
        <f t="shared" si="477"/>
        <v>331196</v>
      </c>
      <c r="L2013" s="39" t="s">
        <v>173</v>
      </c>
      <c r="M2013" s="39" t="s">
        <v>167</v>
      </c>
      <c r="N2013" s="39" t="str">
        <f>IF(AND('331-CT'!$E$7=TH!H2013,OR(L2013="331",M2013="331")),"331",IF(AND(OR(L2013="131",M2013="131"),H2013='131-CT'!$E$7),"131",""))</f>
        <v/>
      </c>
      <c r="O2013" s="39" t="str">
        <f>IF(AND($B2013&gt;='111'!$N$11,$B2013&lt;='111'!$O$11,OR($L2013=$O$7,$M2013=$O$7)),"x","")</f>
        <v/>
      </c>
      <c r="P2013" s="39" t="str">
        <f>IF(AND($L2013=$O$7,$B2013&lt;'111'!$N$11),"x","")</f>
        <v/>
      </c>
      <c r="Q2013" s="39" t="str">
        <f>IF(AND($M2013=$O$7,$B2013&lt;'111'!$N$11),"x","")</f>
        <v/>
      </c>
      <c r="R2013" s="39" t="str">
        <f>IF(ISERROR(FIND('112'!$M$9,G2013,1)),"",IF((AND(FIND('112'!$M$9,G2013,1)&gt;=1,$B2013&gt;='112'!$N$8,$B2013&lt;='112'!$O$8,OR($L2013='112'!$I$6,$M2013='112'!$I$6))),"x",""))</f>
        <v/>
      </c>
      <c r="S2013" s="39" t="str">
        <f>IF(ISERROR(FIND('112'!$M$9,G2013,1)),"",IF((AND(LEFT(G2013,2)=LEFT('112'!$M$9,2),B2013&lt;'112'!$N$8,$L2013='112'!$I$6)),"x",""))</f>
        <v/>
      </c>
      <c r="T2013" s="39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39" t="str">
        <f>IF(OR(TH!L2013=TH!$V$7,M2013=TH!$V$7),"x","")</f>
        <v/>
      </c>
      <c r="W2013" s="39" t="str">
        <f>IF(AND(B2013&gt;='IN-NX'!$P$3,B2013&lt;='IN-NX'!$Q$3,'IN-NX'!$D$7=D2013,OR(LEFT(L2013,2)="15",AND(LEFT(M2013,2)&lt;&gt;"15",LEFT(M2013,2)&lt;&gt;"33"))),"x","")</f>
        <v/>
      </c>
      <c r="X2013" s="39" t="str">
        <f>IF(AND(OR(LEFT(TH!L2013,2)="15",LEFT(TH!M2013,2)="15"),'152-CT'!$J$8=TH!F2013),"x","")</f>
        <v/>
      </c>
      <c r="Y2013" s="39" t="str">
        <f>IF(AND(OR(LEFT(TH!L2013,2)="15",LEFT(TH!M2013,2)="15"),TK!$E$7=TH!F2013),"x","")</f>
        <v/>
      </c>
      <c r="Z2013" s="39" t="str">
        <f>IF(AND(B2013&lt;=NKC!$N$8,B2013&gt;=NKC!$M$8),"x","")</f>
        <v/>
      </c>
      <c r="AA2013" s="883"/>
    </row>
    <row r="2014" spans="1:27" s="211" customFormat="1" ht="15.75" customHeight="1">
      <c r="A2014" s="204" t="str">
        <f>IF(B2014&lt;&gt;"",IF(AND(B2014&gt;=_TM1,B2014&lt;=_TM2,OR(TH!L2014="1111",TH!M2014="1111")),TH!D2014,""),"")</f>
        <v/>
      </c>
      <c r="B2014" s="36">
        <f t="shared" si="476"/>
        <v>10</v>
      </c>
      <c r="C2014" s="191">
        <f t="shared" si="478"/>
        <v>41568</v>
      </c>
      <c r="D2014" s="37" t="s">
        <v>487</v>
      </c>
      <c r="E2014" s="184">
        <v>41568</v>
      </c>
      <c r="F2014" s="189" t="s">
        <v>967</v>
      </c>
      <c r="G2014" s="604" t="s">
        <v>965</v>
      </c>
      <c r="H2014" s="7" t="s">
        <v>1290</v>
      </c>
      <c r="I2014" s="256">
        <v>81</v>
      </c>
      <c r="J2014" s="256">
        <v>6437.8111797470137</v>
      </c>
      <c r="K2014" s="602">
        <f t="shared" si="477"/>
        <v>521463</v>
      </c>
      <c r="L2014" s="39" t="s">
        <v>173</v>
      </c>
      <c r="M2014" s="39" t="s">
        <v>167</v>
      </c>
      <c r="N2014" s="39" t="str">
        <f>IF(AND('331-CT'!$E$7=TH!H2014,OR(L2014="331",M2014="331")),"331",IF(AND(OR(L2014="131",M2014="131"),H2014='131-CT'!$E$7),"131",""))</f>
        <v/>
      </c>
      <c r="O2014" s="39" t="str">
        <f>IF(AND($B2014&gt;='111'!$N$11,$B2014&lt;='111'!$O$11,OR($L2014=$O$7,$M2014=$O$7)),"x","")</f>
        <v/>
      </c>
      <c r="P2014" s="39" t="str">
        <f>IF(AND($L2014=$O$7,$B2014&lt;'111'!$N$11),"x","")</f>
        <v/>
      </c>
      <c r="Q2014" s="39" t="str">
        <f>IF(AND($M2014=$O$7,$B2014&lt;'111'!$N$11),"x","")</f>
        <v/>
      </c>
      <c r="R2014" s="39" t="str">
        <f>IF(ISERROR(FIND('112'!$M$9,G2014,1)),"",IF((AND(FIND('112'!$M$9,G2014,1)&gt;=1,$B2014&gt;='112'!$N$8,$B2014&lt;='112'!$O$8,OR($L2014='112'!$I$6,$M2014='112'!$I$6))),"x",""))</f>
        <v/>
      </c>
      <c r="S2014" s="39" t="str">
        <f>IF(ISERROR(FIND('112'!$M$9,G2014,1)),"",IF((AND(LEFT(G2014,2)=LEFT('112'!$M$9,2),B2014&lt;'112'!$N$8,$L2014='112'!$I$6)),"x",""))</f>
        <v/>
      </c>
      <c r="T2014" s="39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39" t="str">
        <f>IF(OR(TH!L2014=TH!$V$7,M2014=TH!$V$7),"x","")</f>
        <v/>
      </c>
      <c r="W2014" s="39" t="str">
        <f>IF(AND(B2014&gt;='IN-NX'!$P$3,B2014&lt;='IN-NX'!$Q$3,'IN-NX'!$D$7=D2014,OR(LEFT(L2014,2)="15",AND(LEFT(M2014,2)&lt;&gt;"15",LEFT(M2014,2)&lt;&gt;"33"))),"x","")</f>
        <v/>
      </c>
      <c r="X2014" s="39" t="str">
        <f>IF(AND(OR(LEFT(TH!L2014,2)="15",LEFT(TH!M2014,2)="15"),'152-CT'!$J$8=TH!F2014),"x","")</f>
        <v/>
      </c>
      <c r="Y2014" s="39" t="str">
        <f>IF(AND(OR(LEFT(TH!L2014,2)="15",LEFT(TH!M2014,2)="15"),TK!$E$7=TH!F2014),"x","")</f>
        <v/>
      </c>
      <c r="Z2014" s="39" t="str">
        <f>IF(AND(B2014&lt;=NKC!$N$8,B2014&gt;=NKC!$M$8),"x","")</f>
        <v/>
      </c>
      <c r="AA2014" s="883"/>
    </row>
    <row r="2015" spans="1:27" s="211" customFormat="1" ht="15.75" customHeight="1">
      <c r="A2015" s="204" t="str">
        <f>IF(B2015&lt;&gt;"",IF(AND(B2015&gt;=_TM1,B2015&lt;=_TM2,OR(TH!L2015="1111",TH!M2015="1111")),TH!D2015,""),"")</f>
        <v/>
      </c>
      <c r="B2015" s="36">
        <f t="shared" si="476"/>
        <v>10</v>
      </c>
      <c r="C2015" s="191">
        <f t="shared" si="478"/>
        <v>41568</v>
      </c>
      <c r="D2015" s="37" t="s">
        <v>487</v>
      </c>
      <c r="E2015" s="191">
        <v>41568</v>
      </c>
      <c r="F2015" s="192" t="s">
        <v>968</v>
      </c>
      <c r="G2015" s="487" t="s">
        <v>965</v>
      </c>
      <c r="H2015" s="7" t="s">
        <v>1290</v>
      </c>
      <c r="I2015" s="256">
        <v>81</v>
      </c>
      <c r="J2015" s="256">
        <v>6411.3914266605943</v>
      </c>
      <c r="K2015" s="602">
        <f t="shared" si="477"/>
        <v>519323</v>
      </c>
      <c r="L2015" s="39" t="s">
        <v>173</v>
      </c>
      <c r="M2015" s="39" t="s">
        <v>167</v>
      </c>
      <c r="N2015" s="39" t="str">
        <f>IF(AND('331-CT'!$E$7=TH!H2015,OR(L2015="331",M2015="331")),"331",IF(AND(OR(L2015="131",M2015="131"),H2015='131-CT'!$E$7),"131",""))</f>
        <v/>
      </c>
      <c r="O2015" s="39" t="str">
        <f>IF(AND($B2015&gt;='111'!$N$11,$B2015&lt;='111'!$O$11,OR($L2015=$O$7,$M2015=$O$7)),"x","")</f>
        <v/>
      </c>
      <c r="P2015" s="39" t="str">
        <f>IF(AND($L2015=$O$7,$B2015&lt;'111'!$N$11),"x","")</f>
        <v/>
      </c>
      <c r="Q2015" s="39" t="str">
        <f>IF(AND($M2015=$O$7,$B2015&lt;'111'!$N$11),"x","")</f>
        <v/>
      </c>
      <c r="R2015" s="39" t="str">
        <f>IF(ISERROR(FIND('112'!$M$9,G2015,1)),"",IF((AND(FIND('112'!$M$9,G2015,1)&gt;=1,$B2015&gt;='112'!$N$8,$B2015&lt;='112'!$O$8,OR($L2015='112'!$I$6,$M2015='112'!$I$6))),"x",""))</f>
        <v/>
      </c>
      <c r="S2015" s="39" t="str">
        <f>IF(ISERROR(FIND('112'!$M$9,G2015,1)),"",IF((AND(LEFT(G2015,2)=LEFT('112'!$M$9,2),B2015&lt;'112'!$N$8,$L2015='112'!$I$6)),"x",""))</f>
        <v/>
      </c>
      <c r="T2015" s="39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39" t="str">
        <f>IF(OR(TH!L2015=TH!$V$7,M2015=TH!$V$7),"x","")</f>
        <v/>
      </c>
      <c r="W2015" s="39" t="str">
        <f>IF(AND(B2015&gt;='IN-NX'!$P$3,B2015&lt;='IN-NX'!$Q$3,'IN-NX'!$D$7=D2015,OR(LEFT(L2015,2)="15",AND(LEFT(M2015,2)&lt;&gt;"15",LEFT(M2015,2)&lt;&gt;"33"))),"x","")</f>
        <v/>
      </c>
      <c r="X2015" s="39" t="str">
        <f>IF(AND(OR(LEFT(TH!L2015,2)="15",LEFT(TH!M2015,2)="15"),'152-CT'!$J$8=TH!F2015),"x","")</f>
        <v/>
      </c>
      <c r="Y2015" s="39" t="str">
        <f>IF(AND(OR(LEFT(TH!L2015,2)="15",LEFT(TH!M2015,2)="15"),TK!$E$7=TH!F2015),"x","")</f>
        <v/>
      </c>
      <c r="Z2015" s="39" t="str">
        <f>IF(AND(B2015&lt;=NKC!$N$8,B2015&gt;=NKC!$M$8),"x","")</f>
        <v/>
      </c>
      <c r="AA2015" s="883"/>
    </row>
    <row r="2016" spans="1:27" s="211" customFormat="1" ht="15.75" customHeight="1">
      <c r="A2016" s="204" t="str">
        <f>IF(B2016&lt;&gt;"",IF(AND(B2016&gt;=_TM1,B2016&lt;=_TM2,OR(TH!L2016="1111",TH!M2016="1111")),TH!D2016,""),"")</f>
        <v/>
      </c>
      <c r="B2016" s="36">
        <f t="shared" si="476"/>
        <v>10</v>
      </c>
      <c r="C2016" s="191">
        <f t="shared" si="478"/>
        <v>41568</v>
      </c>
      <c r="D2016" s="37" t="s">
        <v>487</v>
      </c>
      <c r="E2016" s="191">
        <v>41568</v>
      </c>
      <c r="F2016" s="192" t="s">
        <v>969</v>
      </c>
      <c r="G2016" s="487" t="s">
        <v>970</v>
      </c>
      <c r="H2016" s="7" t="s">
        <v>1290</v>
      </c>
      <c r="I2016" s="256">
        <v>80</v>
      </c>
      <c r="J2016" s="256">
        <v>4676.6276920926921</v>
      </c>
      <c r="K2016" s="602">
        <f t="shared" si="477"/>
        <v>374130</v>
      </c>
      <c r="L2016" s="39" t="s">
        <v>173</v>
      </c>
      <c r="M2016" s="39" t="s">
        <v>167</v>
      </c>
      <c r="N2016" s="39" t="str">
        <f>IF(AND('331-CT'!$E$7=TH!H2016,OR(L2016="331",M2016="331")),"331",IF(AND(OR(L2016="131",M2016="131"),H2016='131-CT'!$E$7),"131",""))</f>
        <v/>
      </c>
      <c r="O2016" s="39" t="str">
        <f>IF(AND($B2016&gt;='111'!$N$11,$B2016&lt;='111'!$O$11,OR($L2016=$O$7,$M2016=$O$7)),"x","")</f>
        <v/>
      </c>
      <c r="P2016" s="39" t="str">
        <f>IF(AND($L2016=$O$7,$B2016&lt;'111'!$N$11),"x","")</f>
        <v/>
      </c>
      <c r="Q2016" s="39" t="str">
        <f>IF(AND($M2016=$O$7,$B2016&lt;'111'!$N$11),"x","")</f>
        <v/>
      </c>
      <c r="R2016" s="39" t="str">
        <f>IF(ISERROR(FIND('112'!$M$9,G2016,1)),"",IF((AND(FIND('112'!$M$9,G2016,1)&gt;=1,$B2016&gt;='112'!$N$8,$B2016&lt;='112'!$O$8,OR($L2016='112'!$I$6,$M2016='112'!$I$6))),"x",""))</f>
        <v/>
      </c>
      <c r="S2016" s="39" t="str">
        <f>IF(ISERROR(FIND('112'!$M$9,G2016,1)),"",IF((AND(LEFT(G2016,2)=LEFT('112'!$M$9,2),B2016&lt;'112'!$N$8,$L2016='112'!$I$6)),"x",""))</f>
        <v/>
      </c>
      <c r="T2016" s="39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39" t="str">
        <f>IF(OR(TH!L2016=TH!$V$7,M2016=TH!$V$7),"x","")</f>
        <v/>
      </c>
      <c r="W2016" s="39" t="str">
        <f>IF(AND(B2016&gt;='IN-NX'!$P$3,B2016&lt;='IN-NX'!$Q$3,'IN-NX'!$D$7=D2016,OR(LEFT(L2016,2)="15",AND(LEFT(M2016,2)&lt;&gt;"15",LEFT(M2016,2)&lt;&gt;"33"))),"x","")</f>
        <v/>
      </c>
      <c r="X2016" s="39" t="str">
        <f>IF(AND(OR(LEFT(TH!L2016,2)="15",LEFT(TH!M2016,2)="15"),'152-CT'!$J$8=TH!F2016),"x","")</f>
        <v/>
      </c>
      <c r="Y2016" s="39" t="str">
        <f>IF(AND(OR(LEFT(TH!L2016,2)="15",LEFT(TH!M2016,2)="15"),TK!$E$7=TH!F2016),"x","")</f>
        <v/>
      </c>
      <c r="Z2016" s="39" t="str">
        <f>IF(AND(B2016&lt;=NKC!$N$8,B2016&gt;=NKC!$M$8),"x","")</f>
        <v/>
      </c>
      <c r="AA2016" s="883"/>
    </row>
    <row r="2017" spans="1:27" s="211" customFormat="1" ht="15.75" customHeight="1">
      <c r="A2017" s="204" t="str">
        <f>IF(B2017&lt;&gt;"",IF(AND(B2017&gt;=_TM1,B2017&lt;=_TM2,OR(TH!L2017="1111",TH!M2017="1111")),TH!D2017,""),"")</f>
        <v/>
      </c>
      <c r="B2017" s="36">
        <f t="shared" si="476"/>
        <v>10</v>
      </c>
      <c r="C2017" s="191">
        <f t="shared" si="478"/>
        <v>41568</v>
      </c>
      <c r="D2017" s="37" t="s">
        <v>487</v>
      </c>
      <c r="E2017" s="773">
        <v>41568</v>
      </c>
      <c r="F2017" s="189" t="s">
        <v>971</v>
      </c>
      <c r="G2017" s="40" t="s">
        <v>970</v>
      </c>
      <c r="H2017" s="7" t="s">
        <v>1290</v>
      </c>
      <c r="I2017" s="256">
        <v>59</v>
      </c>
      <c r="J2017" s="256">
        <v>4642.1342598893016</v>
      </c>
      <c r="K2017" s="602">
        <f t="shared" si="477"/>
        <v>273886</v>
      </c>
      <c r="L2017" s="39" t="s">
        <v>173</v>
      </c>
      <c r="M2017" s="39" t="s">
        <v>167</v>
      </c>
      <c r="N2017" s="39" t="str">
        <f>IF(AND('331-CT'!$E$7=TH!H2017,OR(L2017="331",M2017="331")),"331",IF(AND(OR(L2017="131",M2017="131"),H2017='131-CT'!$E$7),"131",""))</f>
        <v/>
      </c>
      <c r="O2017" s="39" t="str">
        <f>IF(AND($B2017&gt;='111'!$N$11,$B2017&lt;='111'!$O$11,OR($L2017=$O$7,$M2017=$O$7)),"x","")</f>
        <v/>
      </c>
      <c r="P2017" s="39" t="str">
        <f>IF(AND($L2017=$O$7,$B2017&lt;'111'!$N$11),"x","")</f>
        <v/>
      </c>
      <c r="Q2017" s="39" t="str">
        <f>IF(AND($M2017=$O$7,$B2017&lt;'111'!$N$11),"x","")</f>
        <v/>
      </c>
      <c r="R2017" s="39" t="str">
        <f>IF(ISERROR(FIND('112'!$M$9,G2017,1)),"",IF((AND(FIND('112'!$M$9,G2017,1)&gt;=1,$B2017&gt;='112'!$N$8,$B2017&lt;='112'!$O$8,OR($L2017='112'!$I$6,$M2017='112'!$I$6))),"x",""))</f>
        <v/>
      </c>
      <c r="S2017" s="39" t="str">
        <f>IF(ISERROR(FIND('112'!$M$9,G2017,1)),"",IF((AND(LEFT(G2017,2)=LEFT('112'!$M$9,2),B2017&lt;'112'!$N$8,$L2017='112'!$I$6)),"x",""))</f>
        <v/>
      </c>
      <c r="T2017" s="39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39" t="str">
        <f>IF(OR(TH!L2017=TH!$V$7,M2017=TH!$V$7),"x","")</f>
        <v/>
      </c>
      <c r="W2017" s="39" t="str">
        <f>IF(AND(B2017&gt;='IN-NX'!$P$3,B2017&lt;='IN-NX'!$Q$3,'IN-NX'!$D$7=D2017,OR(LEFT(L2017,2)="15",AND(LEFT(M2017,2)&lt;&gt;"15",LEFT(M2017,2)&lt;&gt;"33"))),"x","")</f>
        <v/>
      </c>
      <c r="X2017" s="39" t="str">
        <f>IF(AND(OR(LEFT(TH!L2017,2)="15",LEFT(TH!M2017,2)="15"),'152-CT'!$J$8=TH!F2017),"x","")</f>
        <v/>
      </c>
      <c r="Y2017" s="39" t="str">
        <f>IF(AND(OR(LEFT(TH!L2017,2)="15",LEFT(TH!M2017,2)="15"),TK!$E$7=TH!F2017),"x","")</f>
        <v/>
      </c>
      <c r="Z2017" s="39" t="str">
        <f>IF(AND(B2017&lt;=NKC!$N$8,B2017&gt;=NKC!$M$8),"x","")</f>
        <v/>
      </c>
      <c r="AA2017" s="883"/>
    </row>
    <row r="2018" spans="1:27" s="211" customFormat="1" ht="15.75" customHeight="1">
      <c r="A2018" s="204" t="str">
        <f>IF(B2018&lt;&gt;"",IF(AND(B2018&gt;=_TM1,B2018&lt;=_TM2,OR(TH!L2018="1111",TH!M2018="1111")),TH!D2018,""),"")</f>
        <v/>
      </c>
      <c r="B2018" s="36">
        <f t="shared" si="476"/>
        <v>10</v>
      </c>
      <c r="C2018" s="191">
        <f t="shared" si="478"/>
        <v>41568</v>
      </c>
      <c r="D2018" s="37" t="s">
        <v>487</v>
      </c>
      <c r="E2018" s="773">
        <v>41568</v>
      </c>
      <c r="F2018" s="297" t="s">
        <v>972</v>
      </c>
      <c r="G2018" s="40" t="s">
        <v>970</v>
      </c>
      <c r="H2018" s="7" t="s">
        <v>1290</v>
      </c>
      <c r="I2018" s="256">
        <v>80</v>
      </c>
      <c r="J2018" s="256">
        <v>6479.7401920926914</v>
      </c>
      <c r="K2018" s="602">
        <f t="shared" si="477"/>
        <v>518379</v>
      </c>
      <c r="L2018" s="39" t="s">
        <v>173</v>
      </c>
      <c r="M2018" s="39" t="s">
        <v>167</v>
      </c>
      <c r="N2018" s="39" t="str">
        <f>IF(AND('331-CT'!$E$7=TH!H2018,OR(L2018="331",M2018="331")),"331",IF(AND(OR(L2018="131",M2018="131"),H2018='131-CT'!$E$7),"131",""))</f>
        <v/>
      </c>
      <c r="O2018" s="39" t="str">
        <f>IF(AND($B2018&gt;='111'!$N$11,$B2018&lt;='111'!$O$11,OR($L2018=$O$7,$M2018=$O$7)),"x","")</f>
        <v/>
      </c>
      <c r="P2018" s="39" t="str">
        <f>IF(AND($L2018=$O$7,$B2018&lt;'111'!$N$11),"x","")</f>
        <v/>
      </c>
      <c r="Q2018" s="39" t="str">
        <f>IF(AND($M2018=$O$7,$B2018&lt;'111'!$N$11),"x","")</f>
        <v/>
      </c>
      <c r="R2018" s="39" t="str">
        <f>IF(ISERROR(FIND('112'!$M$9,G2018,1)),"",IF((AND(FIND('112'!$M$9,G2018,1)&gt;=1,$B2018&gt;='112'!$N$8,$B2018&lt;='112'!$O$8,OR($L2018='112'!$I$6,$M2018='112'!$I$6))),"x",""))</f>
        <v/>
      </c>
      <c r="S2018" s="39" t="str">
        <f>IF(ISERROR(FIND('112'!$M$9,G2018,1)),"",IF((AND(LEFT(G2018,2)=LEFT('112'!$M$9,2),B2018&lt;'112'!$N$8,$L2018='112'!$I$6)),"x",""))</f>
        <v/>
      </c>
      <c r="T2018" s="39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39" t="str">
        <f>IF(OR(TH!L2018=TH!$V$7,M2018=TH!$V$7),"x","")</f>
        <v/>
      </c>
      <c r="W2018" s="39" t="str">
        <f>IF(AND(B2018&gt;='IN-NX'!$P$3,B2018&lt;='IN-NX'!$Q$3,'IN-NX'!$D$7=D2018,OR(LEFT(L2018,2)="15",AND(LEFT(M2018,2)&lt;&gt;"15",LEFT(M2018,2)&lt;&gt;"33"))),"x","")</f>
        <v/>
      </c>
      <c r="X2018" s="39" t="str">
        <f>IF(AND(OR(LEFT(TH!L2018,2)="15",LEFT(TH!M2018,2)="15"),'152-CT'!$J$8=TH!F2018),"x","")</f>
        <v/>
      </c>
      <c r="Y2018" s="39" t="str">
        <f>IF(AND(OR(LEFT(TH!L2018,2)="15",LEFT(TH!M2018,2)="15"),TK!$E$7=TH!F2018),"x","")</f>
        <v/>
      </c>
      <c r="Z2018" s="39" t="str">
        <f>IF(AND(B2018&lt;=NKC!$N$8,B2018&gt;=NKC!$M$8),"x","")</f>
        <v/>
      </c>
      <c r="AA2018" s="883"/>
    </row>
    <row r="2019" spans="1:27" s="211" customFormat="1" ht="15.75" customHeight="1">
      <c r="A2019" s="204" t="str">
        <f>IF(B2019&lt;&gt;"",IF(AND(B2019&gt;=_TM1,B2019&lt;=_TM2,OR(TH!L2019="1111",TH!M2019="1111")),TH!D2019,""),"")</f>
        <v/>
      </c>
      <c r="B2019" s="36">
        <f t="shared" si="476"/>
        <v>10</v>
      </c>
      <c r="C2019" s="191">
        <f t="shared" si="478"/>
        <v>41568</v>
      </c>
      <c r="D2019" s="37" t="s">
        <v>487</v>
      </c>
      <c r="E2019" s="773">
        <v>41568</v>
      </c>
      <c r="F2019" s="189" t="s">
        <v>973</v>
      </c>
      <c r="G2019" s="40" t="s">
        <v>970</v>
      </c>
      <c r="H2019" s="7" t="s">
        <v>1290</v>
      </c>
      <c r="I2019" s="256">
        <v>15</v>
      </c>
      <c r="J2019" s="256">
        <v>9328.4901920926932</v>
      </c>
      <c r="K2019" s="602">
        <f t="shared" si="477"/>
        <v>139927</v>
      </c>
      <c r="L2019" s="39" t="s">
        <v>173</v>
      </c>
      <c r="M2019" s="39" t="s">
        <v>167</v>
      </c>
      <c r="N2019" s="39" t="str">
        <f>IF(AND('331-CT'!$E$7=TH!H2019,OR(L2019="331",M2019="331")),"331",IF(AND(OR(L2019="131",M2019="131"),H2019='131-CT'!$E$7),"131",""))</f>
        <v/>
      </c>
      <c r="O2019" s="39" t="str">
        <f>IF(AND($B2019&gt;='111'!$N$11,$B2019&lt;='111'!$O$11,OR($L2019=$O$7,$M2019=$O$7)),"x","")</f>
        <v/>
      </c>
      <c r="P2019" s="39" t="str">
        <f>IF(AND($L2019=$O$7,$B2019&lt;'111'!$N$11),"x","")</f>
        <v/>
      </c>
      <c r="Q2019" s="39" t="str">
        <f>IF(AND($M2019=$O$7,$B2019&lt;'111'!$N$11),"x","")</f>
        <v/>
      </c>
      <c r="R2019" s="39" t="str">
        <f>IF(ISERROR(FIND('112'!$M$9,G2019,1)),"",IF((AND(FIND('112'!$M$9,G2019,1)&gt;=1,$B2019&gt;='112'!$N$8,$B2019&lt;='112'!$O$8,OR($L2019='112'!$I$6,$M2019='112'!$I$6))),"x",""))</f>
        <v/>
      </c>
      <c r="S2019" s="39" t="str">
        <f>IF(ISERROR(FIND('112'!$M$9,G2019,1)),"",IF((AND(LEFT(G2019,2)=LEFT('112'!$M$9,2),B2019&lt;'112'!$N$8,$L2019='112'!$I$6)),"x",""))</f>
        <v/>
      </c>
      <c r="T2019" s="39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39" t="str">
        <f>IF(OR(TH!L2019=TH!$V$7,M2019=TH!$V$7),"x","")</f>
        <v/>
      </c>
      <c r="W2019" s="39" t="str">
        <f>IF(AND(B2019&gt;='IN-NX'!$P$3,B2019&lt;='IN-NX'!$Q$3,'IN-NX'!$D$7=D2019,OR(LEFT(L2019,2)="15",AND(LEFT(M2019,2)&lt;&gt;"15",LEFT(M2019,2)&lt;&gt;"33"))),"x","")</f>
        <v/>
      </c>
      <c r="X2019" s="39" t="str">
        <f>IF(AND(OR(LEFT(TH!L2019,2)="15",LEFT(TH!M2019,2)="15"),'152-CT'!$J$8=TH!F2019),"x","")</f>
        <v/>
      </c>
      <c r="Y2019" s="39" t="str">
        <f>IF(AND(OR(LEFT(TH!L2019,2)="15",LEFT(TH!M2019,2)="15"),TK!$E$7=TH!F2019),"x","")</f>
        <v/>
      </c>
      <c r="Z2019" s="39" t="str">
        <f>IF(AND(B2019&lt;=NKC!$N$8,B2019&gt;=NKC!$M$8),"x","")</f>
        <v/>
      </c>
      <c r="AA2019" s="883"/>
    </row>
    <row r="2020" spans="1:27" s="211" customFormat="1" ht="15.75" customHeight="1">
      <c r="A2020" s="204" t="str">
        <f>IF(B2020&lt;&gt;"",IF(AND(B2020&gt;=_TM1,B2020&lt;=_TM2,OR(TH!L2020="1111",TH!M2020="1111")),TH!D2020,""),"")</f>
        <v/>
      </c>
      <c r="B2020" s="36">
        <f t="shared" si="476"/>
        <v>10</v>
      </c>
      <c r="C2020" s="191">
        <f t="shared" si="478"/>
        <v>41568</v>
      </c>
      <c r="D2020" s="37" t="s">
        <v>487</v>
      </c>
      <c r="E2020" s="773">
        <v>41568</v>
      </c>
      <c r="F2020" s="40" t="s">
        <v>974</v>
      </c>
      <c r="G2020" s="40" t="s">
        <v>970</v>
      </c>
      <c r="H2020" s="7" t="s">
        <v>1290</v>
      </c>
      <c r="I2020" s="256">
        <v>21</v>
      </c>
      <c r="J2020" s="256">
        <v>10823.490192092693</v>
      </c>
      <c r="K2020" s="602">
        <f t="shared" si="477"/>
        <v>227293</v>
      </c>
      <c r="L2020" s="39" t="s">
        <v>173</v>
      </c>
      <c r="M2020" s="39" t="s">
        <v>167</v>
      </c>
      <c r="N2020" s="39" t="str">
        <f>IF(AND('331-CT'!$E$7=TH!H2020,OR(L2020="331",M2020="331")),"331",IF(AND(OR(L2020="131",M2020="131"),H2020='131-CT'!$E$7),"131",""))</f>
        <v/>
      </c>
      <c r="O2020" s="39" t="str">
        <f>IF(AND($B2020&gt;='111'!$N$11,$B2020&lt;='111'!$O$11,OR($L2020=$O$7,$M2020=$O$7)),"x","")</f>
        <v/>
      </c>
      <c r="P2020" s="39" t="str">
        <f>IF(AND($L2020=$O$7,$B2020&lt;'111'!$N$11),"x","")</f>
        <v/>
      </c>
      <c r="Q2020" s="39" t="str">
        <f>IF(AND($M2020=$O$7,$B2020&lt;'111'!$N$11),"x","")</f>
        <v/>
      </c>
      <c r="R2020" s="39" t="str">
        <f>IF(ISERROR(FIND('112'!$M$9,G2020,1)),"",IF((AND(FIND('112'!$M$9,G2020,1)&gt;=1,$B2020&gt;='112'!$N$8,$B2020&lt;='112'!$O$8,OR($L2020='112'!$I$6,$M2020='112'!$I$6))),"x",""))</f>
        <v/>
      </c>
      <c r="S2020" s="39" t="str">
        <f>IF(ISERROR(FIND('112'!$M$9,G2020,1)),"",IF((AND(LEFT(G2020,2)=LEFT('112'!$M$9,2),B2020&lt;'112'!$N$8,$L2020='112'!$I$6)),"x",""))</f>
        <v/>
      </c>
      <c r="T2020" s="39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39" t="str">
        <f>IF(OR(TH!L2020=TH!$V$7,M2020=TH!$V$7),"x","")</f>
        <v/>
      </c>
      <c r="W2020" s="39" t="str">
        <f>IF(AND(B2020&gt;='IN-NX'!$P$3,B2020&lt;='IN-NX'!$Q$3,'IN-NX'!$D$7=D2020,OR(LEFT(L2020,2)="15",AND(LEFT(M2020,2)&lt;&gt;"15",LEFT(M2020,2)&lt;&gt;"33"))),"x","")</f>
        <v/>
      </c>
      <c r="X2020" s="39" t="str">
        <f>IF(AND(OR(LEFT(TH!L2020,2)="15",LEFT(TH!M2020,2)="15"),'152-CT'!$J$8=TH!F2020),"x","")</f>
        <v/>
      </c>
      <c r="Y2020" s="39" t="str">
        <f>IF(AND(OR(LEFT(TH!L2020,2)="15",LEFT(TH!M2020,2)="15"),TK!$E$7=TH!F2020),"x","")</f>
        <v/>
      </c>
      <c r="Z2020" s="39" t="str">
        <f>IF(AND(B2020&lt;=NKC!$N$8,B2020&gt;=NKC!$M$8),"x","")</f>
        <v/>
      </c>
      <c r="AA2020" s="883"/>
    </row>
    <row r="2021" spans="1:27" s="211" customFormat="1" ht="15.75" customHeight="1">
      <c r="A2021" s="204" t="str">
        <f>IF(B2021&lt;&gt;"",IF(AND(B2021&gt;=_TM1,B2021&lt;=_TM2,OR(TH!L2021="1111",TH!M2021="1111")),TH!D2021,""),"")</f>
        <v/>
      </c>
      <c r="B2021" s="36">
        <f t="shared" si="476"/>
        <v>10</v>
      </c>
      <c r="C2021" s="191">
        <f t="shared" si="478"/>
        <v>41568</v>
      </c>
      <c r="D2021" s="37" t="s">
        <v>487</v>
      </c>
      <c r="E2021" s="773">
        <v>41568</v>
      </c>
      <c r="F2021" s="189" t="s">
        <v>975</v>
      </c>
      <c r="G2021" s="40" t="s">
        <v>970</v>
      </c>
      <c r="H2021" s="7" t="s">
        <v>1290</v>
      </c>
      <c r="I2021" s="256">
        <v>8</v>
      </c>
      <c r="J2021" s="256">
        <v>9328.4901920926932</v>
      </c>
      <c r="K2021" s="602">
        <f t="shared" si="477"/>
        <v>74628</v>
      </c>
      <c r="L2021" s="39" t="s">
        <v>173</v>
      </c>
      <c r="M2021" s="39" t="s">
        <v>167</v>
      </c>
      <c r="N2021" s="39" t="str">
        <f>IF(AND('331-CT'!$E$7=TH!H2021,OR(L2021="331",M2021="331")),"331",IF(AND(OR(L2021="131",M2021="131"),H2021='131-CT'!$E$7),"131",""))</f>
        <v/>
      </c>
      <c r="O2021" s="39" t="str">
        <f>IF(AND($B2021&gt;='111'!$N$11,$B2021&lt;='111'!$O$11,OR($L2021=$O$7,$M2021=$O$7)),"x","")</f>
        <v/>
      </c>
      <c r="P2021" s="39" t="str">
        <f>IF(AND($L2021=$O$7,$B2021&lt;'111'!$N$11),"x","")</f>
        <v/>
      </c>
      <c r="Q2021" s="39" t="str">
        <f>IF(AND($M2021=$O$7,$B2021&lt;'111'!$N$11),"x","")</f>
        <v/>
      </c>
      <c r="R2021" s="39" t="str">
        <f>IF(ISERROR(FIND('112'!$M$9,G2021,1)),"",IF((AND(FIND('112'!$M$9,G2021,1)&gt;=1,$B2021&gt;='112'!$N$8,$B2021&lt;='112'!$O$8,OR($L2021='112'!$I$6,$M2021='112'!$I$6))),"x",""))</f>
        <v/>
      </c>
      <c r="S2021" s="39" t="str">
        <f>IF(ISERROR(FIND('112'!$M$9,G2021,1)),"",IF((AND(LEFT(G2021,2)=LEFT('112'!$M$9,2),B2021&lt;'112'!$N$8,$L2021='112'!$I$6)),"x",""))</f>
        <v/>
      </c>
      <c r="T2021" s="39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39" t="str">
        <f>IF(OR(TH!L2021=TH!$V$7,M2021=TH!$V$7),"x","")</f>
        <v/>
      </c>
      <c r="W2021" s="39" t="str">
        <f>IF(AND(B2021&gt;='IN-NX'!$P$3,B2021&lt;='IN-NX'!$Q$3,'IN-NX'!$D$7=D2021,OR(LEFT(L2021,2)="15",AND(LEFT(M2021,2)&lt;&gt;"15",LEFT(M2021,2)&lt;&gt;"33"))),"x","")</f>
        <v/>
      </c>
      <c r="X2021" s="39" t="str">
        <f>IF(AND(OR(LEFT(TH!L2021,2)="15",LEFT(TH!M2021,2)="15"),'152-CT'!$J$8=TH!F2021),"x","")</f>
        <v/>
      </c>
      <c r="Y2021" s="39" t="str">
        <f>IF(AND(OR(LEFT(TH!L2021,2)="15",LEFT(TH!M2021,2)="15"),TK!$E$7=TH!F2021),"x","")</f>
        <v/>
      </c>
      <c r="Z2021" s="39" t="str">
        <f>IF(AND(B2021&lt;=NKC!$N$8,B2021&gt;=NKC!$M$8),"x","")</f>
        <v/>
      </c>
      <c r="AA2021" s="883"/>
    </row>
    <row r="2022" spans="1:27" s="211" customFormat="1" ht="15.75" customHeight="1">
      <c r="A2022" s="204" t="str">
        <f>IF(B2022&lt;&gt;"",IF(AND(B2022&gt;=_TM1,B2022&lt;=_TM2,OR(TH!L2022="1111",TH!M2022="1111")),TH!D2022,""),"")</f>
        <v/>
      </c>
      <c r="B2022" s="36">
        <f t="shared" si="476"/>
        <v>10</v>
      </c>
      <c r="C2022" s="191">
        <f t="shared" si="478"/>
        <v>41568</v>
      </c>
      <c r="D2022" s="37" t="s">
        <v>487</v>
      </c>
      <c r="E2022" s="773">
        <v>41568</v>
      </c>
      <c r="F2022" s="189" t="s">
        <v>976</v>
      </c>
      <c r="G2022" s="40" t="s">
        <v>970</v>
      </c>
      <c r="H2022" s="7" t="s">
        <v>1290</v>
      </c>
      <c r="I2022" s="256">
        <v>10</v>
      </c>
      <c r="J2022" s="256">
        <v>10898.490192092691</v>
      </c>
      <c r="K2022" s="602">
        <f t="shared" si="477"/>
        <v>108985</v>
      </c>
      <c r="L2022" s="39" t="s">
        <v>173</v>
      </c>
      <c r="M2022" s="39" t="s">
        <v>167</v>
      </c>
      <c r="N2022" s="39" t="str">
        <f>IF(AND('331-CT'!$E$7=TH!H2022,OR(L2022="331",M2022="331")),"331",IF(AND(OR(L2022="131",M2022="131"),H2022='131-CT'!$E$7),"131",""))</f>
        <v/>
      </c>
      <c r="O2022" s="39" t="str">
        <f>IF(AND($B2022&gt;='111'!$N$11,$B2022&lt;='111'!$O$11,OR($L2022=$O$7,$M2022=$O$7)),"x","")</f>
        <v/>
      </c>
      <c r="P2022" s="39" t="str">
        <f>IF(AND($L2022=$O$7,$B2022&lt;'111'!$N$11),"x","")</f>
        <v/>
      </c>
      <c r="Q2022" s="39" t="str">
        <f>IF(AND($M2022=$O$7,$B2022&lt;'111'!$N$11),"x","")</f>
        <v/>
      </c>
      <c r="R2022" s="39" t="str">
        <f>IF(ISERROR(FIND('112'!$M$9,G2022,1)),"",IF((AND(FIND('112'!$M$9,G2022,1)&gt;=1,$B2022&gt;='112'!$N$8,$B2022&lt;='112'!$O$8,OR($L2022='112'!$I$6,$M2022='112'!$I$6))),"x",""))</f>
        <v/>
      </c>
      <c r="S2022" s="39" t="str">
        <f>IF(ISERROR(FIND('112'!$M$9,G2022,1)),"",IF((AND(LEFT(G2022,2)=LEFT('112'!$M$9,2),B2022&lt;'112'!$N$8,$L2022='112'!$I$6)),"x",""))</f>
        <v/>
      </c>
      <c r="T2022" s="39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39" t="str">
        <f>IF(OR(TH!L2022=TH!$V$7,M2022=TH!$V$7),"x","")</f>
        <v/>
      </c>
      <c r="W2022" s="39" t="str">
        <f>IF(AND(B2022&gt;='IN-NX'!$P$3,B2022&lt;='IN-NX'!$Q$3,'IN-NX'!$D$7=D2022,OR(LEFT(L2022,2)="15",AND(LEFT(M2022,2)&lt;&gt;"15",LEFT(M2022,2)&lt;&gt;"33"))),"x","")</f>
        <v/>
      </c>
      <c r="X2022" s="39" t="str">
        <f>IF(AND(OR(LEFT(TH!L2022,2)="15",LEFT(TH!M2022,2)="15"),'152-CT'!$J$8=TH!F2022),"x","")</f>
        <v/>
      </c>
      <c r="Y2022" s="39" t="str">
        <f>IF(AND(OR(LEFT(TH!L2022,2)="15",LEFT(TH!M2022,2)="15"),TK!$E$7=TH!F2022),"x","")</f>
        <v/>
      </c>
      <c r="Z2022" s="39" t="str">
        <f>IF(AND(B2022&lt;=NKC!$N$8,B2022&gt;=NKC!$M$8),"x","")</f>
        <v/>
      </c>
      <c r="AA2022" s="883"/>
    </row>
    <row r="2023" spans="1:27" s="211" customFormat="1" ht="15.75" customHeight="1">
      <c r="A2023" s="204" t="str">
        <f>IF(B2023&lt;&gt;"",IF(AND(B2023&gt;=_TM1,B2023&lt;=_TM2,OR(TH!L2023="1111",TH!M2023="1111")),TH!D2023,""),"")</f>
        <v/>
      </c>
      <c r="B2023" s="36">
        <f t="shared" si="476"/>
        <v>10</v>
      </c>
      <c r="C2023" s="191">
        <f t="shared" si="478"/>
        <v>41568</v>
      </c>
      <c r="D2023" s="37" t="s">
        <v>487</v>
      </c>
      <c r="E2023" s="773">
        <v>41568</v>
      </c>
      <c r="F2023" s="189" t="s">
        <v>977</v>
      </c>
      <c r="G2023" s="40" t="s">
        <v>970</v>
      </c>
      <c r="H2023" s="7" t="s">
        <v>1290</v>
      </c>
      <c r="I2023" s="256">
        <v>10</v>
      </c>
      <c r="J2023" s="256">
        <v>15308.99019209269</v>
      </c>
      <c r="K2023" s="602">
        <f t="shared" si="477"/>
        <v>153090</v>
      </c>
      <c r="L2023" s="39" t="s">
        <v>173</v>
      </c>
      <c r="M2023" s="39" t="s">
        <v>167</v>
      </c>
      <c r="N2023" s="39" t="str">
        <f>IF(AND('331-CT'!$E$7=TH!H2023,OR(L2023="331",M2023="331")),"331",IF(AND(OR(L2023="131",M2023="131"),H2023='131-CT'!$E$7),"131",""))</f>
        <v/>
      </c>
      <c r="O2023" s="39" t="str">
        <f>IF(AND($B2023&gt;='111'!$N$11,$B2023&lt;='111'!$O$11,OR($L2023=$O$7,$M2023=$O$7)),"x","")</f>
        <v/>
      </c>
      <c r="P2023" s="39" t="str">
        <f>IF(AND($L2023=$O$7,$B2023&lt;'111'!$N$11),"x","")</f>
        <v/>
      </c>
      <c r="Q2023" s="39" t="str">
        <f>IF(AND($M2023=$O$7,$B2023&lt;'111'!$N$11),"x","")</f>
        <v/>
      </c>
      <c r="R2023" s="39" t="str">
        <f>IF(ISERROR(FIND('112'!$M$9,G2023,1)),"",IF((AND(FIND('112'!$M$9,G2023,1)&gt;=1,$B2023&gt;='112'!$N$8,$B2023&lt;='112'!$O$8,OR($L2023='112'!$I$6,$M2023='112'!$I$6))),"x",""))</f>
        <v/>
      </c>
      <c r="S2023" s="39" t="str">
        <f>IF(ISERROR(FIND('112'!$M$9,G2023,1)),"",IF((AND(LEFT(G2023,2)=LEFT('112'!$M$9,2),B2023&lt;'112'!$N$8,$L2023='112'!$I$6)),"x",""))</f>
        <v/>
      </c>
      <c r="T2023" s="39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39" t="str">
        <f>IF(OR(TH!L2023=TH!$V$7,M2023=TH!$V$7),"x","")</f>
        <v/>
      </c>
      <c r="W2023" s="39" t="str">
        <f>IF(AND(B2023&gt;='IN-NX'!$P$3,B2023&lt;='IN-NX'!$Q$3,'IN-NX'!$D$7=D2023,OR(LEFT(L2023,2)="15",AND(LEFT(M2023,2)&lt;&gt;"15",LEFT(M2023,2)&lt;&gt;"33"))),"x","")</f>
        <v/>
      </c>
      <c r="X2023" s="39" t="str">
        <f>IF(AND(OR(LEFT(TH!L2023,2)="15",LEFT(TH!M2023,2)="15"),'152-CT'!$J$8=TH!F2023),"x","")</f>
        <v/>
      </c>
      <c r="Y2023" s="39" t="str">
        <f>IF(AND(OR(LEFT(TH!L2023,2)="15",LEFT(TH!M2023,2)="15"),TK!$E$7=TH!F2023),"x","")</f>
        <v/>
      </c>
      <c r="Z2023" s="39" t="str">
        <f>IF(AND(B2023&lt;=NKC!$N$8,B2023&gt;=NKC!$M$8),"x","")</f>
        <v/>
      </c>
      <c r="AA2023" s="883"/>
    </row>
    <row r="2024" spans="1:27" s="211" customFormat="1" ht="15.75" customHeight="1">
      <c r="A2024" s="204" t="str">
        <f>IF(B2024&lt;&gt;"",IF(AND(B2024&gt;=_TM1,B2024&lt;=_TM2,OR(TH!L2024="1111",TH!M2024="1111")),TH!D2024,""),"")</f>
        <v/>
      </c>
      <c r="B2024" s="36">
        <f t="shared" ref="B2024:B2087" si="479">IF(C2024&lt;&gt;"",MONTH(C2024),"")</f>
        <v>10</v>
      </c>
      <c r="C2024" s="191">
        <f t="shared" si="478"/>
        <v>41568</v>
      </c>
      <c r="D2024" s="37" t="s">
        <v>487</v>
      </c>
      <c r="E2024" s="773">
        <v>41568</v>
      </c>
      <c r="F2024" s="189" t="s">
        <v>978</v>
      </c>
      <c r="G2024" s="40" t="s">
        <v>979</v>
      </c>
      <c r="H2024" s="7" t="s">
        <v>1290</v>
      </c>
      <c r="I2024" s="256">
        <v>62</v>
      </c>
      <c r="J2024" s="256">
        <v>6978.6514824152728</v>
      </c>
      <c r="K2024" s="602">
        <f t="shared" si="477"/>
        <v>432676</v>
      </c>
      <c r="L2024" s="39" t="s">
        <v>173</v>
      </c>
      <c r="M2024" s="39" t="s">
        <v>167</v>
      </c>
      <c r="N2024" s="39" t="str">
        <f>IF(AND('331-CT'!$E$7=TH!H2024,OR(L2024="331",M2024="331")),"331",IF(AND(OR(L2024="131",M2024="131"),H2024='131-CT'!$E$7),"131",""))</f>
        <v/>
      </c>
      <c r="O2024" s="39" t="str">
        <f>IF(AND($B2024&gt;='111'!$N$11,$B2024&lt;='111'!$O$11,OR($L2024=$O$7,$M2024=$O$7)),"x","")</f>
        <v/>
      </c>
      <c r="P2024" s="39" t="str">
        <f>IF(AND($L2024=$O$7,$B2024&lt;'111'!$N$11),"x","")</f>
        <v/>
      </c>
      <c r="Q2024" s="39" t="str">
        <f>IF(AND($M2024=$O$7,$B2024&lt;'111'!$N$11),"x","")</f>
        <v/>
      </c>
      <c r="R2024" s="39" t="str">
        <f>IF(ISERROR(FIND('112'!$M$9,G2024,1)),"",IF((AND(FIND('112'!$M$9,G2024,1)&gt;=1,$B2024&gt;='112'!$N$8,$B2024&lt;='112'!$O$8,OR($L2024='112'!$I$6,$M2024='112'!$I$6))),"x",""))</f>
        <v/>
      </c>
      <c r="S2024" s="39" t="str">
        <f>IF(ISERROR(FIND('112'!$M$9,G2024,1)),"",IF((AND(LEFT(G2024,2)=LEFT('112'!$M$9,2),B2024&lt;'112'!$N$8,$L2024='112'!$I$6)),"x",""))</f>
        <v/>
      </c>
      <c r="T2024" s="39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39" t="str">
        <f>IF(OR(TH!L2024=TH!$V$7,M2024=TH!$V$7),"x","")</f>
        <v/>
      </c>
      <c r="W2024" s="39" t="str">
        <f>IF(AND(B2024&gt;='IN-NX'!$P$3,B2024&lt;='IN-NX'!$Q$3,'IN-NX'!$D$7=D2024,OR(LEFT(L2024,2)="15",AND(LEFT(M2024,2)&lt;&gt;"15",LEFT(M2024,2)&lt;&gt;"33"))),"x","")</f>
        <v/>
      </c>
      <c r="X2024" s="39" t="str">
        <f>IF(AND(OR(LEFT(TH!L2024,2)="15",LEFT(TH!M2024,2)="15"),'152-CT'!$J$8=TH!F2024),"x","")</f>
        <v/>
      </c>
      <c r="Y2024" s="39" t="str">
        <f>IF(AND(OR(LEFT(TH!L2024,2)="15",LEFT(TH!M2024,2)="15"),TK!$E$7=TH!F2024),"x","")</f>
        <v/>
      </c>
      <c r="Z2024" s="39" t="str">
        <f>IF(AND(B2024&lt;=NKC!$N$8,B2024&gt;=NKC!$M$8),"x","")</f>
        <v/>
      </c>
      <c r="AA2024" s="883"/>
    </row>
    <row r="2025" spans="1:27" s="211" customFormat="1" ht="15.75" customHeight="1">
      <c r="A2025" s="204" t="str">
        <f>IF(B2025&lt;&gt;"",IF(AND(B2025&gt;=_TM1,B2025&lt;=_TM2,OR(TH!L2025="1111",TH!M2025="1111")),TH!D2025,""),"")</f>
        <v/>
      </c>
      <c r="B2025" s="36">
        <f t="shared" si="479"/>
        <v>10</v>
      </c>
      <c r="C2025" s="191">
        <f t="shared" si="478"/>
        <v>41568</v>
      </c>
      <c r="D2025" s="37" t="s">
        <v>487</v>
      </c>
      <c r="E2025" s="191">
        <v>41568</v>
      </c>
      <c r="F2025" s="192" t="s">
        <v>980</v>
      </c>
      <c r="G2025" s="487" t="s">
        <v>981</v>
      </c>
      <c r="H2025" s="7" t="s">
        <v>1290</v>
      </c>
      <c r="I2025" s="256">
        <v>50</v>
      </c>
      <c r="J2025" s="256">
        <v>12435.890192092693</v>
      </c>
      <c r="K2025" s="602">
        <f t="shared" si="477"/>
        <v>621795</v>
      </c>
      <c r="L2025" s="39" t="s">
        <v>173</v>
      </c>
      <c r="M2025" s="39" t="s">
        <v>167</v>
      </c>
      <c r="N2025" s="39" t="str">
        <f>IF(AND('331-CT'!$E$7=TH!H2025,OR(L2025="331",M2025="331")),"331",IF(AND(OR(L2025="131",M2025="131"),H2025='131-CT'!$E$7),"131",""))</f>
        <v/>
      </c>
      <c r="O2025" s="39" t="str">
        <f>IF(AND($B2025&gt;='111'!$N$11,$B2025&lt;='111'!$O$11,OR($L2025=$O$7,$M2025=$O$7)),"x","")</f>
        <v/>
      </c>
      <c r="P2025" s="39" t="str">
        <f>IF(AND($L2025=$O$7,$B2025&lt;'111'!$N$11),"x","")</f>
        <v/>
      </c>
      <c r="Q2025" s="39" t="str">
        <f>IF(AND($M2025=$O$7,$B2025&lt;'111'!$N$11),"x","")</f>
        <v/>
      </c>
      <c r="R2025" s="39" t="str">
        <f>IF(ISERROR(FIND('112'!$M$9,G2025,1)),"",IF((AND(FIND('112'!$M$9,G2025,1)&gt;=1,$B2025&gt;='112'!$N$8,$B2025&lt;='112'!$O$8,OR($L2025='112'!$I$6,$M2025='112'!$I$6))),"x",""))</f>
        <v/>
      </c>
      <c r="S2025" s="39" t="str">
        <f>IF(ISERROR(FIND('112'!$M$9,G2025,1)),"",IF((AND(LEFT(G2025,2)=LEFT('112'!$M$9,2),B2025&lt;'112'!$N$8,$L2025='112'!$I$6)),"x",""))</f>
        <v/>
      </c>
      <c r="T2025" s="39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39" t="str">
        <f>IF(OR(TH!L2025=TH!$V$7,M2025=TH!$V$7),"x","")</f>
        <v/>
      </c>
      <c r="W2025" s="39" t="str">
        <f>IF(AND(B2025&gt;='IN-NX'!$P$3,B2025&lt;='IN-NX'!$Q$3,'IN-NX'!$D$7=D2025,OR(LEFT(L2025,2)="15",AND(LEFT(M2025,2)&lt;&gt;"15",LEFT(M2025,2)&lt;&gt;"33"))),"x","")</f>
        <v/>
      </c>
      <c r="X2025" s="39" t="str">
        <f>IF(AND(OR(LEFT(TH!L2025,2)="15",LEFT(TH!M2025,2)="15"),'152-CT'!$J$8=TH!F2025),"x","")</f>
        <v/>
      </c>
      <c r="Y2025" s="39" t="str">
        <f>IF(AND(OR(LEFT(TH!L2025,2)="15",LEFT(TH!M2025,2)="15"),TK!$E$7=TH!F2025),"x","")</f>
        <v/>
      </c>
      <c r="Z2025" s="39" t="str">
        <f>IF(AND(B2025&lt;=NKC!$N$8,B2025&gt;=NKC!$M$8),"x","")</f>
        <v/>
      </c>
      <c r="AA2025" s="883"/>
    </row>
    <row r="2026" spans="1:27" s="211" customFormat="1" ht="15.75" customHeight="1">
      <c r="A2026" s="204" t="str">
        <f>IF(B2026&lt;&gt;"",IF(AND(B2026&gt;=_TM1,B2026&lt;=_TM2,OR(TH!L2026="1111",TH!M2026="1111")),TH!D2026,""),"")</f>
        <v/>
      </c>
      <c r="B2026" s="36">
        <f t="shared" si="479"/>
        <v>10</v>
      </c>
      <c r="C2026" s="191">
        <f t="shared" si="478"/>
        <v>41568</v>
      </c>
      <c r="D2026" s="37" t="s">
        <v>487</v>
      </c>
      <c r="E2026" s="191">
        <v>41568</v>
      </c>
      <c r="F2026" s="192" t="s">
        <v>982</v>
      </c>
      <c r="G2026" s="487" t="s">
        <v>983</v>
      </c>
      <c r="H2026" s="7" t="s">
        <v>1290</v>
      </c>
      <c r="I2026" s="256">
        <v>51</v>
      </c>
      <c r="J2026" s="256">
        <v>11744.490192092693</v>
      </c>
      <c r="K2026" s="602">
        <f t="shared" si="477"/>
        <v>598969</v>
      </c>
      <c r="L2026" s="39" t="s">
        <v>173</v>
      </c>
      <c r="M2026" s="39" t="s">
        <v>167</v>
      </c>
      <c r="N2026" s="39" t="str">
        <f>IF(AND('331-CT'!$E$7=TH!H2026,OR(L2026="331",M2026="331")),"331",IF(AND(OR(L2026="131",M2026="131"),H2026='131-CT'!$E$7),"131",""))</f>
        <v/>
      </c>
      <c r="O2026" s="39" t="str">
        <f>IF(AND($B2026&gt;='111'!$N$11,$B2026&lt;='111'!$O$11,OR($L2026=$O$7,$M2026=$O$7)),"x","")</f>
        <v/>
      </c>
      <c r="P2026" s="39" t="str">
        <f>IF(AND($L2026=$O$7,$B2026&lt;'111'!$N$11),"x","")</f>
        <v/>
      </c>
      <c r="Q2026" s="39" t="str">
        <f>IF(AND($M2026=$O$7,$B2026&lt;'111'!$N$11),"x","")</f>
        <v/>
      </c>
      <c r="R2026" s="39" t="str">
        <f>IF(ISERROR(FIND('112'!$M$9,G2026,1)),"",IF((AND(FIND('112'!$M$9,G2026,1)&gt;=1,$B2026&gt;='112'!$N$8,$B2026&lt;='112'!$O$8,OR($L2026='112'!$I$6,$M2026='112'!$I$6))),"x",""))</f>
        <v/>
      </c>
      <c r="S2026" s="39" t="str">
        <f>IF(ISERROR(FIND('112'!$M$9,G2026,1)),"",IF((AND(LEFT(G2026,2)=LEFT('112'!$M$9,2),B2026&lt;'112'!$N$8,$L2026='112'!$I$6)),"x",""))</f>
        <v/>
      </c>
      <c r="T2026" s="39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39" t="str">
        <f>IF(OR(TH!L2026=TH!$V$7,M2026=TH!$V$7),"x","")</f>
        <v/>
      </c>
      <c r="W2026" s="39" t="str">
        <f>IF(AND(B2026&gt;='IN-NX'!$P$3,B2026&lt;='IN-NX'!$Q$3,'IN-NX'!$D$7=D2026,OR(LEFT(L2026,2)="15",AND(LEFT(M2026,2)&lt;&gt;"15",LEFT(M2026,2)&lt;&gt;"33"))),"x","")</f>
        <v/>
      </c>
      <c r="X2026" s="39" t="str">
        <f>IF(AND(OR(LEFT(TH!L2026,2)="15",LEFT(TH!M2026,2)="15"),'152-CT'!$J$8=TH!F2026),"x","")</f>
        <v/>
      </c>
      <c r="Y2026" s="39" t="str">
        <f>IF(AND(OR(LEFT(TH!L2026,2)="15",LEFT(TH!M2026,2)="15"),TK!$E$7=TH!F2026),"x","")</f>
        <v/>
      </c>
      <c r="Z2026" s="39" t="str">
        <f>IF(AND(B2026&lt;=NKC!$N$8,B2026&gt;=NKC!$M$8),"x","")</f>
        <v/>
      </c>
      <c r="AA2026" s="883"/>
    </row>
    <row r="2027" spans="1:27" s="211" customFormat="1" ht="15.75" customHeight="1">
      <c r="A2027" s="204" t="str">
        <f>IF(B2027&lt;&gt;"",IF(AND(B2027&gt;=_TM1,B2027&lt;=_TM2,OR(TH!L2027="1111",TH!M2027="1111")),TH!D2027,""),"")</f>
        <v/>
      </c>
      <c r="B2027" s="36">
        <f t="shared" si="479"/>
        <v>10</v>
      </c>
      <c r="C2027" s="191">
        <f t="shared" si="478"/>
        <v>41568</v>
      </c>
      <c r="D2027" s="37" t="s">
        <v>487</v>
      </c>
      <c r="E2027" s="191">
        <v>41568</v>
      </c>
      <c r="F2027" s="192" t="s">
        <v>1156</v>
      </c>
      <c r="G2027" s="487" t="s">
        <v>984</v>
      </c>
      <c r="H2027" s="7" t="s">
        <v>1290</v>
      </c>
      <c r="I2027" s="256">
        <v>66</v>
      </c>
      <c r="J2027" s="256">
        <v>4580.4901920926914</v>
      </c>
      <c r="K2027" s="602">
        <f t="shared" si="477"/>
        <v>302312</v>
      </c>
      <c r="L2027" s="39" t="s">
        <v>173</v>
      </c>
      <c r="M2027" s="39" t="s">
        <v>167</v>
      </c>
      <c r="N2027" s="39" t="str">
        <f>IF(AND('331-CT'!$E$7=TH!H2027,OR(L2027="331",M2027="331")),"331",IF(AND(OR(L2027="131",M2027="131"),H2027='131-CT'!$E$7),"131",""))</f>
        <v/>
      </c>
      <c r="O2027" s="39" t="str">
        <f>IF(AND($B2027&gt;='111'!$N$11,$B2027&lt;='111'!$O$11,OR($L2027=$O$7,$M2027=$O$7)),"x","")</f>
        <v/>
      </c>
      <c r="P2027" s="39" t="str">
        <f>IF(AND($L2027=$O$7,$B2027&lt;'111'!$N$11),"x","")</f>
        <v/>
      </c>
      <c r="Q2027" s="39" t="str">
        <f>IF(AND($M2027=$O$7,$B2027&lt;'111'!$N$11),"x","")</f>
        <v/>
      </c>
      <c r="R2027" s="39" t="str">
        <f>IF(ISERROR(FIND('112'!$M$9,G2027,1)),"",IF((AND(FIND('112'!$M$9,G2027,1)&gt;=1,$B2027&gt;='112'!$N$8,$B2027&lt;='112'!$O$8,OR($L2027='112'!$I$6,$M2027='112'!$I$6))),"x",""))</f>
        <v/>
      </c>
      <c r="S2027" s="39" t="str">
        <f>IF(ISERROR(FIND('112'!$M$9,G2027,1)),"",IF((AND(LEFT(G2027,2)=LEFT('112'!$M$9,2),B2027&lt;'112'!$N$8,$L2027='112'!$I$6)),"x",""))</f>
        <v/>
      </c>
      <c r="T2027" s="39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39" t="str">
        <f>IF(OR(TH!L2027=TH!$V$7,M2027=TH!$V$7),"x","")</f>
        <v/>
      </c>
      <c r="W2027" s="39" t="str">
        <f>IF(AND(B2027&gt;='IN-NX'!$P$3,B2027&lt;='IN-NX'!$Q$3,'IN-NX'!$D$7=D2027,OR(LEFT(L2027,2)="15",AND(LEFT(M2027,2)&lt;&gt;"15",LEFT(M2027,2)&lt;&gt;"33"))),"x","")</f>
        <v/>
      </c>
      <c r="X2027" s="39" t="str">
        <f>IF(AND(OR(LEFT(TH!L2027,2)="15",LEFT(TH!M2027,2)="15"),'152-CT'!$J$8=TH!F2027),"x","")</f>
        <v/>
      </c>
      <c r="Y2027" s="39" t="str">
        <f>IF(AND(OR(LEFT(TH!L2027,2)="15",LEFT(TH!M2027,2)="15"),TK!$E$7=TH!F2027),"x","")</f>
        <v/>
      </c>
      <c r="Z2027" s="39" t="str">
        <f>IF(AND(B2027&lt;=NKC!$N$8,B2027&gt;=NKC!$M$8),"x","")</f>
        <v/>
      </c>
      <c r="AA2027" s="883"/>
    </row>
    <row r="2028" spans="1:27" s="211" customFormat="1" ht="15.75" customHeight="1">
      <c r="A2028" s="204" t="str">
        <f>IF(B2028&lt;&gt;"",IF(AND(B2028&gt;=_TM1,B2028&lt;=_TM2,OR(TH!L2028="1111",TH!M2028="1111")),TH!D2028,""),"")</f>
        <v/>
      </c>
      <c r="B2028" s="36">
        <f t="shared" si="479"/>
        <v>10</v>
      </c>
      <c r="C2028" s="191">
        <f t="shared" si="478"/>
        <v>41568</v>
      </c>
      <c r="D2028" s="37" t="s">
        <v>487</v>
      </c>
      <c r="E2028" s="191">
        <v>41568</v>
      </c>
      <c r="F2028" s="192" t="s">
        <v>1157</v>
      </c>
      <c r="G2028" s="487" t="s">
        <v>642</v>
      </c>
      <c r="H2028" s="7" t="s">
        <v>1290</v>
      </c>
      <c r="I2028" s="256">
        <v>62</v>
      </c>
      <c r="J2028" s="256">
        <v>4895.7482566088211</v>
      </c>
      <c r="K2028" s="602">
        <f t="shared" ref="K2028:K2091" si="480">ROUND(I2028*J2028,0)</f>
        <v>303536</v>
      </c>
      <c r="L2028" s="39" t="s">
        <v>173</v>
      </c>
      <c r="M2028" s="39" t="s">
        <v>167</v>
      </c>
      <c r="N2028" s="39" t="str">
        <f>IF(AND('331-CT'!$E$7=TH!H2028,OR(L2028="331",M2028="331")),"331",IF(AND(OR(L2028="131",M2028="131"),H2028='131-CT'!$E$7),"131",""))</f>
        <v/>
      </c>
      <c r="O2028" s="39" t="str">
        <f>IF(AND($B2028&gt;='111'!$N$11,$B2028&lt;='111'!$O$11,OR($L2028=$O$7,$M2028=$O$7)),"x","")</f>
        <v/>
      </c>
      <c r="P2028" s="39" t="str">
        <f>IF(AND($L2028=$O$7,$B2028&lt;'111'!$N$11),"x","")</f>
        <v/>
      </c>
      <c r="Q2028" s="39" t="str">
        <f>IF(AND($M2028=$O$7,$B2028&lt;'111'!$N$11),"x","")</f>
        <v/>
      </c>
      <c r="R2028" s="39" t="str">
        <f>IF(ISERROR(FIND('112'!$M$9,G2028,1)),"",IF((AND(FIND('112'!$M$9,G2028,1)&gt;=1,$B2028&gt;='112'!$N$8,$B2028&lt;='112'!$O$8,OR($L2028='112'!$I$6,$M2028='112'!$I$6))),"x",""))</f>
        <v/>
      </c>
      <c r="S2028" s="39" t="str">
        <f>IF(ISERROR(FIND('112'!$M$9,G2028,1)),"",IF((AND(LEFT(G2028,2)=LEFT('112'!$M$9,2),B2028&lt;'112'!$N$8,$L2028='112'!$I$6)),"x",""))</f>
        <v/>
      </c>
      <c r="T2028" s="39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39" t="str">
        <f>IF(OR(TH!L2028=TH!$V$7,M2028=TH!$V$7),"x","")</f>
        <v/>
      </c>
      <c r="W2028" s="39" t="str">
        <f>IF(AND(B2028&gt;='IN-NX'!$P$3,B2028&lt;='IN-NX'!$Q$3,'IN-NX'!$D$7=D2028,OR(LEFT(L2028,2)="15",AND(LEFT(M2028,2)&lt;&gt;"15",LEFT(M2028,2)&lt;&gt;"33"))),"x","")</f>
        <v/>
      </c>
      <c r="X2028" s="39" t="str">
        <f>IF(AND(OR(LEFT(TH!L2028,2)="15",LEFT(TH!M2028,2)="15"),'152-CT'!$J$8=TH!F2028),"x","")</f>
        <v/>
      </c>
      <c r="Y2028" s="39" t="str">
        <f>IF(AND(OR(LEFT(TH!L2028,2)="15",LEFT(TH!M2028,2)="15"),TK!$E$7=TH!F2028),"x","")</f>
        <v/>
      </c>
      <c r="Z2028" s="39" t="str">
        <f>IF(AND(B2028&lt;=NKC!$N$8,B2028&gt;=NKC!$M$8),"x","")</f>
        <v/>
      </c>
      <c r="AA2028" s="883"/>
    </row>
    <row r="2029" spans="1:27" s="211" customFormat="1" ht="15.75" customHeight="1">
      <c r="A2029" s="204" t="str">
        <f>IF(B2029&lt;&gt;"",IF(AND(B2029&gt;=_TM1,B2029&lt;=_TM2,OR(TH!L2029="1111",TH!M2029="1111")),TH!D2029,""),"")</f>
        <v/>
      </c>
      <c r="B2029" s="36">
        <f t="shared" si="479"/>
        <v>10</v>
      </c>
      <c r="C2029" s="191">
        <f t="shared" si="478"/>
        <v>41568</v>
      </c>
      <c r="D2029" s="37" t="s">
        <v>487</v>
      </c>
      <c r="E2029" s="191">
        <v>41568</v>
      </c>
      <c r="F2029" s="192" t="s">
        <v>985</v>
      </c>
      <c r="G2029" s="487" t="s">
        <v>986</v>
      </c>
      <c r="H2029" s="7" t="s">
        <v>1290</v>
      </c>
      <c r="I2029" s="256">
        <v>16</v>
      </c>
      <c r="J2029" s="256">
        <v>15943.490192092693</v>
      </c>
      <c r="K2029" s="602">
        <f t="shared" si="480"/>
        <v>255096</v>
      </c>
      <c r="L2029" s="39" t="s">
        <v>173</v>
      </c>
      <c r="M2029" s="39" t="s">
        <v>167</v>
      </c>
      <c r="N2029" s="39" t="str">
        <f>IF(AND('331-CT'!$E$7=TH!H2029,OR(L2029="331",M2029="331")),"331",IF(AND(OR(L2029="131",M2029="131"),H2029='131-CT'!$E$7),"131",""))</f>
        <v/>
      </c>
      <c r="O2029" s="39" t="str">
        <f>IF(AND($B2029&gt;='111'!$N$11,$B2029&lt;='111'!$O$11,OR($L2029=$O$7,$M2029=$O$7)),"x","")</f>
        <v/>
      </c>
      <c r="P2029" s="39" t="str">
        <f>IF(AND($L2029=$O$7,$B2029&lt;'111'!$N$11),"x","")</f>
        <v/>
      </c>
      <c r="Q2029" s="39" t="str">
        <f>IF(AND($M2029=$O$7,$B2029&lt;'111'!$N$11),"x","")</f>
        <v/>
      </c>
      <c r="R2029" s="39" t="str">
        <f>IF(ISERROR(FIND('112'!$M$9,G2029,1)),"",IF((AND(FIND('112'!$M$9,G2029,1)&gt;=1,$B2029&gt;='112'!$N$8,$B2029&lt;='112'!$O$8,OR($L2029='112'!$I$6,$M2029='112'!$I$6))),"x",""))</f>
        <v/>
      </c>
      <c r="S2029" s="39" t="str">
        <f>IF(ISERROR(FIND('112'!$M$9,G2029,1)),"",IF((AND(LEFT(G2029,2)=LEFT('112'!$M$9,2),B2029&lt;'112'!$N$8,$L2029='112'!$I$6)),"x",""))</f>
        <v/>
      </c>
      <c r="T2029" s="39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39" t="str">
        <f>IF(OR(TH!L2029=TH!$V$7,M2029=TH!$V$7),"x","")</f>
        <v/>
      </c>
      <c r="W2029" s="39" t="str">
        <f>IF(AND(B2029&gt;='IN-NX'!$P$3,B2029&lt;='IN-NX'!$Q$3,'IN-NX'!$D$7=D2029,OR(LEFT(L2029,2)="15",AND(LEFT(M2029,2)&lt;&gt;"15",LEFT(M2029,2)&lt;&gt;"33"))),"x","")</f>
        <v/>
      </c>
      <c r="X2029" s="39" t="str">
        <f>IF(AND(OR(LEFT(TH!L2029,2)="15",LEFT(TH!M2029,2)="15"),'152-CT'!$J$8=TH!F2029),"x","")</f>
        <v/>
      </c>
      <c r="Y2029" s="39" t="str">
        <f>IF(AND(OR(LEFT(TH!L2029,2)="15",LEFT(TH!M2029,2)="15"),TK!$E$7=TH!F2029),"x","")</f>
        <v/>
      </c>
      <c r="Z2029" s="39" t="str">
        <f>IF(AND(B2029&lt;=NKC!$N$8,B2029&gt;=NKC!$M$8),"x","")</f>
        <v/>
      </c>
      <c r="AA2029" s="883"/>
    </row>
    <row r="2030" spans="1:27" s="211" customFormat="1" ht="15.75" customHeight="1">
      <c r="A2030" s="204" t="str">
        <f>IF(B2030&lt;&gt;"",IF(AND(B2030&gt;=_TM1,B2030&lt;=_TM2,OR(TH!L2030="1111",TH!M2030="1111")),TH!D2030,""),"")</f>
        <v/>
      </c>
      <c r="B2030" s="36">
        <f t="shared" si="479"/>
        <v>10</v>
      </c>
      <c r="C2030" s="191">
        <f t="shared" si="478"/>
        <v>41568</v>
      </c>
      <c r="D2030" s="37" t="s">
        <v>487</v>
      </c>
      <c r="E2030" s="191">
        <v>41568</v>
      </c>
      <c r="F2030" s="192" t="s">
        <v>987</v>
      </c>
      <c r="G2030" s="487" t="s">
        <v>988</v>
      </c>
      <c r="H2030" s="7" t="s">
        <v>1290</v>
      </c>
      <c r="I2030" s="256">
        <v>13</v>
      </c>
      <c r="J2030" s="256">
        <v>15943.490192092691</v>
      </c>
      <c r="K2030" s="602">
        <f t="shared" si="480"/>
        <v>207265</v>
      </c>
      <c r="L2030" s="39" t="s">
        <v>173</v>
      </c>
      <c r="M2030" s="39" t="s">
        <v>167</v>
      </c>
      <c r="N2030" s="39" t="str">
        <f>IF(AND('331-CT'!$E$7=TH!H2030,OR(L2030="331",M2030="331")),"331",IF(AND(OR(L2030="131",M2030="131"),H2030='131-CT'!$E$7),"131",""))</f>
        <v/>
      </c>
      <c r="O2030" s="39" t="str">
        <f>IF(AND($B2030&gt;='111'!$N$11,$B2030&lt;='111'!$O$11,OR($L2030=$O$7,$M2030=$O$7)),"x","")</f>
        <v/>
      </c>
      <c r="P2030" s="39" t="str">
        <f>IF(AND($L2030=$O$7,$B2030&lt;'111'!$N$11),"x","")</f>
        <v/>
      </c>
      <c r="Q2030" s="39" t="str">
        <f>IF(AND($M2030=$O$7,$B2030&lt;'111'!$N$11),"x","")</f>
        <v/>
      </c>
      <c r="R2030" s="39" t="str">
        <f>IF(ISERROR(FIND('112'!$M$9,G2030,1)),"",IF((AND(FIND('112'!$M$9,G2030,1)&gt;=1,$B2030&gt;='112'!$N$8,$B2030&lt;='112'!$O$8,OR($L2030='112'!$I$6,$M2030='112'!$I$6))),"x",""))</f>
        <v/>
      </c>
      <c r="S2030" s="39" t="str">
        <f>IF(ISERROR(FIND('112'!$M$9,G2030,1)),"",IF((AND(LEFT(G2030,2)=LEFT('112'!$M$9,2),B2030&lt;'112'!$N$8,$L2030='112'!$I$6)),"x",""))</f>
        <v/>
      </c>
      <c r="T2030" s="39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39" t="str">
        <f>IF(OR(TH!L2030=TH!$V$7,M2030=TH!$V$7),"x","")</f>
        <v/>
      </c>
      <c r="W2030" s="39" t="str">
        <f>IF(AND(B2030&gt;='IN-NX'!$P$3,B2030&lt;='IN-NX'!$Q$3,'IN-NX'!$D$7=D2030,OR(LEFT(L2030,2)="15",AND(LEFT(M2030,2)&lt;&gt;"15",LEFT(M2030,2)&lt;&gt;"33"))),"x","")</f>
        <v/>
      </c>
      <c r="X2030" s="39" t="str">
        <f>IF(AND(OR(LEFT(TH!L2030,2)="15",LEFT(TH!M2030,2)="15"),'152-CT'!$J$8=TH!F2030),"x","")</f>
        <v/>
      </c>
      <c r="Y2030" s="39" t="str">
        <f>IF(AND(OR(LEFT(TH!L2030,2)="15",LEFT(TH!M2030,2)="15"),TK!$E$7=TH!F2030),"x","")</f>
        <v/>
      </c>
      <c r="Z2030" s="39" t="str">
        <f>IF(AND(B2030&lt;=NKC!$N$8,B2030&gt;=NKC!$M$8),"x","")</f>
        <v/>
      </c>
      <c r="AA2030" s="883"/>
    </row>
    <row r="2031" spans="1:27" s="211" customFormat="1" ht="15.75" customHeight="1">
      <c r="A2031" s="204" t="str">
        <f>IF(B2031&lt;&gt;"",IF(AND(B2031&gt;=_TM1,B2031&lt;=_TM2,OR(TH!L2031="1111",TH!M2031="1111")),TH!D2031,""),"")</f>
        <v/>
      </c>
      <c r="B2031" s="36">
        <f t="shared" si="479"/>
        <v>10</v>
      </c>
      <c r="C2031" s="191">
        <f t="shared" si="478"/>
        <v>41568</v>
      </c>
      <c r="D2031" s="37" t="s">
        <v>487</v>
      </c>
      <c r="E2031" s="191">
        <v>41568</v>
      </c>
      <c r="F2031" s="192" t="s">
        <v>989</v>
      </c>
      <c r="G2031" s="487" t="s">
        <v>990</v>
      </c>
      <c r="H2031" s="7" t="s">
        <v>1290</v>
      </c>
      <c r="I2031" s="256">
        <v>13</v>
      </c>
      <c r="J2031" s="256">
        <v>23971.490192092697</v>
      </c>
      <c r="K2031" s="602">
        <f t="shared" si="480"/>
        <v>311629</v>
      </c>
      <c r="L2031" s="39" t="s">
        <v>173</v>
      </c>
      <c r="M2031" s="39" t="s">
        <v>167</v>
      </c>
      <c r="N2031" s="39" t="str">
        <f>IF(AND('331-CT'!$E$7=TH!H2031,OR(L2031="331",M2031="331")),"331",IF(AND(OR(L2031="131",M2031="131"),H2031='131-CT'!$E$7),"131",""))</f>
        <v/>
      </c>
      <c r="O2031" s="39" t="str">
        <f>IF(AND($B2031&gt;='111'!$N$11,$B2031&lt;='111'!$O$11,OR($L2031=$O$7,$M2031=$O$7)),"x","")</f>
        <v/>
      </c>
      <c r="P2031" s="39" t="str">
        <f>IF(AND($L2031=$O$7,$B2031&lt;'111'!$N$11),"x","")</f>
        <v/>
      </c>
      <c r="Q2031" s="39" t="str">
        <f>IF(AND($M2031=$O$7,$B2031&lt;'111'!$N$11),"x","")</f>
        <v/>
      </c>
      <c r="R2031" s="39" t="str">
        <f>IF(ISERROR(FIND('112'!$M$9,G2031,1)),"",IF((AND(FIND('112'!$M$9,G2031,1)&gt;=1,$B2031&gt;='112'!$N$8,$B2031&lt;='112'!$O$8,OR($L2031='112'!$I$6,$M2031='112'!$I$6))),"x",""))</f>
        <v/>
      </c>
      <c r="S2031" s="39" t="str">
        <f>IF(ISERROR(FIND('112'!$M$9,G2031,1)),"",IF((AND(LEFT(G2031,2)=LEFT('112'!$M$9,2),B2031&lt;'112'!$N$8,$L2031='112'!$I$6)),"x",""))</f>
        <v/>
      </c>
      <c r="T2031" s="39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39" t="str">
        <f>IF(OR(TH!L2031=TH!$V$7,M2031=TH!$V$7),"x","")</f>
        <v/>
      </c>
      <c r="W2031" s="39" t="str">
        <f>IF(AND(B2031&gt;='IN-NX'!$P$3,B2031&lt;='IN-NX'!$Q$3,'IN-NX'!$D$7=D2031,OR(LEFT(L2031,2)="15",AND(LEFT(M2031,2)&lt;&gt;"15",LEFT(M2031,2)&lt;&gt;"33"))),"x","")</f>
        <v/>
      </c>
      <c r="X2031" s="39" t="str">
        <f>IF(AND(OR(LEFT(TH!L2031,2)="15",LEFT(TH!M2031,2)="15"),'152-CT'!$J$8=TH!F2031),"x","")</f>
        <v/>
      </c>
      <c r="Y2031" s="39" t="str">
        <f>IF(AND(OR(LEFT(TH!L2031,2)="15",LEFT(TH!M2031,2)="15"),TK!$E$7=TH!F2031),"x","")</f>
        <v/>
      </c>
      <c r="Z2031" s="39" t="str">
        <f>IF(AND(B2031&lt;=NKC!$N$8,B2031&gt;=NKC!$M$8),"x","")</f>
        <v/>
      </c>
      <c r="AA2031" s="883"/>
    </row>
    <row r="2032" spans="1:27" s="211" customFormat="1" ht="15.75" customHeight="1">
      <c r="A2032" s="204" t="str">
        <f>IF(B2032&lt;&gt;"",IF(AND(B2032&gt;=_TM1,B2032&lt;=_TM2,OR(TH!L2032="1111",TH!M2032="1111")),TH!D2032,""),"")</f>
        <v/>
      </c>
      <c r="B2032" s="36">
        <f t="shared" si="479"/>
        <v>10</v>
      </c>
      <c r="C2032" s="191">
        <f t="shared" si="478"/>
        <v>41568</v>
      </c>
      <c r="D2032" s="37" t="s">
        <v>487</v>
      </c>
      <c r="E2032" s="191">
        <v>41568</v>
      </c>
      <c r="F2032" s="192" t="s">
        <v>1153</v>
      </c>
      <c r="G2032" s="487" t="s">
        <v>981</v>
      </c>
      <c r="H2032" s="7" t="s">
        <v>1290</v>
      </c>
      <c r="I2032" s="256">
        <v>200</v>
      </c>
      <c r="J2032" s="256">
        <v>4408.4901920926932</v>
      </c>
      <c r="K2032" s="602">
        <f t="shared" si="480"/>
        <v>881698</v>
      </c>
      <c r="L2032" s="39" t="s">
        <v>173</v>
      </c>
      <c r="M2032" s="39" t="s">
        <v>167</v>
      </c>
      <c r="N2032" s="39" t="str">
        <f>IF(AND('331-CT'!$E$7=TH!H2032,OR(L2032="331",M2032="331")),"331",IF(AND(OR(L2032="131",M2032="131"),H2032='131-CT'!$E$7),"131",""))</f>
        <v/>
      </c>
      <c r="O2032" s="39" t="str">
        <f>IF(AND($B2032&gt;='111'!$N$11,$B2032&lt;='111'!$O$11,OR($L2032=$O$7,$M2032=$O$7)),"x","")</f>
        <v/>
      </c>
      <c r="P2032" s="39" t="str">
        <f>IF(AND($L2032=$O$7,$B2032&lt;'111'!$N$11),"x","")</f>
        <v/>
      </c>
      <c r="Q2032" s="39" t="str">
        <f>IF(AND($M2032=$O$7,$B2032&lt;'111'!$N$11),"x","")</f>
        <v/>
      </c>
      <c r="R2032" s="39" t="str">
        <f>IF(ISERROR(FIND('112'!$M$9,G2032,1)),"",IF((AND(FIND('112'!$M$9,G2032,1)&gt;=1,$B2032&gt;='112'!$N$8,$B2032&lt;='112'!$O$8,OR($L2032='112'!$I$6,$M2032='112'!$I$6))),"x",""))</f>
        <v/>
      </c>
      <c r="S2032" s="39" t="str">
        <f>IF(ISERROR(FIND('112'!$M$9,G2032,1)),"",IF((AND(LEFT(G2032,2)=LEFT('112'!$M$9,2),B2032&lt;'112'!$N$8,$L2032='112'!$I$6)),"x",""))</f>
        <v/>
      </c>
      <c r="T2032" s="39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39" t="str">
        <f>IF(OR(TH!L2032=TH!$V$7,M2032=TH!$V$7),"x","")</f>
        <v/>
      </c>
      <c r="W2032" s="39" t="str">
        <f>IF(AND(B2032&gt;='IN-NX'!$P$3,B2032&lt;='IN-NX'!$Q$3,'IN-NX'!$D$7=D2032,OR(LEFT(L2032,2)="15",AND(LEFT(M2032,2)&lt;&gt;"15",LEFT(M2032,2)&lt;&gt;"33"))),"x","")</f>
        <v/>
      </c>
      <c r="X2032" s="39" t="str">
        <f>IF(AND(OR(LEFT(TH!L2032,2)="15",LEFT(TH!M2032,2)="15"),'152-CT'!$J$8=TH!F2032),"x","")</f>
        <v/>
      </c>
      <c r="Y2032" s="39" t="str">
        <f>IF(AND(OR(LEFT(TH!L2032,2)="15",LEFT(TH!M2032,2)="15"),TK!$E$7=TH!F2032),"x","")</f>
        <v/>
      </c>
      <c r="Z2032" s="39" t="str">
        <f>IF(AND(B2032&lt;=NKC!$N$8,B2032&gt;=NKC!$M$8),"x","")</f>
        <v/>
      </c>
      <c r="AA2032" s="883"/>
    </row>
    <row r="2033" spans="1:27" s="211" customFormat="1" ht="15.75" customHeight="1">
      <c r="A2033" s="204" t="str">
        <f>IF(B2033&lt;&gt;"",IF(AND(B2033&gt;=_TM1,B2033&lt;=_TM2,OR(TH!L2033="1111",TH!M2033="1111")),TH!D2033,""),"")</f>
        <v/>
      </c>
      <c r="B2033" s="36">
        <f t="shared" si="479"/>
        <v>10</v>
      </c>
      <c r="C2033" s="191">
        <f t="shared" si="478"/>
        <v>41568</v>
      </c>
      <c r="D2033" s="37" t="s">
        <v>487</v>
      </c>
      <c r="E2033" s="191">
        <v>41568</v>
      </c>
      <c r="F2033" s="192" t="s">
        <v>991</v>
      </c>
      <c r="G2033" s="487" t="s">
        <v>986</v>
      </c>
      <c r="H2033" s="7" t="s">
        <v>1290</v>
      </c>
      <c r="I2033" s="256">
        <v>50</v>
      </c>
      <c r="J2033" s="256">
        <v>33775.490192092693</v>
      </c>
      <c r="K2033" s="602">
        <f t="shared" si="480"/>
        <v>1688775</v>
      </c>
      <c r="L2033" s="39" t="s">
        <v>173</v>
      </c>
      <c r="M2033" s="39" t="s">
        <v>167</v>
      </c>
      <c r="N2033" s="39" t="str">
        <f>IF(AND('331-CT'!$E$7=TH!H2033,OR(L2033="331",M2033="331")),"331",IF(AND(OR(L2033="131",M2033="131"),H2033='131-CT'!$E$7),"131",""))</f>
        <v/>
      </c>
      <c r="O2033" s="39" t="str">
        <f>IF(AND($B2033&gt;='111'!$N$11,$B2033&lt;='111'!$O$11,OR($L2033=$O$7,$M2033=$O$7)),"x","")</f>
        <v/>
      </c>
      <c r="P2033" s="39" t="str">
        <f>IF(AND($L2033=$O$7,$B2033&lt;'111'!$N$11),"x","")</f>
        <v/>
      </c>
      <c r="Q2033" s="39" t="str">
        <f>IF(AND($M2033=$O$7,$B2033&lt;'111'!$N$11),"x","")</f>
        <v/>
      </c>
      <c r="R2033" s="39" t="str">
        <f>IF(ISERROR(FIND('112'!$M$9,G2033,1)),"",IF((AND(FIND('112'!$M$9,G2033,1)&gt;=1,$B2033&gt;='112'!$N$8,$B2033&lt;='112'!$O$8,OR($L2033='112'!$I$6,$M2033='112'!$I$6))),"x",""))</f>
        <v/>
      </c>
      <c r="S2033" s="39" t="str">
        <f>IF(ISERROR(FIND('112'!$M$9,G2033,1)),"",IF((AND(LEFT(G2033,2)=LEFT('112'!$M$9,2),B2033&lt;'112'!$N$8,$L2033='112'!$I$6)),"x",""))</f>
        <v/>
      </c>
      <c r="T2033" s="39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39" t="str">
        <f>IF(OR(TH!L2033=TH!$V$7,M2033=TH!$V$7),"x","")</f>
        <v/>
      </c>
      <c r="W2033" s="39" t="str">
        <f>IF(AND(B2033&gt;='IN-NX'!$P$3,B2033&lt;='IN-NX'!$Q$3,'IN-NX'!$D$7=D2033,OR(LEFT(L2033,2)="15",AND(LEFT(M2033,2)&lt;&gt;"15",LEFT(M2033,2)&lt;&gt;"33"))),"x","")</f>
        <v/>
      </c>
      <c r="X2033" s="39" t="str">
        <f>IF(AND(OR(LEFT(TH!L2033,2)="15",LEFT(TH!M2033,2)="15"),'152-CT'!$J$8=TH!F2033),"x","")</f>
        <v/>
      </c>
      <c r="Y2033" s="39" t="str">
        <f>IF(AND(OR(LEFT(TH!L2033,2)="15",LEFT(TH!M2033,2)="15"),TK!$E$7=TH!F2033),"x","")</f>
        <v/>
      </c>
      <c r="Z2033" s="39" t="str">
        <f>IF(AND(B2033&lt;=NKC!$N$8,B2033&gt;=NKC!$M$8),"x","")</f>
        <v/>
      </c>
      <c r="AA2033" s="883"/>
    </row>
    <row r="2034" spans="1:27" s="211" customFormat="1" ht="15.75" customHeight="1">
      <c r="A2034" s="204" t="str">
        <f>IF(B2034&lt;&gt;"",IF(AND(B2034&gt;=_TM1,B2034&lt;=_TM2,OR(TH!L2034="1111",TH!M2034="1111")),TH!D2034,""),"")</f>
        <v/>
      </c>
      <c r="B2034" s="36">
        <f t="shared" si="479"/>
        <v>10</v>
      </c>
      <c r="C2034" s="191">
        <f t="shared" si="478"/>
        <v>41568</v>
      </c>
      <c r="D2034" s="37" t="s">
        <v>487</v>
      </c>
      <c r="E2034" s="37">
        <v>41568</v>
      </c>
      <c r="F2034" s="40" t="s">
        <v>992</v>
      </c>
      <c r="G2034" s="40" t="s">
        <v>986</v>
      </c>
      <c r="H2034" s="7" t="s">
        <v>1290</v>
      </c>
      <c r="I2034" s="256">
        <v>50</v>
      </c>
      <c r="J2034" s="256">
        <v>62541.290192092696</v>
      </c>
      <c r="K2034" s="602">
        <f t="shared" si="480"/>
        <v>3127065</v>
      </c>
      <c r="L2034" s="39" t="s">
        <v>173</v>
      </c>
      <c r="M2034" s="39" t="s">
        <v>167</v>
      </c>
      <c r="N2034" s="39" t="str">
        <f>IF(AND('331-CT'!$E$7=TH!H2034,OR(L2034="331",M2034="331")),"331",IF(AND(OR(L2034="131",M2034="131"),H2034='131-CT'!$E$7),"131",""))</f>
        <v/>
      </c>
      <c r="O2034" s="39" t="str">
        <f>IF(AND($B2034&gt;='111'!$N$11,$B2034&lt;='111'!$O$11,OR($L2034=$O$7,$M2034=$O$7)),"x","")</f>
        <v/>
      </c>
      <c r="P2034" s="39" t="str">
        <f>IF(AND($L2034=$O$7,$B2034&lt;'111'!$N$11),"x","")</f>
        <v/>
      </c>
      <c r="Q2034" s="39" t="str">
        <f>IF(AND($M2034=$O$7,$B2034&lt;'111'!$N$11),"x","")</f>
        <v/>
      </c>
      <c r="R2034" s="39" t="str">
        <f>IF(ISERROR(FIND('112'!$M$9,G2034,1)),"",IF((AND(FIND('112'!$M$9,G2034,1)&gt;=1,$B2034&gt;='112'!$N$8,$B2034&lt;='112'!$O$8,OR($L2034='112'!$I$6,$M2034='112'!$I$6))),"x",""))</f>
        <v/>
      </c>
      <c r="S2034" s="39" t="str">
        <f>IF(ISERROR(FIND('112'!$M$9,G2034,1)),"",IF((AND(LEFT(G2034,2)=LEFT('112'!$M$9,2),B2034&lt;'112'!$N$8,$L2034='112'!$I$6)),"x",""))</f>
        <v/>
      </c>
      <c r="T2034" s="39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39" t="str">
        <f>IF(OR(TH!L2034=TH!$V$7,M2034=TH!$V$7),"x","")</f>
        <v/>
      </c>
      <c r="W2034" s="39" t="str">
        <f>IF(AND(B2034&gt;='IN-NX'!$P$3,B2034&lt;='IN-NX'!$Q$3,'IN-NX'!$D$7=D2034,OR(LEFT(L2034,2)="15",AND(LEFT(M2034,2)&lt;&gt;"15",LEFT(M2034,2)&lt;&gt;"33"))),"x","")</f>
        <v/>
      </c>
      <c r="X2034" s="39" t="str">
        <f>IF(AND(OR(LEFT(TH!L2034,2)="15",LEFT(TH!M2034,2)="15"),'152-CT'!$J$8=TH!F2034),"x","")</f>
        <v/>
      </c>
      <c r="Y2034" s="39" t="str">
        <f>IF(AND(OR(LEFT(TH!L2034,2)="15",LEFT(TH!M2034,2)="15"),TK!$E$7=TH!F2034),"x","")</f>
        <v/>
      </c>
      <c r="Z2034" s="39" t="str">
        <f>IF(AND(B2034&lt;=NKC!$N$8,B2034&gt;=NKC!$M$8),"x","")</f>
        <v/>
      </c>
      <c r="AA2034" s="883"/>
    </row>
    <row r="2035" spans="1:27" s="211" customFormat="1" ht="15.75" customHeight="1">
      <c r="A2035" s="204" t="str">
        <f>IF(B2035&lt;&gt;"",IF(AND(B2035&gt;=_TM1,B2035&lt;=_TM2,OR(TH!L2035="1111",TH!M2035="1111")),TH!D2035,""),"")</f>
        <v/>
      </c>
      <c r="B2035" s="36">
        <f t="shared" si="479"/>
        <v>10</v>
      </c>
      <c r="C2035" s="191">
        <f t="shared" si="478"/>
        <v>41569</v>
      </c>
      <c r="D2035" s="37" t="s">
        <v>487</v>
      </c>
      <c r="E2035" s="37">
        <v>41569</v>
      </c>
      <c r="F2035" s="40" t="s">
        <v>1152</v>
      </c>
      <c r="G2035" s="40" t="s">
        <v>988</v>
      </c>
      <c r="H2035" s="7" t="s">
        <v>1290</v>
      </c>
      <c r="I2035" s="256">
        <v>1980</v>
      </c>
      <c r="J2035" s="256">
        <v>4431.2720102745106</v>
      </c>
      <c r="K2035" s="602">
        <f t="shared" si="480"/>
        <v>8773919</v>
      </c>
      <c r="L2035" s="39" t="s">
        <v>173</v>
      </c>
      <c r="M2035" s="39" t="s">
        <v>167</v>
      </c>
      <c r="N2035" s="39" t="str">
        <f>IF(AND('331-CT'!$E$7=TH!H2035,OR(L2035="331",M2035="331")),"331",IF(AND(OR(L2035="131",M2035="131"),H2035='131-CT'!$E$7),"131",""))</f>
        <v/>
      </c>
      <c r="O2035" s="39" t="str">
        <f>IF(AND($B2035&gt;='111'!$N$11,$B2035&lt;='111'!$O$11,OR($L2035=$O$7,$M2035=$O$7)),"x","")</f>
        <v/>
      </c>
      <c r="P2035" s="39" t="str">
        <f>IF(AND($L2035=$O$7,$B2035&lt;'111'!$N$11),"x","")</f>
        <v/>
      </c>
      <c r="Q2035" s="39" t="str">
        <f>IF(AND($M2035=$O$7,$B2035&lt;'111'!$N$11),"x","")</f>
        <v/>
      </c>
      <c r="R2035" s="39" t="str">
        <f>IF(ISERROR(FIND('112'!$M$9,G2035,1)),"",IF((AND(FIND('112'!$M$9,G2035,1)&gt;=1,$B2035&gt;='112'!$N$8,$B2035&lt;='112'!$O$8,OR($L2035='112'!$I$6,$M2035='112'!$I$6))),"x",""))</f>
        <v/>
      </c>
      <c r="S2035" s="39" t="str">
        <f>IF(ISERROR(FIND('112'!$M$9,G2035,1)),"",IF((AND(LEFT(G2035,2)=LEFT('112'!$M$9,2),B2035&lt;'112'!$N$8,$L2035='112'!$I$6)),"x",""))</f>
        <v/>
      </c>
      <c r="T2035" s="39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39" t="str">
        <f>IF(OR(TH!L2035=TH!$V$7,M2035=TH!$V$7),"x","")</f>
        <v/>
      </c>
      <c r="W2035" s="39" t="str">
        <f>IF(AND(B2035&gt;='IN-NX'!$P$3,B2035&lt;='IN-NX'!$Q$3,'IN-NX'!$D$7=D2035,OR(LEFT(L2035,2)="15",AND(LEFT(M2035,2)&lt;&gt;"15",LEFT(M2035,2)&lt;&gt;"33"))),"x","")</f>
        <v/>
      </c>
      <c r="X2035" s="39" t="str">
        <f>IF(AND(OR(LEFT(TH!L2035,2)="15",LEFT(TH!M2035,2)="15"),'152-CT'!$J$8=TH!F2035),"x","")</f>
        <v/>
      </c>
      <c r="Y2035" s="39" t="str">
        <f>IF(AND(OR(LEFT(TH!L2035,2)="15",LEFT(TH!M2035,2)="15"),TK!$E$7=TH!F2035),"x","")</f>
        <v/>
      </c>
      <c r="Z2035" s="39" t="str">
        <f>IF(AND(B2035&lt;=NKC!$N$8,B2035&gt;=NKC!$M$8),"x","")</f>
        <v/>
      </c>
      <c r="AA2035" s="883"/>
    </row>
    <row r="2036" spans="1:27" s="211" customFormat="1" ht="15.75" customHeight="1">
      <c r="A2036" s="204" t="str">
        <f>IF(B2036&lt;&gt;"",IF(AND(B2036&gt;=_TM1,B2036&lt;=_TM2,OR(TH!L2036="1111",TH!M2036="1111")),TH!D2036,""),"")</f>
        <v/>
      </c>
      <c r="B2036" s="36">
        <f t="shared" si="479"/>
        <v>10</v>
      </c>
      <c r="C2036" s="191">
        <f t="shared" si="478"/>
        <v>41571</v>
      </c>
      <c r="D2036" s="37" t="s">
        <v>487</v>
      </c>
      <c r="E2036" s="37">
        <v>41571</v>
      </c>
      <c r="F2036" s="192" t="s">
        <v>1129</v>
      </c>
      <c r="G2036" s="40" t="s">
        <v>990</v>
      </c>
      <c r="H2036" s="7" t="s">
        <v>1290</v>
      </c>
      <c r="I2036" s="256">
        <v>100</v>
      </c>
      <c r="J2036" s="256">
        <v>5921.0001920926916</v>
      </c>
      <c r="K2036" s="602">
        <f t="shared" si="480"/>
        <v>592100</v>
      </c>
      <c r="L2036" s="39" t="s">
        <v>173</v>
      </c>
      <c r="M2036" s="39" t="s">
        <v>167</v>
      </c>
      <c r="N2036" s="39" t="str">
        <f>IF(AND('331-CT'!$E$7=TH!H2036,OR(L2036="331",M2036="331")),"331",IF(AND(OR(L2036="131",M2036="131"),H2036='131-CT'!$E$7),"131",""))</f>
        <v/>
      </c>
      <c r="O2036" s="39" t="str">
        <f>IF(AND($B2036&gt;='111'!$N$11,$B2036&lt;='111'!$O$11,OR($L2036=$O$7,$M2036=$O$7)),"x","")</f>
        <v/>
      </c>
      <c r="P2036" s="39" t="str">
        <f>IF(AND($L2036=$O$7,$B2036&lt;'111'!$N$11),"x","")</f>
        <v/>
      </c>
      <c r="Q2036" s="39" t="str">
        <f>IF(AND($M2036=$O$7,$B2036&lt;'111'!$N$11),"x","")</f>
        <v/>
      </c>
      <c r="R2036" s="39" t="str">
        <f>IF(ISERROR(FIND('112'!$M$9,G2036,1)),"",IF((AND(FIND('112'!$M$9,G2036,1)&gt;=1,$B2036&gt;='112'!$N$8,$B2036&lt;='112'!$O$8,OR($L2036='112'!$I$6,$M2036='112'!$I$6))),"x",""))</f>
        <v/>
      </c>
      <c r="S2036" s="39" t="str">
        <f>IF(ISERROR(FIND('112'!$M$9,G2036,1)),"",IF((AND(LEFT(G2036,2)=LEFT('112'!$M$9,2),B2036&lt;'112'!$N$8,$L2036='112'!$I$6)),"x",""))</f>
        <v/>
      </c>
      <c r="T2036" s="39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39" t="str">
        <f>IF(OR(TH!L2036=TH!$V$7,M2036=TH!$V$7),"x","")</f>
        <v/>
      </c>
      <c r="W2036" s="39" t="str">
        <f>IF(AND(B2036&gt;='IN-NX'!$P$3,B2036&lt;='IN-NX'!$Q$3,'IN-NX'!$D$7=D2036,OR(LEFT(L2036,2)="15",AND(LEFT(M2036,2)&lt;&gt;"15",LEFT(M2036,2)&lt;&gt;"33"))),"x","")</f>
        <v/>
      </c>
      <c r="X2036" s="39" t="str">
        <f>IF(AND(OR(LEFT(TH!L2036,2)="15",LEFT(TH!M2036,2)="15"),'152-CT'!$J$8=TH!F2036),"x","")</f>
        <v/>
      </c>
      <c r="Y2036" s="39" t="str">
        <f>IF(AND(OR(LEFT(TH!L2036,2)="15",LEFT(TH!M2036,2)="15"),TK!$E$7=TH!F2036),"x","")</f>
        <v/>
      </c>
      <c r="Z2036" s="39" t="str">
        <f>IF(AND(B2036&lt;=NKC!$N$8,B2036&gt;=NKC!$M$8),"x","")</f>
        <v/>
      </c>
      <c r="AA2036" s="883"/>
    </row>
    <row r="2037" spans="1:27" s="211" customFormat="1" ht="15.75" customHeight="1">
      <c r="A2037" s="204" t="str">
        <f>IF(B2037&lt;&gt;"",IF(AND(B2037&gt;=_TM1,B2037&lt;=_TM2,OR(TH!L2037="1111",TH!M2037="1111")),TH!D2037,""),"")</f>
        <v/>
      </c>
      <c r="B2037" s="36">
        <f t="shared" si="479"/>
        <v>10</v>
      </c>
      <c r="C2037" s="191">
        <f t="shared" si="478"/>
        <v>41571</v>
      </c>
      <c r="D2037" s="37" t="s">
        <v>487</v>
      </c>
      <c r="E2037" s="37">
        <v>41571</v>
      </c>
      <c r="F2037" s="40" t="s">
        <v>812</v>
      </c>
      <c r="G2037" s="40" t="s">
        <v>990</v>
      </c>
      <c r="H2037" s="7" t="s">
        <v>1290</v>
      </c>
      <c r="I2037" s="256">
        <v>200</v>
      </c>
      <c r="J2037" s="256">
        <v>9108.4901920926914</v>
      </c>
      <c r="K2037" s="602">
        <f t="shared" si="480"/>
        <v>1821698</v>
      </c>
      <c r="L2037" s="39" t="s">
        <v>173</v>
      </c>
      <c r="M2037" s="39" t="s">
        <v>167</v>
      </c>
      <c r="N2037" s="39" t="str">
        <f>IF(AND('331-CT'!$E$7=TH!H2037,OR(L2037="331",M2037="331")),"331",IF(AND(OR(L2037="131",M2037="131"),H2037='131-CT'!$E$7),"131",""))</f>
        <v/>
      </c>
      <c r="O2037" s="39" t="str">
        <f>IF(AND($B2037&gt;='111'!$N$11,$B2037&lt;='111'!$O$11,OR($L2037=$O$7,$M2037=$O$7)),"x","")</f>
        <v/>
      </c>
      <c r="P2037" s="39" t="str">
        <f>IF(AND($L2037=$O$7,$B2037&lt;'111'!$N$11),"x","")</f>
        <v/>
      </c>
      <c r="Q2037" s="39" t="str">
        <f>IF(AND($M2037=$O$7,$B2037&lt;'111'!$N$11),"x","")</f>
        <v/>
      </c>
      <c r="R2037" s="39" t="str">
        <f>IF(ISERROR(FIND('112'!$M$9,G2037,1)),"",IF((AND(FIND('112'!$M$9,G2037,1)&gt;=1,$B2037&gt;='112'!$N$8,$B2037&lt;='112'!$O$8,OR($L2037='112'!$I$6,$M2037='112'!$I$6))),"x",""))</f>
        <v/>
      </c>
      <c r="S2037" s="39" t="str">
        <f>IF(ISERROR(FIND('112'!$M$9,G2037,1)),"",IF((AND(LEFT(G2037,2)=LEFT('112'!$M$9,2),B2037&lt;'112'!$N$8,$L2037='112'!$I$6)),"x",""))</f>
        <v/>
      </c>
      <c r="T2037" s="39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39" t="str">
        <f>IF(OR(TH!L2037=TH!$V$7,M2037=TH!$V$7),"x","")</f>
        <v/>
      </c>
      <c r="W2037" s="39" t="str">
        <f>IF(AND(B2037&gt;='IN-NX'!$P$3,B2037&lt;='IN-NX'!$Q$3,'IN-NX'!$D$7=D2037,OR(LEFT(L2037,2)="15",AND(LEFT(M2037,2)&lt;&gt;"15",LEFT(M2037,2)&lt;&gt;"33"))),"x","")</f>
        <v/>
      </c>
      <c r="X2037" s="39" t="str">
        <f>IF(AND(OR(LEFT(TH!L2037,2)="15",LEFT(TH!M2037,2)="15"),'152-CT'!$J$8=TH!F2037),"x","")</f>
        <v/>
      </c>
      <c r="Y2037" s="39" t="str">
        <f>IF(AND(OR(LEFT(TH!L2037,2)="15",LEFT(TH!M2037,2)="15"),TK!$E$7=TH!F2037),"x","")</f>
        <v/>
      </c>
      <c r="Z2037" s="39" t="str">
        <f>IF(AND(B2037&lt;=NKC!$N$8,B2037&gt;=NKC!$M$8),"x","")</f>
        <v/>
      </c>
      <c r="AA2037" s="883"/>
    </row>
    <row r="2038" spans="1:27" s="211" customFormat="1" ht="15.75" customHeight="1">
      <c r="A2038" s="204" t="str">
        <f>IF(B2038&lt;&gt;"",IF(AND(B2038&gt;=_TM1,B2038&lt;=_TM2,OR(TH!L2038="1111",TH!M2038="1111")),TH!D2038,""),"")</f>
        <v/>
      </c>
      <c r="B2038" s="36">
        <f t="shared" si="479"/>
        <v>10</v>
      </c>
      <c r="C2038" s="191">
        <f t="shared" si="478"/>
        <v>41571</v>
      </c>
      <c r="D2038" s="37" t="s">
        <v>487</v>
      </c>
      <c r="E2038" s="37">
        <v>41571</v>
      </c>
      <c r="F2038" s="192" t="s">
        <v>1129</v>
      </c>
      <c r="G2038" s="40" t="s">
        <v>990</v>
      </c>
      <c r="H2038" s="7" t="s">
        <v>1290</v>
      </c>
      <c r="I2038" s="256">
        <v>200</v>
      </c>
      <c r="J2038" s="256">
        <v>6562.4901920926923</v>
      </c>
      <c r="K2038" s="602">
        <f t="shared" si="480"/>
        <v>1312498</v>
      </c>
      <c r="L2038" s="39" t="s">
        <v>173</v>
      </c>
      <c r="M2038" s="39" t="s">
        <v>167</v>
      </c>
      <c r="N2038" s="39" t="str">
        <f>IF(AND('331-CT'!$E$7=TH!H2038,OR(L2038="331",M2038="331")),"331",IF(AND(OR(L2038="131",M2038="131"),H2038='131-CT'!$E$7),"131",""))</f>
        <v/>
      </c>
      <c r="O2038" s="39" t="str">
        <f>IF(AND($B2038&gt;='111'!$N$11,$B2038&lt;='111'!$O$11,OR($L2038=$O$7,$M2038=$O$7)),"x","")</f>
        <v/>
      </c>
      <c r="P2038" s="39" t="str">
        <f>IF(AND($L2038=$O$7,$B2038&lt;'111'!$N$11),"x","")</f>
        <v/>
      </c>
      <c r="Q2038" s="39" t="str">
        <f>IF(AND($M2038=$O$7,$B2038&lt;'111'!$N$11),"x","")</f>
        <v/>
      </c>
      <c r="R2038" s="39" t="str">
        <f>IF(ISERROR(FIND('112'!$M$9,G2038,1)),"",IF((AND(FIND('112'!$M$9,G2038,1)&gt;=1,$B2038&gt;='112'!$N$8,$B2038&lt;='112'!$O$8,OR($L2038='112'!$I$6,$M2038='112'!$I$6))),"x",""))</f>
        <v/>
      </c>
      <c r="S2038" s="39" t="str">
        <f>IF(ISERROR(FIND('112'!$M$9,G2038,1)),"",IF((AND(LEFT(G2038,2)=LEFT('112'!$M$9,2),B2038&lt;'112'!$N$8,$L2038='112'!$I$6)),"x",""))</f>
        <v/>
      </c>
      <c r="T2038" s="39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39" t="str">
        <f>IF(OR(TH!L2038=TH!$V$7,M2038=TH!$V$7),"x","")</f>
        <v/>
      </c>
      <c r="W2038" s="39" t="str">
        <f>IF(AND(B2038&gt;='IN-NX'!$P$3,B2038&lt;='IN-NX'!$Q$3,'IN-NX'!$D$7=D2038,OR(LEFT(L2038,2)="15",AND(LEFT(M2038,2)&lt;&gt;"15",LEFT(M2038,2)&lt;&gt;"33"))),"x","")</f>
        <v/>
      </c>
      <c r="X2038" s="39" t="str">
        <f>IF(AND(OR(LEFT(TH!L2038,2)="15",LEFT(TH!M2038,2)="15"),'152-CT'!$J$8=TH!F2038),"x","")</f>
        <v/>
      </c>
      <c r="Y2038" s="39" t="str">
        <f>IF(AND(OR(LEFT(TH!L2038,2)="15",LEFT(TH!M2038,2)="15"),TK!$E$7=TH!F2038),"x","")</f>
        <v/>
      </c>
      <c r="Z2038" s="39" t="str">
        <f>IF(AND(B2038&lt;=NKC!$N$8,B2038&gt;=NKC!$M$8),"x","")</f>
        <v/>
      </c>
      <c r="AA2038" s="883"/>
    </row>
    <row r="2039" spans="1:27" s="211" customFormat="1" ht="15.75" customHeight="1">
      <c r="A2039" s="204" t="str">
        <f>IF(B2039&lt;&gt;"",IF(AND(B2039&gt;=_TM1,B2039&lt;=_TM2,OR(TH!L2039="1111",TH!M2039="1111")),TH!D2039,""),"")</f>
        <v/>
      </c>
      <c r="B2039" s="36">
        <f t="shared" si="479"/>
        <v>10</v>
      </c>
      <c r="C2039" s="191">
        <f t="shared" si="478"/>
        <v>41571</v>
      </c>
      <c r="D2039" s="37" t="s">
        <v>487</v>
      </c>
      <c r="E2039" s="37">
        <v>41571</v>
      </c>
      <c r="F2039" s="40" t="s">
        <v>938</v>
      </c>
      <c r="G2039" s="40" t="s">
        <v>993</v>
      </c>
      <c r="H2039" s="7" t="s">
        <v>1290</v>
      </c>
      <c r="I2039" s="256">
        <v>585</v>
      </c>
      <c r="J2039" s="256">
        <v>17353.7466023491</v>
      </c>
      <c r="K2039" s="602">
        <f t="shared" si="480"/>
        <v>10151942</v>
      </c>
      <c r="L2039" s="39" t="s">
        <v>173</v>
      </c>
      <c r="M2039" s="39" t="s">
        <v>167</v>
      </c>
      <c r="N2039" s="39" t="str">
        <f>IF(AND('331-CT'!$E$7=TH!H2039,OR(L2039="331",M2039="331")),"331",IF(AND(OR(L2039="131",M2039="131"),H2039='131-CT'!$E$7),"131",""))</f>
        <v/>
      </c>
      <c r="O2039" s="39" t="str">
        <f>IF(AND($B2039&gt;='111'!$N$11,$B2039&lt;='111'!$O$11,OR($L2039=$O$7,$M2039=$O$7)),"x","")</f>
        <v/>
      </c>
      <c r="P2039" s="39" t="str">
        <f>IF(AND($L2039=$O$7,$B2039&lt;'111'!$N$11),"x","")</f>
        <v/>
      </c>
      <c r="Q2039" s="39" t="str">
        <f>IF(AND($M2039=$O$7,$B2039&lt;'111'!$N$11),"x","")</f>
        <v/>
      </c>
      <c r="R2039" s="39" t="str">
        <f>IF(ISERROR(FIND('112'!$M$9,G2039,1)),"",IF((AND(FIND('112'!$M$9,G2039,1)&gt;=1,$B2039&gt;='112'!$N$8,$B2039&lt;='112'!$O$8,OR($L2039='112'!$I$6,$M2039='112'!$I$6))),"x",""))</f>
        <v/>
      </c>
      <c r="S2039" s="39" t="str">
        <f>IF(ISERROR(FIND('112'!$M$9,G2039,1)),"",IF((AND(LEFT(G2039,2)=LEFT('112'!$M$9,2),B2039&lt;'112'!$N$8,$L2039='112'!$I$6)),"x",""))</f>
        <v/>
      </c>
      <c r="T2039" s="39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39" t="str">
        <f>IF(OR(TH!L2039=TH!$V$7,M2039=TH!$V$7),"x","")</f>
        <v/>
      </c>
      <c r="W2039" s="39" t="str">
        <f>IF(AND(B2039&gt;='IN-NX'!$P$3,B2039&lt;='IN-NX'!$Q$3,'IN-NX'!$D$7=D2039,OR(LEFT(L2039,2)="15",AND(LEFT(M2039,2)&lt;&gt;"15",LEFT(M2039,2)&lt;&gt;"33"))),"x","")</f>
        <v/>
      </c>
      <c r="X2039" s="39" t="str">
        <f>IF(AND(OR(LEFT(TH!L2039,2)="15",LEFT(TH!M2039,2)="15"),'152-CT'!$J$8=TH!F2039),"x","")</f>
        <v/>
      </c>
      <c r="Y2039" s="39" t="str">
        <f>IF(AND(OR(LEFT(TH!L2039,2)="15",LEFT(TH!M2039,2)="15"),TK!$E$7=TH!F2039),"x","")</f>
        <v/>
      </c>
      <c r="Z2039" s="39" t="str">
        <f>IF(AND(B2039&lt;=NKC!$N$8,B2039&gt;=NKC!$M$8),"x","")</f>
        <v/>
      </c>
      <c r="AA2039" s="883"/>
    </row>
    <row r="2040" spans="1:27" s="211" customFormat="1" ht="15.75" customHeight="1">
      <c r="A2040" s="204" t="str">
        <f>IF(B2040&lt;&gt;"",IF(AND(B2040&gt;=_TM1,B2040&lt;=_TM2,OR(TH!L2040="1111",TH!M2040="1111")),TH!D2040,""),"")</f>
        <v/>
      </c>
      <c r="B2040" s="36">
        <f t="shared" si="479"/>
        <v>10</v>
      </c>
      <c r="C2040" s="191">
        <f t="shared" si="478"/>
        <v>41573</v>
      </c>
      <c r="D2040" s="37" t="s">
        <v>487</v>
      </c>
      <c r="E2040" s="37">
        <v>41573</v>
      </c>
      <c r="F2040" s="40" t="s">
        <v>1148</v>
      </c>
      <c r="G2040" s="40" t="s">
        <v>994</v>
      </c>
      <c r="H2040" s="7" t="s">
        <v>1290</v>
      </c>
      <c r="I2040" s="256">
        <v>49</v>
      </c>
      <c r="J2040" s="256">
        <v>5006.7554982151414</v>
      </c>
      <c r="K2040" s="602">
        <f t="shared" si="480"/>
        <v>245331</v>
      </c>
      <c r="L2040" s="39" t="s">
        <v>173</v>
      </c>
      <c r="M2040" s="39" t="s">
        <v>167</v>
      </c>
      <c r="N2040" s="39" t="str">
        <f>IF(AND('331-CT'!$E$7=TH!H2040,OR(L2040="331",M2040="331")),"331",IF(AND(OR(L2040="131",M2040="131"),H2040='131-CT'!$E$7),"131",""))</f>
        <v/>
      </c>
      <c r="O2040" s="39" t="str">
        <f>IF(AND($B2040&gt;='111'!$N$11,$B2040&lt;='111'!$O$11,OR($L2040=$O$7,$M2040=$O$7)),"x","")</f>
        <v/>
      </c>
      <c r="P2040" s="39" t="str">
        <f>IF(AND($L2040=$O$7,$B2040&lt;'111'!$N$11),"x","")</f>
        <v/>
      </c>
      <c r="Q2040" s="39" t="str">
        <f>IF(AND($M2040=$O$7,$B2040&lt;'111'!$N$11),"x","")</f>
        <v/>
      </c>
      <c r="R2040" s="39" t="str">
        <f>IF(ISERROR(FIND('112'!$M$9,G2040,1)),"",IF((AND(FIND('112'!$M$9,G2040,1)&gt;=1,$B2040&gt;='112'!$N$8,$B2040&lt;='112'!$O$8,OR($L2040='112'!$I$6,$M2040='112'!$I$6))),"x",""))</f>
        <v/>
      </c>
      <c r="S2040" s="39" t="str">
        <f>IF(ISERROR(FIND('112'!$M$9,G2040,1)),"",IF((AND(LEFT(G2040,2)=LEFT('112'!$M$9,2),B2040&lt;'112'!$N$8,$L2040='112'!$I$6)),"x",""))</f>
        <v/>
      </c>
      <c r="T2040" s="39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39" t="str">
        <f>IF(OR(TH!L2040=TH!$V$7,M2040=TH!$V$7),"x","")</f>
        <v/>
      </c>
      <c r="W2040" s="39" t="str">
        <f>IF(AND(B2040&gt;='IN-NX'!$P$3,B2040&lt;='IN-NX'!$Q$3,'IN-NX'!$D$7=D2040,OR(LEFT(L2040,2)="15",AND(LEFT(M2040,2)&lt;&gt;"15",LEFT(M2040,2)&lt;&gt;"33"))),"x","")</f>
        <v/>
      </c>
      <c r="X2040" s="39" t="str">
        <f>IF(AND(OR(LEFT(TH!L2040,2)="15",LEFT(TH!M2040,2)="15"),'152-CT'!$J$8=TH!F2040),"x","")</f>
        <v/>
      </c>
      <c r="Y2040" s="39" t="str">
        <f>IF(AND(OR(LEFT(TH!L2040,2)="15",LEFT(TH!M2040,2)="15"),TK!$E$7=TH!F2040),"x","")</f>
        <v/>
      </c>
      <c r="Z2040" s="39" t="str">
        <f>IF(AND(B2040&lt;=NKC!$N$8,B2040&gt;=NKC!$M$8),"x","")</f>
        <v/>
      </c>
      <c r="AA2040" s="883"/>
    </row>
    <row r="2041" spans="1:27" s="211" customFormat="1" ht="15.75" customHeight="1">
      <c r="A2041" s="204" t="str">
        <f>IF(B2041&lt;&gt;"",IF(AND(B2041&gt;=_TM1,B2041&lt;=_TM2,OR(TH!L2041="1111",TH!M2041="1111")),TH!D2041,""),"")</f>
        <v/>
      </c>
      <c r="B2041" s="36">
        <f t="shared" si="479"/>
        <v>10</v>
      </c>
      <c r="C2041" s="191">
        <f t="shared" si="478"/>
        <v>41573</v>
      </c>
      <c r="D2041" s="37" t="s">
        <v>487</v>
      </c>
      <c r="E2041" s="37">
        <v>41573</v>
      </c>
      <c r="F2041" s="40" t="s">
        <v>1147</v>
      </c>
      <c r="G2041" s="40" t="s">
        <v>994</v>
      </c>
      <c r="H2041" s="7" t="s">
        <v>1290</v>
      </c>
      <c r="I2041" s="256">
        <v>3191</v>
      </c>
      <c r="J2041" s="256">
        <v>3920.6133509770548</v>
      </c>
      <c r="K2041" s="602">
        <f t="shared" si="480"/>
        <v>12510677</v>
      </c>
      <c r="L2041" s="39" t="s">
        <v>173</v>
      </c>
      <c r="M2041" s="39" t="s">
        <v>167</v>
      </c>
      <c r="N2041" s="39" t="str">
        <f>IF(AND('331-CT'!$E$7=TH!H2041,OR(L2041="331",M2041="331")),"331",IF(AND(OR(L2041="131",M2041="131"),H2041='131-CT'!$E$7),"131",""))</f>
        <v/>
      </c>
      <c r="O2041" s="39" t="str">
        <f>IF(AND($B2041&gt;='111'!$N$11,$B2041&lt;='111'!$O$11,OR($L2041=$O$7,$M2041=$O$7)),"x","")</f>
        <v/>
      </c>
      <c r="P2041" s="39" t="str">
        <f>IF(AND($L2041=$O$7,$B2041&lt;'111'!$N$11),"x","")</f>
        <v/>
      </c>
      <c r="Q2041" s="39" t="str">
        <f>IF(AND($M2041=$O$7,$B2041&lt;'111'!$N$11),"x","")</f>
        <v/>
      </c>
      <c r="R2041" s="39" t="str">
        <f>IF(ISERROR(FIND('112'!$M$9,G2041,1)),"",IF((AND(FIND('112'!$M$9,G2041,1)&gt;=1,$B2041&gt;='112'!$N$8,$B2041&lt;='112'!$O$8,OR($L2041='112'!$I$6,$M2041='112'!$I$6))),"x",""))</f>
        <v/>
      </c>
      <c r="S2041" s="39" t="str">
        <f>IF(ISERROR(FIND('112'!$M$9,G2041,1)),"",IF((AND(LEFT(G2041,2)=LEFT('112'!$M$9,2),B2041&lt;'112'!$N$8,$L2041='112'!$I$6)),"x",""))</f>
        <v/>
      </c>
      <c r="T2041" s="39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39" t="str">
        <f>IF(OR(TH!L2041=TH!$V$7,M2041=TH!$V$7),"x","")</f>
        <v/>
      </c>
      <c r="W2041" s="39" t="str">
        <f>IF(AND(B2041&gt;='IN-NX'!$P$3,B2041&lt;='IN-NX'!$Q$3,'IN-NX'!$D$7=D2041,OR(LEFT(L2041,2)="15",AND(LEFT(M2041,2)&lt;&gt;"15",LEFT(M2041,2)&lt;&gt;"33"))),"x","")</f>
        <v/>
      </c>
      <c r="X2041" s="39" t="str">
        <f>IF(AND(OR(LEFT(TH!L2041,2)="15",LEFT(TH!M2041,2)="15"),'152-CT'!$J$8=TH!F2041),"x","")</f>
        <v/>
      </c>
      <c r="Y2041" s="39" t="str">
        <f>IF(AND(OR(LEFT(TH!L2041,2)="15",LEFT(TH!M2041,2)="15"),TK!$E$7=TH!F2041),"x","")</f>
        <v/>
      </c>
      <c r="Z2041" s="39" t="str">
        <f>IF(AND(B2041&lt;=NKC!$N$8,B2041&gt;=NKC!$M$8),"x","")</f>
        <v/>
      </c>
      <c r="AA2041" s="883"/>
    </row>
    <row r="2042" spans="1:27" s="211" customFormat="1" ht="15.75" customHeight="1">
      <c r="A2042" s="204" t="str">
        <f>IF(B2042&lt;&gt;"",IF(AND(B2042&gt;=_TM1,B2042&lt;=_TM2,OR(TH!L2042="1111",TH!M2042="1111")),TH!D2042,""),"")</f>
        <v/>
      </c>
      <c r="B2042" s="36">
        <f t="shared" si="479"/>
        <v>10</v>
      </c>
      <c r="C2042" s="191">
        <f t="shared" si="478"/>
        <v>41577</v>
      </c>
      <c r="D2042" s="37" t="s">
        <v>487</v>
      </c>
      <c r="E2042" s="37">
        <v>41577</v>
      </c>
      <c r="F2042" s="40" t="s">
        <v>940</v>
      </c>
      <c r="G2042" s="40" t="s">
        <v>995</v>
      </c>
      <c r="H2042" s="7" t="s">
        <v>1290</v>
      </c>
      <c r="I2042" s="256">
        <v>371</v>
      </c>
      <c r="J2042" s="256">
        <v>15727.490192092691</v>
      </c>
      <c r="K2042" s="602">
        <f t="shared" si="480"/>
        <v>5834899</v>
      </c>
      <c r="L2042" s="39" t="s">
        <v>173</v>
      </c>
      <c r="M2042" s="39" t="s">
        <v>167</v>
      </c>
      <c r="N2042" s="39" t="str">
        <f>IF(AND('331-CT'!$E$7=TH!H2042,OR(L2042="331",M2042="331")),"331",IF(AND(OR(L2042="131",M2042="131"),H2042='131-CT'!$E$7),"131",""))</f>
        <v/>
      </c>
      <c r="O2042" s="39" t="str">
        <f>IF(AND($B2042&gt;='111'!$N$11,$B2042&lt;='111'!$O$11,OR($L2042=$O$7,$M2042=$O$7)),"x","")</f>
        <v/>
      </c>
      <c r="P2042" s="39" t="str">
        <f>IF(AND($L2042=$O$7,$B2042&lt;'111'!$N$11),"x","")</f>
        <v/>
      </c>
      <c r="Q2042" s="39" t="str">
        <f>IF(AND($M2042=$O$7,$B2042&lt;'111'!$N$11),"x","")</f>
        <v/>
      </c>
      <c r="R2042" s="39" t="str">
        <f>IF(ISERROR(FIND('112'!$M$9,G2042,1)),"",IF((AND(FIND('112'!$M$9,G2042,1)&gt;=1,$B2042&gt;='112'!$N$8,$B2042&lt;='112'!$O$8,OR($L2042='112'!$I$6,$M2042='112'!$I$6))),"x",""))</f>
        <v/>
      </c>
      <c r="S2042" s="39" t="str">
        <f>IF(ISERROR(FIND('112'!$M$9,G2042,1)),"",IF((AND(LEFT(G2042,2)=LEFT('112'!$M$9,2),B2042&lt;'112'!$N$8,$L2042='112'!$I$6)),"x",""))</f>
        <v/>
      </c>
      <c r="T2042" s="39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39" t="str">
        <f>IF(OR(TH!L2042=TH!$V$7,M2042=TH!$V$7),"x","")</f>
        <v/>
      </c>
      <c r="W2042" s="39" t="str">
        <f>IF(AND(B2042&gt;='IN-NX'!$P$3,B2042&lt;='IN-NX'!$Q$3,'IN-NX'!$D$7=D2042,OR(LEFT(L2042,2)="15",AND(LEFT(M2042,2)&lt;&gt;"15",LEFT(M2042,2)&lt;&gt;"33"))),"x","")</f>
        <v/>
      </c>
      <c r="X2042" s="39" t="str">
        <f>IF(AND(OR(LEFT(TH!L2042,2)="15",LEFT(TH!M2042,2)="15"),'152-CT'!$J$8=TH!F2042),"x","")</f>
        <v/>
      </c>
      <c r="Y2042" s="39" t="str">
        <f>IF(AND(OR(LEFT(TH!L2042,2)="15",LEFT(TH!M2042,2)="15"),TK!$E$7=TH!F2042),"x","")</f>
        <v/>
      </c>
      <c r="Z2042" s="39" t="str">
        <f>IF(AND(B2042&lt;=NKC!$N$8,B2042&gt;=NKC!$M$8),"x","")</f>
        <v/>
      </c>
      <c r="AA2042" s="883"/>
    </row>
    <row r="2043" spans="1:27" s="211" customFormat="1" ht="15.75" customHeight="1">
      <c r="A2043" s="204" t="str">
        <f>IF(B2043&lt;&gt;"",IF(AND(B2043&gt;=_TM1,B2043&lt;=_TM2,OR(TH!L2043="1111",TH!M2043="1111")),TH!D2043,""),"")</f>
        <v/>
      </c>
      <c r="B2043" s="36">
        <f t="shared" si="479"/>
        <v>10</v>
      </c>
      <c r="C2043" s="191">
        <f t="shared" si="478"/>
        <v>41578</v>
      </c>
      <c r="D2043" s="37" t="s">
        <v>487</v>
      </c>
      <c r="E2043" s="37">
        <v>41578</v>
      </c>
      <c r="F2043" s="40" t="s">
        <v>729</v>
      </c>
      <c r="G2043" s="40" t="s">
        <v>996</v>
      </c>
      <c r="H2043" s="7" t="s">
        <v>1290</v>
      </c>
      <c r="I2043" s="256">
        <v>999</v>
      </c>
      <c r="J2043" s="256">
        <v>7710.2569588594579</v>
      </c>
      <c r="K2043" s="602">
        <f t="shared" si="480"/>
        <v>7702547</v>
      </c>
      <c r="L2043" s="39" t="s">
        <v>173</v>
      </c>
      <c r="M2043" s="39" t="s">
        <v>167</v>
      </c>
      <c r="N2043" s="39" t="str">
        <f>IF(AND('331-CT'!$E$7=TH!H2043,OR(L2043="331",M2043="331")),"331",IF(AND(OR(L2043="131",M2043="131"),H2043='131-CT'!$E$7),"131",""))</f>
        <v/>
      </c>
      <c r="O2043" s="39" t="str">
        <f>IF(AND($B2043&gt;='111'!$N$11,$B2043&lt;='111'!$O$11,OR($L2043=$O$7,$M2043=$O$7)),"x","")</f>
        <v/>
      </c>
      <c r="P2043" s="39" t="str">
        <f>IF(AND($L2043=$O$7,$B2043&lt;'111'!$N$11),"x","")</f>
        <v/>
      </c>
      <c r="Q2043" s="39" t="str">
        <f>IF(AND($M2043=$O$7,$B2043&lt;'111'!$N$11),"x","")</f>
        <v/>
      </c>
      <c r="R2043" s="39" t="str">
        <f>IF(ISERROR(FIND('112'!$M$9,G2043,1)),"",IF((AND(FIND('112'!$M$9,G2043,1)&gt;=1,$B2043&gt;='112'!$N$8,$B2043&lt;='112'!$O$8,OR($L2043='112'!$I$6,$M2043='112'!$I$6))),"x",""))</f>
        <v/>
      </c>
      <c r="S2043" s="39" t="str">
        <f>IF(ISERROR(FIND('112'!$M$9,G2043,1)),"",IF((AND(LEFT(G2043,2)=LEFT('112'!$M$9,2),B2043&lt;'112'!$N$8,$L2043='112'!$I$6)),"x",""))</f>
        <v/>
      </c>
      <c r="T2043" s="39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39" t="str">
        <f>IF(OR(TH!L2043=TH!$V$7,M2043=TH!$V$7),"x","")</f>
        <v/>
      </c>
      <c r="W2043" s="39" t="str">
        <f>IF(AND(B2043&gt;='IN-NX'!$P$3,B2043&lt;='IN-NX'!$Q$3,'IN-NX'!$D$7=D2043,OR(LEFT(L2043,2)="15",AND(LEFT(M2043,2)&lt;&gt;"15",LEFT(M2043,2)&lt;&gt;"33"))),"x","")</f>
        <v/>
      </c>
      <c r="X2043" s="39" t="str">
        <f>IF(AND(OR(LEFT(TH!L2043,2)="15",LEFT(TH!M2043,2)="15"),'152-CT'!$J$8=TH!F2043),"x","")</f>
        <v/>
      </c>
      <c r="Y2043" s="39" t="str">
        <f>IF(AND(OR(LEFT(TH!L2043,2)="15",LEFT(TH!M2043,2)="15"),TK!$E$7=TH!F2043),"x","")</f>
        <v/>
      </c>
      <c r="Z2043" s="39" t="str">
        <f>IF(AND(B2043&lt;=NKC!$N$8,B2043&gt;=NKC!$M$8),"x","")</f>
        <v/>
      </c>
      <c r="AA2043" s="883"/>
    </row>
    <row r="2044" spans="1:27" s="211" customFormat="1" ht="15.75" customHeight="1">
      <c r="A2044" s="204" t="str">
        <f>IF(B2044&lt;&gt;"",IF(AND(B2044&gt;=_TM1,B2044&lt;=_TM2,OR(TH!L2044="1111",TH!M2044="1111")),TH!D2044,""),"")</f>
        <v/>
      </c>
      <c r="B2044" s="36">
        <f t="shared" si="479"/>
        <v>10</v>
      </c>
      <c r="C2044" s="191">
        <f t="shared" si="478"/>
        <v>41578</v>
      </c>
      <c r="D2044" s="37" t="s">
        <v>487</v>
      </c>
      <c r="E2044" s="37">
        <v>41578</v>
      </c>
      <c r="F2044" s="192" t="s">
        <v>836</v>
      </c>
      <c r="G2044" s="40" t="s">
        <v>997</v>
      </c>
      <c r="H2044" s="7" t="s">
        <v>1290</v>
      </c>
      <c r="I2044" s="256">
        <v>397</v>
      </c>
      <c r="J2044" s="256">
        <v>9507.7219301279565</v>
      </c>
      <c r="K2044" s="602">
        <f t="shared" si="480"/>
        <v>3774566</v>
      </c>
      <c r="L2044" s="39" t="s">
        <v>173</v>
      </c>
      <c r="M2044" s="39" t="s">
        <v>167</v>
      </c>
      <c r="N2044" s="39" t="str">
        <f>IF(AND('331-CT'!$E$7=TH!H2044,OR(L2044="331",M2044="331")),"331",IF(AND(OR(L2044="131",M2044="131"),H2044='131-CT'!$E$7),"131",""))</f>
        <v/>
      </c>
      <c r="O2044" s="39" t="str">
        <f>IF(AND($B2044&gt;='111'!$N$11,$B2044&lt;='111'!$O$11,OR($L2044=$O$7,$M2044=$O$7)),"x","")</f>
        <v/>
      </c>
      <c r="P2044" s="39" t="str">
        <f>IF(AND($L2044=$O$7,$B2044&lt;'111'!$N$11),"x","")</f>
        <v/>
      </c>
      <c r="Q2044" s="39" t="str">
        <f>IF(AND($M2044=$O$7,$B2044&lt;'111'!$N$11),"x","")</f>
        <v/>
      </c>
      <c r="R2044" s="39" t="str">
        <f>IF(ISERROR(FIND('112'!$M$9,G2044,1)),"",IF((AND(FIND('112'!$M$9,G2044,1)&gt;=1,$B2044&gt;='112'!$N$8,$B2044&lt;='112'!$O$8,OR($L2044='112'!$I$6,$M2044='112'!$I$6))),"x",""))</f>
        <v/>
      </c>
      <c r="S2044" s="39" t="str">
        <f>IF(ISERROR(FIND('112'!$M$9,G2044,1)),"",IF((AND(LEFT(G2044,2)=LEFT('112'!$M$9,2),B2044&lt;'112'!$N$8,$L2044='112'!$I$6)),"x",""))</f>
        <v/>
      </c>
      <c r="T2044" s="39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39" t="str">
        <f>IF(OR(TH!L2044=TH!$V$7,M2044=TH!$V$7),"x","")</f>
        <v/>
      </c>
      <c r="W2044" s="39" t="str">
        <f>IF(AND(B2044&gt;='IN-NX'!$P$3,B2044&lt;='IN-NX'!$Q$3,'IN-NX'!$D$7=D2044,OR(LEFT(L2044,2)="15",AND(LEFT(M2044,2)&lt;&gt;"15",LEFT(M2044,2)&lt;&gt;"33"))),"x","")</f>
        <v/>
      </c>
      <c r="X2044" s="39" t="str">
        <f>IF(AND(OR(LEFT(TH!L2044,2)="15",LEFT(TH!M2044,2)="15"),'152-CT'!$J$8=TH!F2044),"x","")</f>
        <v/>
      </c>
      <c r="Y2044" s="39" t="str">
        <f>IF(AND(OR(LEFT(TH!L2044,2)="15",LEFT(TH!M2044,2)="15"),TK!$E$7=TH!F2044),"x","")</f>
        <v/>
      </c>
      <c r="Z2044" s="39" t="str">
        <f>IF(AND(B2044&lt;=NKC!$N$8,B2044&gt;=NKC!$M$8),"x","")</f>
        <v/>
      </c>
      <c r="AA2044" s="883"/>
    </row>
    <row r="2045" spans="1:27" s="211" customFormat="1" ht="15.75" customHeight="1">
      <c r="A2045" s="204" t="str">
        <f>IF(B2045&lt;&gt;"",IF(AND(B2045&gt;=_TM1,B2045&lt;=_TM2,OR(TH!L2045="1111",TH!M2045="1111")),TH!D2045,""),"")</f>
        <v/>
      </c>
      <c r="B2045" s="36">
        <f t="shared" si="479"/>
        <v>10</v>
      </c>
      <c r="C2045" s="191">
        <f t="shared" si="478"/>
        <v>41578</v>
      </c>
      <c r="D2045" s="37" t="s">
        <v>487</v>
      </c>
      <c r="E2045" s="37">
        <v>41578</v>
      </c>
      <c r="F2045" s="40" t="s">
        <v>883</v>
      </c>
      <c r="G2045" s="40" t="s">
        <v>998</v>
      </c>
      <c r="H2045" s="7" t="s">
        <v>1290</v>
      </c>
      <c r="I2045" s="256">
        <v>497</v>
      </c>
      <c r="J2045" s="256">
        <v>8971.6592061771989</v>
      </c>
      <c r="K2045" s="602">
        <f t="shared" si="480"/>
        <v>4458915</v>
      </c>
      <c r="L2045" s="39" t="s">
        <v>173</v>
      </c>
      <c r="M2045" s="39" t="s">
        <v>167</v>
      </c>
      <c r="N2045" s="39" t="str">
        <f>IF(AND('331-CT'!$E$7=TH!H2045,OR(L2045="331",M2045="331")),"331",IF(AND(OR(L2045="131",M2045="131"),H2045='131-CT'!$E$7),"131",""))</f>
        <v/>
      </c>
      <c r="O2045" s="39" t="str">
        <f>IF(AND($B2045&gt;='111'!$N$11,$B2045&lt;='111'!$O$11,OR($L2045=$O$7,$M2045=$O$7)),"x","")</f>
        <v/>
      </c>
      <c r="P2045" s="39" t="str">
        <f>IF(AND($L2045=$O$7,$B2045&lt;'111'!$N$11),"x","")</f>
        <v/>
      </c>
      <c r="Q2045" s="39" t="str">
        <f>IF(AND($M2045=$O$7,$B2045&lt;'111'!$N$11),"x","")</f>
        <v/>
      </c>
      <c r="R2045" s="39" t="str">
        <f>IF(ISERROR(FIND('112'!$M$9,G2045,1)),"",IF((AND(FIND('112'!$M$9,G2045,1)&gt;=1,$B2045&gt;='112'!$N$8,$B2045&lt;='112'!$O$8,OR($L2045='112'!$I$6,$M2045='112'!$I$6))),"x",""))</f>
        <v/>
      </c>
      <c r="S2045" s="39" t="str">
        <f>IF(ISERROR(FIND('112'!$M$9,G2045,1)),"",IF((AND(LEFT(G2045,2)=LEFT('112'!$M$9,2),B2045&lt;'112'!$N$8,$L2045='112'!$I$6)),"x",""))</f>
        <v/>
      </c>
      <c r="T2045" s="39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39" t="str">
        <f>IF(OR(TH!L2045=TH!$V$7,M2045=TH!$V$7),"x","")</f>
        <v/>
      </c>
      <c r="W2045" s="39" t="str">
        <f>IF(AND(B2045&gt;='IN-NX'!$P$3,B2045&lt;='IN-NX'!$Q$3,'IN-NX'!$D$7=D2045,OR(LEFT(L2045,2)="15",AND(LEFT(M2045,2)&lt;&gt;"15",LEFT(M2045,2)&lt;&gt;"33"))),"x","")</f>
        <v/>
      </c>
      <c r="X2045" s="39" t="str">
        <f>IF(AND(OR(LEFT(TH!L2045,2)="15",LEFT(TH!M2045,2)="15"),'152-CT'!$J$8=TH!F2045),"x","")</f>
        <v/>
      </c>
      <c r="Y2045" s="39" t="str">
        <f>IF(AND(OR(LEFT(TH!L2045,2)="15",LEFT(TH!M2045,2)="15"),TK!$E$7=TH!F2045),"x","")</f>
        <v/>
      </c>
      <c r="Z2045" s="39" t="str">
        <f>IF(AND(B2045&lt;=NKC!$N$8,B2045&gt;=NKC!$M$8),"x","")</f>
        <v/>
      </c>
      <c r="AA2045" s="883"/>
    </row>
    <row r="2046" spans="1:27" s="211" customFormat="1" ht="15.75" customHeight="1">
      <c r="A2046" s="204" t="str">
        <f>IF(B2046&lt;&gt;"",IF(AND(B2046&gt;=_TM1,B2046&lt;=_TM2,OR(TH!L2046="1111",TH!M2046="1111")),TH!D2046,""),"")</f>
        <v/>
      </c>
      <c r="B2046" s="36">
        <f t="shared" si="479"/>
        <v>10</v>
      </c>
      <c r="C2046" s="191">
        <f t="shared" si="478"/>
        <v>41578</v>
      </c>
      <c r="D2046" s="37" t="s">
        <v>487</v>
      </c>
      <c r="E2046" s="37">
        <v>41578</v>
      </c>
      <c r="F2046" s="192" t="s">
        <v>806</v>
      </c>
      <c r="G2046" s="40" t="s">
        <v>999</v>
      </c>
      <c r="H2046" s="7" t="s">
        <v>1290</v>
      </c>
      <c r="I2046" s="256">
        <v>292</v>
      </c>
      <c r="J2046" s="256">
        <v>9328.4901920926914</v>
      </c>
      <c r="K2046" s="602">
        <f t="shared" si="480"/>
        <v>2723919</v>
      </c>
      <c r="L2046" s="39" t="s">
        <v>173</v>
      </c>
      <c r="M2046" s="39" t="s">
        <v>167</v>
      </c>
      <c r="N2046" s="39" t="str">
        <f>IF(AND('331-CT'!$E$7=TH!H2046,OR(L2046="331",M2046="331")),"331",IF(AND(OR(L2046="131",M2046="131"),H2046='131-CT'!$E$7),"131",""))</f>
        <v/>
      </c>
      <c r="O2046" s="39" t="str">
        <f>IF(AND($B2046&gt;='111'!$N$11,$B2046&lt;='111'!$O$11,OR($L2046=$O$7,$M2046=$O$7)),"x","")</f>
        <v/>
      </c>
      <c r="P2046" s="39" t="str">
        <f>IF(AND($L2046=$O$7,$B2046&lt;'111'!$N$11),"x","")</f>
        <v/>
      </c>
      <c r="Q2046" s="39" t="str">
        <f>IF(AND($M2046=$O$7,$B2046&lt;'111'!$N$11),"x","")</f>
        <v/>
      </c>
      <c r="R2046" s="39" t="str">
        <f>IF(ISERROR(FIND('112'!$M$9,G2046,1)),"",IF((AND(FIND('112'!$M$9,G2046,1)&gt;=1,$B2046&gt;='112'!$N$8,$B2046&lt;='112'!$O$8,OR($L2046='112'!$I$6,$M2046='112'!$I$6))),"x",""))</f>
        <v/>
      </c>
      <c r="S2046" s="39" t="str">
        <f>IF(ISERROR(FIND('112'!$M$9,G2046,1)),"",IF((AND(LEFT(G2046,2)=LEFT('112'!$M$9,2),B2046&lt;'112'!$N$8,$L2046='112'!$I$6)),"x",""))</f>
        <v/>
      </c>
      <c r="T2046" s="39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39" t="str">
        <f>IF(OR(TH!L2046=TH!$V$7,M2046=TH!$V$7),"x","")</f>
        <v/>
      </c>
      <c r="W2046" s="39" t="str">
        <f>IF(AND(B2046&gt;='IN-NX'!$P$3,B2046&lt;='IN-NX'!$Q$3,'IN-NX'!$D$7=D2046,OR(LEFT(L2046,2)="15",AND(LEFT(M2046,2)&lt;&gt;"15",LEFT(M2046,2)&lt;&gt;"33"))),"x","")</f>
        <v/>
      </c>
      <c r="X2046" s="39" t="str">
        <f>IF(AND(OR(LEFT(TH!L2046,2)="15",LEFT(TH!M2046,2)="15"),'152-CT'!$J$8=TH!F2046),"x","")</f>
        <v/>
      </c>
      <c r="Y2046" s="39" t="str">
        <f>IF(AND(OR(LEFT(TH!L2046,2)="15",LEFT(TH!M2046,2)="15"),TK!$E$7=TH!F2046),"x","")</f>
        <v/>
      </c>
      <c r="Z2046" s="39" t="str">
        <f>IF(AND(B2046&lt;=NKC!$N$8,B2046&gt;=NKC!$M$8),"x","")</f>
        <v/>
      </c>
      <c r="AA2046" s="883"/>
    </row>
    <row r="2047" spans="1:27" s="211" customFormat="1" ht="15.75" customHeight="1">
      <c r="A2047" s="204" t="str">
        <f>IF(B2047&lt;&gt;"",IF(AND(B2047&gt;=_TM1,B2047&lt;=_TM2,OR(TH!L2047="1111",TH!M2047="1111")),TH!D2047,""),"")</f>
        <v/>
      </c>
      <c r="B2047" s="36">
        <f t="shared" si="479"/>
        <v>11</v>
      </c>
      <c r="C2047" s="191">
        <f t="shared" si="478"/>
        <v>41582</v>
      </c>
      <c r="D2047" s="37" t="s">
        <v>487</v>
      </c>
      <c r="E2047" s="37">
        <v>41582</v>
      </c>
      <c r="F2047" s="40" t="s">
        <v>815</v>
      </c>
      <c r="G2047" s="40" t="s">
        <v>1000</v>
      </c>
      <c r="H2047" s="7" t="s">
        <v>1290</v>
      </c>
      <c r="I2047" s="256">
        <v>500</v>
      </c>
      <c r="J2047" s="256">
        <v>16943.49019209269</v>
      </c>
      <c r="K2047" s="602">
        <f t="shared" si="480"/>
        <v>8471745</v>
      </c>
      <c r="L2047" s="39" t="s">
        <v>173</v>
      </c>
      <c r="M2047" s="39" t="s">
        <v>167</v>
      </c>
      <c r="N2047" s="39" t="str">
        <f>IF(AND('331-CT'!$E$7=TH!H2047,OR(L2047="331",M2047="331")),"331",IF(AND(OR(L2047="131",M2047="131"),H2047='131-CT'!$E$7),"131",""))</f>
        <v/>
      </c>
      <c r="O2047" s="39" t="str">
        <f>IF(AND($B2047&gt;='111'!$N$11,$B2047&lt;='111'!$O$11,OR($L2047=$O$7,$M2047=$O$7)),"x","")</f>
        <v/>
      </c>
      <c r="P2047" s="39" t="str">
        <f>IF(AND($L2047=$O$7,$B2047&lt;'111'!$N$11),"x","")</f>
        <v/>
      </c>
      <c r="Q2047" s="39" t="str">
        <f>IF(AND($M2047=$O$7,$B2047&lt;'111'!$N$11),"x","")</f>
        <v/>
      </c>
      <c r="R2047" s="39" t="str">
        <f>IF(ISERROR(FIND('112'!$M$9,G2047,1)),"",IF((AND(FIND('112'!$M$9,G2047,1)&gt;=1,$B2047&gt;='112'!$N$8,$B2047&lt;='112'!$O$8,OR($L2047='112'!$I$6,$M2047='112'!$I$6))),"x",""))</f>
        <v/>
      </c>
      <c r="S2047" s="39" t="str">
        <f>IF(ISERROR(FIND('112'!$M$9,G2047,1)),"",IF((AND(LEFT(G2047,2)=LEFT('112'!$M$9,2),B2047&lt;'112'!$N$8,$L2047='112'!$I$6)),"x",""))</f>
        <v/>
      </c>
      <c r="T2047" s="39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39" t="str">
        <f>IF(OR(TH!L2047=TH!$V$7,M2047=TH!$V$7),"x","")</f>
        <v/>
      </c>
      <c r="W2047" s="39" t="str">
        <f>IF(AND(B2047&gt;='IN-NX'!$P$3,B2047&lt;='IN-NX'!$Q$3,'IN-NX'!$D$7=D2047,OR(LEFT(L2047,2)="15",AND(LEFT(M2047,2)&lt;&gt;"15",LEFT(M2047,2)&lt;&gt;"33"))),"x","")</f>
        <v/>
      </c>
      <c r="X2047" s="39" t="str">
        <f>IF(AND(OR(LEFT(TH!L2047,2)="15",LEFT(TH!M2047,2)="15"),'152-CT'!$J$8=TH!F2047),"x","")</f>
        <v/>
      </c>
      <c r="Y2047" s="39" t="str">
        <f>IF(AND(OR(LEFT(TH!L2047,2)="15",LEFT(TH!M2047,2)="15"),TK!$E$7=TH!F2047),"x","")</f>
        <v/>
      </c>
      <c r="Z2047" s="39" t="str">
        <f>IF(AND(B2047&lt;=NKC!$N$8,B2047&gt;=NKC!$M$8),"x","")</f>
        <v/>
      </c>
      <c r="AA2047" s="883"/>
    </row>
    <row r="2048" spans="1:27" s="211" customFormat="1" ht="15.75" customHeight="1">
      <c r="A2048" s="204" t="str">
        <f>IF(B2048&lt;&gt;"",IF(AND(B2048&gt;=_TM1,B2048&lt;=_TM2,OR(TH!L2048="1111",TH!M2048="1111")),TH!D2048,""),"")</f>
        <v/>
      </c>
      <c r="B2048" s="36">
        <f t="shared" si="479"/>
        <v>11</v>
      </c>
      <c r="C2048" s="191">
        <f t="shared" si="478"/>
        <v>41582</v>
      </c>
      <c r="D2048" s="37" t="s">
        <v>487</v>
      </c>
      <c r="E2048" s="37">
        <v>41582</v>
      </c>
      <c r="F2048" s="40" t="s">
        <v>817</v>
      </c>
      <c r="G2048" s="40" t="s">
        <v>1000</v>
      </c>
      <c r="H2048" s="7" t="s">
        <v>1290</v>
      </c>
      <c r="I2048" s="256">
        <v>1000</v>
      </c>
      <c r="J2048" s="256">
        <v>1362.7401920926923</v>
      </c>
      <c r="K2048" s="602">
        <f t="shared" si="480"/>
        <v>1362740</v>
      </c>
      <c r="L2048" s="39" t="s">
        <v>173</v>
      </c>
      <c r="M2048" s="39" t="s">
        <v>167</v>
      </c>
      <c r="N2048" s="39" t="str">
        <f>IF(AND('331-CT'!$E$7=TH!H2048,OR(L2048="331",M2048="331")),"331",IF(AND(OR(L2048="131",M2048="131"),H2048='131-CT'!$E$7),"131",""))</f>
        <v/>
      </c>
      <c r="O2048" s="39" t="str">
        <f>IF(AND($B2048&gt;='111'!$N$11,$B2048&lt;='111'!$O$11,OR($L2048=$O$7,$M2048=$O$7)),"x","")</f>
        <v/>
      </c>
      <c r="P2048" s="39" t="str">
        <f>IF(AND($L2048=$O$7,$B2048&lt;'111'!$N$11),"x","")</f>
        <v/>
      </c>
      <c r="Q2048" s="39" t="str">
        <f>IF(AND($M2048=$O$7,$B2048&lt;'111'!$N$11),"x","")</f>
        <v/>
      </c>
      <c r="R2048" s="39" t="str">
        <f>IF(ISERROR(FIND('112'!$M$9,G2048,1)),"",IF((AND(FIND('112'!$M$9,G2048,1)&gt;=1,$B2048&gt;='112'!$N$8,$B2048&lt;='112'!$O$8,OR($L2048='112'!$I$6,$M2048='112'!$I$6))),"x",""))</f>
        <v/>
      </c>
      <c r="S2048" s="39" t="str">
        <f>IF(ISERROR(FIND('112'!$M$9,G2048,1)),"",IF((AND(LEFT(G2048,2)=LEFT('112'!$M$9,2),B2048&lt;'112'!$N$8,$L2048='112'!$I$6)),"x",""))</f>
        <v/>
      </c>
      <c r="T2048" s="39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39" t="str">
        <f>IF(OR(TH!L2048=TH!$V$7,M2048=TH!$V$7),"x","")</f>
        <v/>
      </c>
      <c r="W2048" s="39" t="str">
        <f>IF(AND(B2048&gt;='IN-NX'!$P$3,B2048&lt;='IN-NX'!$Q$3,'IN-NX'!$D$7=D2048,OR(LEFT(L2048,2)="15",AND(LEFT(M2048,2)&lt;&gt;"15",LEFT(M2048,2)&lt;&gt;"33"))),"x","")</f>
        <v/>
      </c>
      <c r="X2048" s="39" t="str">
        <f>IF(AND(OR(LEFT(TH!L2048,2)="15",LEFT(TH!M2048,2)="15"),'152-CT'!$J$8=TH!F2048),"x","")</f>
        <v/>
      </c>
      <c r="Y2048" s="39" t="str">
        <f>IF(AND(OR(LEFT(TH!L2048,2)="15",LEFT(TH!M2048,2)="15"),TK!$E$7=TH!F2048),"x","")</f>
        <v/>
      </c>
      <c r="Z2048" s="39" t="str">
        <f>IF(AND(B2048&lt;=NKC!$N$8,B2048&gt;=NKC!$M$8),"x","")</f>
        <v/>
      </c>
      <c r="AA2048" s="883"/>
    </row>
    <row r="2049" spans="1:27" s="211" customFormat="1" ht="15.75" customHeight="1">
      <c r="A2049" s="204" t="str">
        <f>IF(B2049&lt;&gt;"",IF(AND(B2049&gt;=_TM1,B2049&lt;=_TM2,OR(TH!L2049="1111",TH!M2049="1111")),TH!D2049,""),"")</f>
        <v/>
      </c>
      <c r="B2049" s="36">
        <f t="shared" si="479"/>
        <v>11</v>
      </c>
      <c r="C2049" s="191">
        <f t="shared" si="478"/>
        <v>41583</v>
      </c>
      <c r="D2049" s="37" t="s">
        <v>487</v>
      </c>
      <c r="E2049" s="37">
        <v>41583</v>
      </c>
      <c r="F2049" s="40" t="s">
        <v>1001</v>
      </c>
      <c r="G2049" s="40" t="s">
        <v>1002</v>
      </c>
      <c r="H2049" s="7" t="s">
        <v>1290</v>
      </c>
      <c r="I2049" s="256">
        <v>1005</v>
      </c>
      <c r="J2049" s="256">
        <v>5520.6046199533885</v>
      </c>
      <c r="K2049" s="602">
        <f t="shared" si="480"/>
        <v>5548208</v>
      </c>
      <c r="L2049" s="39" t="s">
        <v>173</v>
      </c>
      <c r="M2049" s="39" t="s">
        <v>167</v>
      </c>
      <c r="N2049" s="39" t="str">
        <f>IF(AND('331-CT'!$E$7=TH!H2049,OR(L2049="331",M2049="331")),"331",IF(AND(OR(L2049="131",M2049="131"),H2049='131-CT'!$E$7),"131",""))</f>
        <v/>
      </c>
      <c r="O2049" s="39" t="str">
        <f>IF(AND($B2049&gt;='111'!$N$11,$B2049&lt;='111'!$O$11,OR($L2049=$O$7,$M2049=$O$7)),"x","")</f>
        <v/>
      </c>
      <c r="P2049" s="39" t="str">
        <f>IF(AND($L2049=$O$7,$B2049&lt;'111'!$N$11),"x","")</f>
        <v/>
      </c>
      <c r="Q2049" s="39" t="str">
        <f>IF(AND($M2049=$O$7,$B2049&lt;'111'!$N$11),"x","")</f>
        <v/>
      </c>
      <c r="R2049" s="39" t="str">
        <f>IF(ISERROR(FIND('112'!$M$9,G2049,1)),"",IF((AND(FIND('112'!$M$9,G2049,1)&gt;=1,$B2049&gt;='112'!$N$8,$B2049&lt;='112'!$O$8,OR($L2049='112'!$I$6,$M2049='112'!$I$6))),"x",""))</f>
        <v/>
      </c>
      <c r="S2049" s="39" t="str">
        <f>IF(ISERROR(FIND('112'!$M$9,G2049,1)),"",IF((AND(LEFT(G2049,2)=LEFT('112'!$M$9,2),B2049&lt;'112'!$N$8,$L2049='112'!$I$6)),"x",""))</f>
        <v/>
      </c>
      <c r="T2049" s="39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39" t="str">
        <f>IF(OR(TH!L2049=TH!$V$7,M2049=TH!$V$7),"x","")</f>
        <v/>
      </c>
      <c r="W2049" s="39" t="str">
        <f>IF(AND(B2049&gt;='IN-NX'!$P$3,B2049&lt;='IN-NX'!$Q$3,'IN-NX'!$D$7=D2049,OR(LEFT(L2049,2)="15",AND(LEFT(M2049,2)&lt;&gt;"15",LEFT(M2049,2)&lt;&gt;"33"))),"x","")</f>
        <v/>
      </c>
      <c r="X2049" s="39" t="str">
        <f>IF(AND(OR(LEFT(TH!L2049,2)="15",LEFT(TH!M2049,2)="15"),'152-CT'!$J$8=TH!F2049),"x","")</f>
        <v/>
      </c>
      <c r="Y2049" s="39" t="str">
        <f>IF(AND(OR(LEFT(TH!L2049,2)="15",LEFT(TH!M2049,2)="15"),TK!$E$7=TH!F2049),"x","")</f>
        <v/>
      </c>
      <c r="Z2049" s="39" t="str">
        <f>IF(AND(B2049&lt;=NKC!$N$8,B2049&gt;=NKC!$M$8),"x","")</f>
        <v/>
      </c>
      <c r="AA2049" s="883"/>
    </row>
    <row r="2050" spans="1:27" s="211" customFormat="1" ht="15.75" customHeight="1">
      <c r="A2050" s="204" t="str">
        <f>IF(B2050&lt;&gt;"",IF(AND(B2050&gt;=_TM1,B2050&lt;=_TM2,OR(TH!L2050="1111",TH!M2050="1111")),TH!D2050,""),"")</f>
        <v/>
      </c>
      <c r="B2050" s="36">
        <f t="shared" si="479"/>
        <v>11</v>
      </c>
      <c r="C2050" s="191">
        <f t="shared" si="478"/>
        <v>41584</v>
      </c>
      <c r="D2050" s="37" t="s">
        <v>487</v>
      </c>
      <c r="E2050" s="191">
        <v>41584</v>
      </c>
      <c r="F2050" s="192" t="s">
        <v>859</v>
      </c>
      <c r="G2050" s="487" t="s">
        <v>1003</v>
      </c>
      <c r="H2050" s="7" t="s">
        <v>1290</v>
      </c>
      <c r="I2050" s="256">
        <v>995</v>
      </c>
      <c r="J2050" s="256">
        <v>18631.93240314797</v>
      </c>
      <c r="K2050" s="602">
        <f t="shared" si="480"/>
        <v>18538773</v>
      </c>
      <c r="L2050" s="39" t="s">
        <v>173</v>
      </c>
      <c r="M2050" s="39" t="s">
        <v>167</v>
      </c>
      <c r="N2050" s="39" t="str">
        <f>IF(AND('331-CT'!$E$7=TH!H2050,OR(L2050="331",M2050="331")),"331",IF(AND(OR(L2050="131",M2050="131"),H2050='131-CT'!$E$7),"131",""))</f>
        <v/>
      </c>
      <c r="O2050" s="39" t="str">
        <f>IF(AND($B2050&gt;='111'!$N$11,$B2050&lt;='111'!$O$11,OR($L2050=$O$7,$M2050=$O$7)),"x","")</f>
        <v/>
      </c>
      <c r="P2050" s="39" t="str">
        <f>IF(AND($L2050=$O$7,$B2050&lt;'111'!$N$11),"x","")</f>
        <v/>
      </c>
      <c r="Q2050" s="39" t="str">
        <f>IF(AND($M2050=$O$7,$B2050&lt;'111'!$N$11),"x","")</f>
        <v/>
      </c>
      <c r="R2050" s="39" t="str">
        <f>IF(ISERROR(FIND('112'!$M$9,G2050,1)),"",IF((AND(FIND('112'!$M$9,G2050,1)&gt;=1,$B2050&gt;='112'!$N$8,$B2050&lt;='112'!$O$8,OR($L2050='112'!$I$6,$M2050='112'!$I$6))),"x",""))</f>
        <v/>
      </c>
      <c r="S2050" s="39" t="str">
        <f>IF(ISERROR(FIND('112'!$M$9,G2050,1)),"",IF((AND(LEFT(G2050,2)=LEFT('112'!$M$9,2),B2050&lt;'112'!$N$8,$L2050='112'!$I$6)),"x",""))</f>
        <v/>
      </c>
      <c r="T2050" s="39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39" t="str">
        <f>IF(OR(TH!L2050=TH!$V$7,M2050=TH!$V$7),"x","")</f>
        <v/>
      </c>
      <c r="W2050" s="39" t="str">
        <f>IF(AND(B2050&gt;='IN-NX'!$P$3,B2050&lt;='IN-NX'!$Q$3,'IN-NX'!$D$7=D2050,OR(LEFT(L2050,2)="15",AND(LEFT(M2050,2)&lt;&gt;"15",LEFT(M2050,2)&lt;&gt;"33"))),"x","")</f>
        <v/>
      </c>
      <c r="X2050" s="39" t="str">
        <f>IF(AND(OR(LEFT(TH!L2050,2)="15",LEFT(TH!M2050,2)="15"),'152-CT'!$J$8=TH!F2050),"x","")</f>
        <v/>
      </c>
      <c r="Y2050" s="39" t="str">
        <f>IF(AND(OR(LEFT(TH!L2050,2)="15",LEFT(TH!M2050,2)="15"),TK!$E$7=TH!F2050),"x","")</f>
        <v/>
      </c>
      <c r="Z2050" s="39" t="str">
        <f>IF(AND(B2050&lt;=NKC!$N$8,B2050&gt;=NKC!$M$8),"x","")</f>
        <v/>
      </c>
      <c r="AA2050" s="883"/>
    </row>
    <row r="2051" spans="1:27" s="211" customFormat="1" ht="15.75" customHeight="1">
      <c r="A2051" s="204" t="str">
        <f>IF(B2051&lt;&gt;"",IF(AND(B2051&gt;=_TM1,B2051&lt;=_TM2,OR(TH!L2051="1111",TH!M2051="1111")),TH!D2051,""),"")</f>
        <v/>
      </c>
      <c r="B2051" s="36">
        <f t="shared" si="479"/>
        <v>11</v>
      </c>
      <c r="C2051" s="191">
        <f t="shared" si="478"/>
        <v>41586</v>
      </c>
      <c r="D2051" s="37" t="s">
        <v>487</v>
      </c>
      <c r="E2051" s="191">
        <v>41586</v>
      </c>
      <c r="F2051" s="192" t="s">
        <v>1133</v>
      </c>
      <c r="G2051" s="487" t="s">
        <v>647</v>
      </c>
      <c r="H2051" s="7" t="s">
        <v>1290</v>
      </c>
      <c r="I2051" s="256">
        <v>200</v>
      </c>
      <c r="J2051" s="256">
        <v>6518.7401920926923</v>
      </c>
      <c r="K2051" s="602">
        <f t="shared" si="480"/>
        <v>1303748</v>
      </c>
      <c r="L2051" s="39" t="s">
        <v>173</v>
      </c>
      <c r="M2051" s="39" t="s">
        <v>167</v>
      </c>
      <c r="N2051" s="39" t="str">
        <f>IF(AND('331-CT'!$E$7=TH!H2051,OR(L2051="331",M2051="331")),"331",IF(AND(OR(L2051="131",M2051="131"),H2051='131-CT'!$E$7),"131",""))</f>
        <v/>
      </c>
      <c r="O2051" s="39" t="str">
        <f>IF(AND($B2051&gt;='111'!$N$11,$B2051&lt;='111'!$O$11,OR($L2051=$O$7,$M2051=$O$7)),"x","")</f>
        <v/>
      </c>
      <c r="P2051" s="39" t="str">
        <f>IF(AND($L2051=$O$7,$B2051&lt;'111'!$N$11),"x","")</f>
        <v/>
      </c>
      <c r="Q2051" s="39" t="str">
        <f>IF(AND($M2051=$O$7,$B2051&lt;'111'!$N$11),"x","")</f>
        <v/>
      </c>
      <c r="R2051" s="39" t="str">
        <f>IF(ISERROR(FIND('112'!$M$9,G2051,1)),"",IF((AND(FIND('112'!$M$9,G2051,1)&gt;=1,$B2051&gt;='112'!$N$8,$B2051&lt;='112'!$O$8,OR($L2051='112'!$I$6,$M2051='112'!$I$6))),"x",""))</f>
        <v/>
      </c>
      <c r="S2051" s="39" t="str">
        <f>IF(ISERROR(FIND('112'!$M$9,G2051,1)),"",IF((AND(LEFT(G2051,2)=LEFT('112'!$M$9,2),B2051&lt;'112'!$N$8,$L2051='112'!$I$6)),"x",""))</f>
        <v/>
      </c>
      <c r="T2051" s="39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39" t="str">
        <f>IF(OR(TH!L2051=TH!$V$7,M2051=TH!$V$7),"x","")</f>
        <v/>
      </c>
      <c r="W2051" s="39" t="str">
        <f>IF(AND(B2051&gt;='IN-NX'!$P$3,B2051&lt;='IN-NX'!$Q$3,'IN-NX'!$D$7=D2051,OR(LEFT(L2051,2)="15",AND(LEFT(M2051,2)&lt;&gt;"15",LEFT(M2051,2)&lt;&gt;"33"))),"x","")</f>
        <v/>
      </c>
      <c r="X2051" s="39" t="str">
        <f>IF(AND(OR(LEFT(TH!L2051,2)="15",LEFT(TH!M2051,2)="15"),'152-CT'!$J$8=TH!F2051),"x","")</f>
        <v/>
      </c>
      <c r="Y2051" s="39" t="str">
        <f>IF(AND(OR(LEFT(TH!L2051,2)="15",LEFT(TH!M2051,2)="15"),TK!$E$7=TH!F2051),"x","")</f>
        <v/>
      </c>
      <c r="Z2051" s="39" t="str">
        <f>IF(AND(B2051&lt;=NKC!$N$8,B2051&gt;=NKC!$M$8),"x","")</f>
        <v/>
      </c>
      <c r="AA2051" s="883"/>
    </row>
    <row r="2052" spans="1:27" s="211" customFormat="1" ht="15.75" customHeight="1">
      <c r="A2052" s="204" t="str">
        <f>IF(B2052&lt;&gt;"",IF(AND(B2052&gt;=_TM1,B2052&lt;=_TM2,OR(TH!L2052="1111",TH!M2052="1111")),TH!D2052,""),"")</f>
        <v/>
      </c>
      <c r="B2052" s="36">
        <f t="shared" si="479"/>
        <v>11</v>
      </c>
      <c r="C2052" s="191">
        <f t="shared" si="478"/>
        <v>41586</v>
      </c>
      <c r="D2052" s="37" t="s">
        <v>487</v>
      </c>
      <c r="E2052" s="191">
        <v>41586</v>
      </c>
      <c r="F2052" s="192" t="s">
        <v>1134</v>
      </c>
      <c r="G2052" s="485" t="s">
        <v>647</v>
      </c>
      <c r="H2052" s="7" t="s">
        <v>1290</v>
      </c>
      <c r="I2052" s="256">
        <v>157</v>
      </c>
      <c r="J2052" s="256">
        <v>20009.987007379314</v>
      </c>
      <c r="K2052" s="602">
        <f t="shared" si="480"/>
        <v>3141568</v>
      </c>
      <c r="L2052" s="39" t="s">
        <v>173</v>
      </c>
      <c r="M2052" s="39" t="s">
        <v>167</v>
      </c>
      <c r="N2052" s="39" t="str">
        <f>IF(AND('331-CT'!$E$7=TH!H2052,OR(L2052="331",M2052="331")),"331",IF(AND(OR(L2052="131",M2052="131"),H2052='131-CT'!$E$7),"131",""))</f>
        <v/>
      </c>
      <c r="O2052" s="39" t="str">
        <f>IF(AND($B2052&gt;='111'!$N$11,$B2052&lt;='111'!$O$11,OR($L2052=$O$7,$M2052=$O$7)),"x","")</f>
        <v/>
      </c>
      <c r="P2052" s="39" t="str">
        <f>IF(AND($L2052=$O$7,$B2052&lt;'111'!$N$11),"x","")</f>
        <v/>
      </c>
      <c r="Q2052" s="39" t="str">
        <f>IF(AND($M2052=$O$7,$B2052&lt;'111'!$N$11),"x","")</f>
        <v/>
      </c>
      <c r="R2052" s="39" t="str">
        <f>IF(ISERROR(FIND('112'!$M$9,G2052,1)),"",IF((AND(FIND('112'!$M$9,G2052,1)&gt;=1,$B2052&gt;='112'!$N$8,$B2052&lt;='112'!$O$8,OR($L2052='112'!$I$6,$M2052='112'!$I$6))),"x",""))</f>
        <v/>
      </c>
      <c r="S2052" s="39" t="str">
        <f>IF(ISERROR(FIND('112'!$M$9,G2052,1)),"",IF((AND(LEFT(G2052,2)=LEFT('112'!$M$9,2),B2052&lt;'112'!$N$8,$L2052='112'!$I$6)),"x",""))</f>
        <v/>
      </c>
      <c r="T2052" s="39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39" t="str">
        <f>IF(OR(TH!L2052=TH!$V$7,M2052=TH!$V$7),"x","")</f>
        <v/>
      </c>
      <c r="W2052" s="39" t="str">
        <f>IF(AND(B2052&gt;='IN-NX'!$P$3,B2052&lt;='IN-NX'!$Q$3,'IN-NX'!$D$7=D2052,OR(LEFT(L2052,2)="15",AND(LEFT(M2052,2)&lt;&gt;"15",LEFT(M2052,2)&lt;&gt;"33"))),"x","")</f>
        <v/>
      </c>
      <c r="X2052" s="39" t="str">
        <f>IF(AND(OR(LEFT(TH!L2052,2)="15",LEFT(TH!M2052,2)="15"),'152-CT'!$J$8=TH!F2052),"x","")</f>
        <v/>
      </c>
      <c r="Y2052" s="39" t="str">
        <f>IF(AND(OR(LEFT(TH!L2052,2)="15",LEFT(TH!M2052,2)="15"),TK!$E$7=TH!F2052),"x","")</f>
        <v/>
      </c>
      <c r="Z2052" s="39" t="str">
        <f>IF(AND(B2052&lt;=NKC!$N$8,B2052&gt;=NKC!$M$8),"x","")</f>
        <v/>
      </c>
      <c r="AA2052" s="883"/>
    </row>
    <row r="2053" spans="1:27" s="211" customFormat="1" ht="15.75" customHeight="1">
      <c r="A2053" s="204" t="str">
        <f>IF(B2053&lt;&gt;"",IF(AND(B2053&gt;=_TM1,B2053&lt;=_TM2,OR(TH!L2053="1111",TH!M2053="1111")),TH!D2053,""),"")</f>
        <v/>
      </c>
      <c r="B2053" s="36">
        <f t="shared" si="479"/>
        <v>11</v>
      </c>
      <c r="C2053" s="191">
        <f t="shared" si="478"/>
        <v>41586</v>
      </c>
      <c r="D2053" s="37" t="s">
        <v>487</v>
      </c>
      <c r="E2053" s="191">
        <v>41586</v>
      </c>
      <c r="F2053" s="192" t="s">
        <v>1004</v>
      </c>
      <c r="G2053" s="485" t="s">
        <v>1005</v>
      </c>
      <c r="H2053" s="7" t="s">
        <v>1290</v>
      </c>
      <c r="I2053" s="256">
        <v>200</v>
      </c>
      <c r="J2053" s="256">
        <v>6967.9901920926923</v>
      </c>
      <c r="K2053" s="602">
        <f t="shared" si="480"/>
        <v>1393598</v>
      </c>
      <c r="L2053" s="39" t="s">
        <v>173</v>
      </c>
      <c r="M2053" s="39" t="s">
        <v>167</v>
      </c>
      <c r="N2053" s="39" t="str">
        <f>IF(AND('331-CT'!$E$7=TH!H2053,OR(L2053="331",M2053="331")),"331",IF(AND(OR(L2053="131",M2053="131"),H2053='131-CT'!$E$7),"131",""))</f>
        <v/>
      </c>
      <c r="O2053" s="39" t="str">
        <f>IF(AND($B2053&gt;='111'!$N$11,$B2053&lt;='111'!$O$11,OR($L2053=$O$7,$M2053=$O$7)),"x","")</f>
        <v/>
      </c>
      <c r="P2053" s="39" t="str">
        <f>IF(AND($L2053=$O$7,$B2053&lt;'111'!$N$11),"x","")</f>
        <v/>
      </c>
      <c r="Q2053" s="39" t="str">
        <f>IF(AND($M2053=$O$7,$B2053&lt;'111'!$N$11),"x","")</f>
        <v/>
      </c>
      <c r="R2053" s="39" t="str">
        <f>IF(ISERROR(FIND('112'!$M$9,G2053,1)),"",IF((AND(FIND('112'!$M$9,G2053,1)&gt;=1,$B2053&gt;='112'!$N$8,$B2053&lt;='112'!$O$8,OR($L2053='112'!$I$6,$M2053='112'!$I$6))),"x",""))</f>
        <v/>
      </c>
      <c r="S2053" s="39" t="str">
        <f>IF(ISERROR(FIND('112'!$M$9,G2053,1)),"",IF((AND(LEFT(G2053,2)=LEFT('112'!$M$9,2),B2053&lt;'112'!$N$8,$L2053='112'!$I$6)),"x",""))</f>
        <v/>
      </c>
      <c r="T2053" s="39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39" t="str">
        <f>IF(OR(TH!L2053=TH!$V$7,M2053=TH!$V$7),"x","")</f>
        <v/>
      </c>
      <c r="W2053" s="39" t="str">
        <f>IF(AND(B2053&gt;='IN-NX'!$P$3,B2053&lt;='IN-NX'!$Q$3,'IN-NX'!$D$7=D2053,OR(LEFT(L2053,2)="15",AND(LEFT(M2053,2)&lt;&gt;"15",LEFT(M2053,2)&lt;&gt;"33"))),"x","")</f>
        <v/>
      </c>
      <c r="X2053" s="39" t="str">
        <f>IF(AND(OR(LEFT(TH!L2053,2)="15",LEFT(TH!M2053,2)="15"),'152-CT'!$J$8=TH!F2053),"x","")</f>
        <v/>
      </c>
      <c r="Y2053" s="39" t="str">
        <f>IF(AND(OR(LEFT(TH!L2053,2)="15",LEFT(TH!M2053,2)="15"),TK!$E$7=TH!F2053),"x","")</f>
        <v/>
      </c>
      <c r="Z2053" s="39" t="str">
        <f>IF(AND(B2053&lt;=NKC!$N$8,B2053&gt;=NKC!$M$8),"x","")</f>
        <v/>
      </c>
      <c r="AA2053" s="883"/>
    </row>
    <row r="2054" spans="1:27" s="211" customFormat="1" ht="15.75" customHeight="1">
      <c r="A2054" s="204" t="str">
        <f>IF(B2054&lt;&gt;"",IF(AND(B2054&gt;=_TM1,B2054&lt;=_TM2,OR(TH!L2054="1111",TH!M2054="1111")),TH!D2054,""),"")</f>
        <v/>
      </c>
      <c r="B2054" s="36">
        <f t="shared" si="479"/>
        <v>11</v>
      </c>
      <c r="C2054" s="191">
        <f t="shared" si="478"/>
        <v>41586</v>
      </c>
      <c r="D2054" s="37" t="s">
        <v>487</v>
      </c>
      <c r="E2054" s="773">
        <v>41586</v>
      </c>
      <c r="F2054" s="189" t="s">
        <v>1007</v>
      </c>
      <c r="G2054" s="40" t="s">
        <v>1005</v>
      </c>
      <c r="H2054" s="7" t="s">
        <v>1290</v>
      </c>
      <c r="I2054" s="256">
        <v>100</v>
      </c>
      <c r="J2054" s="256">
        <v>13572.490192092691</v>
      </c>
      <c r="K2054" s="602">
        <f t="shared" si="480"/>
        <v>1357249</v>
      </c>
      <c r="L2054" s="39" t="s">
        <v>173</v>
      </c>
      <c r="M2054" s="39" t="s">
        <v>167</v>
      </c>
      <c r="N2054" s="39" t="str">
        <f>IF(AND('331-CT'!$E$7=TH!H2054,OR(L2054="331",M2054="331")),"331",IF(AND(OR(L2054="131",M2054="131"),H2054='131-CT'!$E$7),"131",""))</f>
        <v/>
      </c>
      <c r="O2054" s="39" t="str">
        <f>IF(AND($B2054&gt;='111'!$N$11,$B2054&lt;='111'!$O$11,OR($L2054=$O$7,$M2054=$O$7)),"x","")</f>
        <v/>
      </c>
      <c r="P2054" s="39" t="str">
        <f>IF(AND($L2054=$O$7,$B2054&lt;'111'!$N$11),"x","")</f>
        <v/>
      </c>
      <c r="Q2054" s="39" t="str">
        <f>IF(AND($M2054=$O$7,$B2054&lt;'111'!$N$11),"x","")</f>
        <v/>
      </c>
      <c r="R2054" s="39" t="str">
        <f>IF(ISERROR(FIND('112'!$M$9,G2054,1)),"",IF((AND(FIND('112'!$M$9,G2054,1)&gt;=1,$B2054&gt;='112'!$N$8,$B2054&lt;='112'!$O$8,OR($L2054='112'!$I$6,$M2054='112'!$I$6))),"x",""))</f>
        <v/>
      </c>
      <c r="S2054" s="39" t="str">
        <f>IF(ISERROR(FIND('112'!$M$9,G2054,1)),"",IF((AND(LEFT(G2054,2)=LEFT('112'!$M$9,2),B2054&lt;'112'!$N$8,$L2054='112'!$I$6)),"x",""))</f>
        <v/>
      </c>
      <c r="T2054" s="39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39" t="str">
        <f>IF(OR(TH!L2054=TH!$V$7,M2054=TH!$V$7),"x","")</f>
        <v/>
      </c>
      <c r="W2054" s="39" t="str">
        <f>IF(AND(B2054&gt;='IN-NX'!$P$3,B2054&lt;='IN-NX'!$Q$3,'IN-NX'!$D$7=D2054,OR(LEFT(L2054,2)="15",AND(LEFT(M2054,2)&lt;&gt;"15",LEFT(M2054,2)&lt;&gt;"33"))),"x","")</f>
        <v/>
      </c>
      <c r="X2054" s="39" t="str">
        <f>IF(AND(OR(LEFT(TH!L2054,2)="15",LEFT(TH!M2054,2)="15"),'152-CT'!$J$8=TH!F2054),"x","")</f>
        <v/>
      </c>
      <c r="Y2054" s="39" t="str">
        <f>IF(AND(OR(LEFT(TH!L2054,2)="15",LEFT(TH!M2054,2)="15"),TK!$E$7=TH!F2054),"x","")</f>
        <v/>
      </c>
      <c r="Z2054" s="39" t="str">
        <f>IF(AND(B2054&lt;=NKC!$N$8,B2054&gt;=NKC!$M$8),"x","")</f>
        <v/>
      </c>
      <c r="AA2054" s="883"/>
    </row>
    <row r="2055" spans="1:27" s="211" customFormat="1" ht="15.75" customHeight="1">
      <c r="A2055" s="204" t="str">
        <f>IF(B2055&lt;&gt;"",IF(AND(B2055&gt;=_TM1,B2055&lt;=_TM2,OR(TH!L2055="1111",TH!M2055="1111")),TH!D2055,""),"")</f>
        <v/>
      </c>
      <c r="B2055" s="36">
        <f t="shared" si="479"/>
        <v>11</v>
      </c>
      <c r="C2055" s="191">
        <f t="shared" si="478"/>
        <v>41586</v>
      </c>
      <c r="D2055" s="37" t="s">
        <v>487</v>
      </c>
      <c r="E2055" s="773">
        <v>41586</v>
      </c>
      <c r="F2055" s="40" t="s">
        <v>1008</v>
      </c>
      <c r="G2055" s="40" t="s">
        <v>1005</v>
      </c>
      <c r="H2055" s="7" t="s">
        <v>1290</v>
      </c>
      <c r="I2055" s="256">
        <v>150</v>
      </c>
      <c r="J2055" s="256">
        <v>12873.423525426026</v>
      </c>
      <c r="K2055" s="602">
        <f t="shared" si="480"/>
        <v>1931014</v>
      </c>
      <c r="L2055" s="39" t="s">
        <v>173</v>
      </c>
      <c r="M2055" s="39" t="s">
        <v>167</v>
      </c>
      <c r="N2055" s="39" t="str">
        <f>IF(AND('331-CT'!$E$7=TH!H2055,OR(L2055="331",M2055="331")),"331",IF(AND(OR(L2055="131",M2055="131"),H2055='131-CT'!$E$7),"131",""))</f>
        <v/>
      </c>
      <c r="O2055" s="39" t="str">
        <f>IF(AND($B2055&gt;='111'!$N$11,$B2055&lt;='111'!$O$11,OR($L2055=$O$7,$M2055=$O$7)),"x","")</f>
        <v/>
      </c>
      <c r="P2055" s="39" t="str">
        <f>IF(AND($L2055=$O$7,$B2055&lt;'111'!$N$11),"x","")</f>
        <v/>
      </c>
      <c r="Q2055" s="39" t="str">
        <f>IF(AND($M2055=$O$7,$B2055&lt;'111'!$N$11),"x","")</f>
        <v/>
      </c>
      <c r="R2055" s="39" t="str">
        <f>IF(ISERROR(FIND('112'!$M$9,G2055,1)),"",IF((AND(FIND('112'!$M$9,G2055,1)&gt;=1,$B2055&gt;='112'!$N$8,$B2055&lt;='112'!$O$8,OR($L2055='112'!$I$6,$M2055='112'!$I$6))),"x",""))</f>
        <v/>
      </c>
      <c r="S2055" s="39" t="str">
        <f>IF(ISERROR(FIND('112'!$M$9,G2055,1)),"",IF((AND(LEFT(G2055,2)=LEFT('112'!$M$9,2),B2055&lt;'112'!$N$8,$L2055='112'!$I$6)),"x",""))</f>
        <v/>
      </c>
      <c r="T2055" s="39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39" t="str">
        <f>IF(OR(TH!L2055=TH!$V$7,M2055=TH!$V$7),"x","")</f>
        <v/>
      </c>
      <c r="W2055" s="39" t="str">
        <f>IF(AND(B2055&gt;='IN-NX'!$P$3,B2055&lt;='IN-NX'!$Q$3,'IN-NX'!$D$7=D2055,OR(LEFT(L2055,2)="15",AND(LEFT(M2055,2)&lt;&gt;"15",LEFT(M2055,2)&lt;&gt;"33"))),"x","")</f>
        <v/>
      </c>
      <c r="X2055" s="39" t="str">
        <f>IF(AND(OR(LEFT(TH!L2055,2)="15",LEFT(TH!M2055,2)="15"),'152-CT'!$J$8=TH!F2055),"x","")</f>
        <v/>
      </c>
      <c r="Y2055" s="39" t="str">
        <f>IF(AND(OR(LEFT(TH!L2055,2)="15",LEFT(TH!M2055,2)="15"),TK!$E$7=TH!F2055),"x","")</f>
        <v/>
      </c>
      <c r="Z2055" s="39" t="str">
        <f>IF(AND(B2055&lt;=NKC!$N$8,B2055&gt;=NKC!$M$8),"x","")</f>
        <v/>
      </c>
      <c r="AA2055" s="883"/>
    </row>
    <row r="2056" spans="1:27" s="211" customFormat="1" ht="15.75" customHeight="1">
      <c r="A2056" s="204" t="str">
        <f>IF(B2056&lt;&gt;"",IF(AND(B2056&gt;=_TM1,B2056&lt;=_TM2,OR(TH!L2056="1111",TH!M2056="1111")),TH!D2056,""),"")</f>
        <v/>
      </c>
      <c r="B2056" s="36">
        <f t="shared" si="479"/>
        <v>11</v>
      </c>
      <c r="C2056" s="191">
        <f t="shared" si="478"/>
        <v>41591</v>
      </c>
      <c r="D2056" s="37" t="s">
        <v>487</v>
      </c>
      <c r="E2056" s="773">
        <v>41591</v>
      </c>
      <c r="F2056" s="189" t="s">
        <v>836</v>
      </c>
      <c r="G2056" s="40" t="s">
        <v>1009</v>
      </c>
      <c r="H2056" s="7" t="s">
        <v>1290</v>
      </c>
      <c r="I2056" s="256">
        <v>395</v>
      </c>
      <c r="J2056" s="256">
        <v>9551.0851288015529</v>
      </c>
      <c r="K2056" s="602">
        <f t="shared" si="480"/>
        <v>3772679</v>
      </c>
      <c r="L2056" s="39" t="s">
        <v>173</v>
      </c>
      <c r="M2056" s="39" t="s">
        <v>167</v>
      </c>
      <c r="N2056" s="39" t="str">
        <f>IF(AND('331-CT'!$E$7=TH!H2056,OR(L2056="331",M2056="331")),"331",IF(AND(OR(L2056="131",M2056="131"),H2056='131-CT'!$E$7),"131",""))</f>
        <v/>
      </c>
      <c r="O2056" s="39" t="str">
        <f>IF(AND($B2056&gt;='111'!$N$11,$B2056&lt;='111'!$O$11,OR($L2056=$O$7,$M2056=$O$7)),"x","")</f>
        <v/>
      </c>
      <c r="P2056" s="39" t="str">
        <f>IF(AND($L2056=$O$7,$B2056&lt;'111'!$N$11),"x","")</f>
        <v/>
      </c>
      <c r="Q2056" s="39" t="str">
        <f>IF(AND($M2056=$O$7,$B2056&lt;'111'!$N$11),"x","")</f>
        <v/>
      </c>
      <c r="R2056" s="39" t="str">
        <f>IF(ISERROR(FIND('112'!$M$9,G2056,1)),"",IF((AND(FIND('112'!$M$9,G2056,1)&gt;=1,$B2056&gt;='112'!$N$8,$B2056&lt;='112'!$O$8,OR($L2056='112'!$I$6,$M2056='112'!$I$6))),"x",""))</f>
        <v/>
      </c>
      <c r="S2056" s="39" t="str">
        <f>IF(ISERROR(FIND('112'!$M$9,G2056,1)),"",IF((AND(LEFT(G2056,2)=LEFT('112'!$M$9,2),B2056&lt;'112'!$N$8,$L2056='112'!$I$6)),"x",""))</f>
        <v/>
      </c>
      <c r="T2056" s="39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39" t="str">
        <f>IF(OR(TH!L2056=TH!$V$7,M2056=TH!$V$7),"x","")</f>
        <v/>
      </c>
      <c r="W2056" s="39" t="str">
        <f>IF(AND(B2056&gt;='IN-NX'!$P$3,B2056&lt;='IN-NX'!$Q$3,'IN-NX'!$D$7=D2056,OR(LEFT(L2056,2)="15",AND(LEFT(M2056,2)&lt;&gt;"15",LEFT(M2056,2)&lt;&gt;"33"))),"x","")</f>
        <v/>
      </c>
      <c r="X2056" s="39" t="str">
        <f>IF(AND(OR(LEFT(TH!L2056,2)="15",LEFT(TH!M2056,2)="15"),'152-CT'!$J$8=TH!F2056),"x","")</f>
        <v/>
      </c>
      <c r="Y2056" s="39" t="str">
        <f>IF(AND(OR(LEFT(TH!L2056,2)="15",LEFT(TH!M2056,2)="15"),TK!$E$7=TH!F2056),"x","")</f>
        <v/>
      </c>
      <c r="Z2056" s="39" t="str">
        <f>IF(AND(B2056&lt;=NKC!$N$8,B2056&gt;=NKC!$M$8),"x","")</f>
        <v/>
      </c>
      <c r="AA2056" s="883"/>
    </row>
    <row r="2057" spans="1:27" s="211" customFormat="1" ht="15.75" customHeight="1">
      <c r="A2057" s="204" t="str">
        <f>IF(B2057&lt;&gt;"",IF(AND(B2057&gt;=_TM1,B2057&lt;=_TM2,OR(TH!L2057="1111",TH!M2057="1111")),TH!D2057,""),"")</f>
        <v/>
      </c>
      <c r="B2057" s="36">
        <f t="shared" si="479"/>
        <v>11</v>
      </c>
      <c r="C2057" s="191">
        <f t="shared" si="478"/>
        <v>41592</v>
      </c>
      <c r="D2057" s="37" t="s">
        <v>487</v>
      </c>
      <c r="E2057" s="773">
        <v>41592</v>
      </c>
      <c r="F2057" s="297" t="s">
        <v>1127</v>
      </c>
      <c r="G2057" s="40" t="s">
        <v>1010</v>
      </c>
      <c r="H2057" s="7" t="s">
        <v>1290</v>
      </c>
      <c r="I2057" s="256">
        <v>500</v>
      </c>
      <c r="J2057" s="256">
        <v>15943.490192092693</v>
      </c>
      <c r="K2057" s="602">
        <f t="shared" si="480"/>
        <v>7971745</v>
      </c>
      <c r="L2057" s="39" t="s">
        <v>173</v>
      </c>
      <c r="M2057" s="39" t="s">
        <v>167</v>
      </c>
      <c r="N2057" s="39" t="str">
        <f>IF(AND('331-CT'!$E$7=TH!H2057,OR(L2057="331",M2057="331")),"331",IF(AND(OR(L2057="131",M2057="131"),H2057='131-CT'!$E$7),"131",""))</f>
        <v/>
      </c>
      <c r="O2057" s="39" t="str">
        <f>IF(AND($B2057&gt;='111'!$N$11,$B2057&lt;='111'!$O$11,OR($L2057=$O$7,$M2057=$O$7)),"x","")</f>
        <v/>
      </c>
      <c r="P2057" s="39" t="str">
        <f>IF(AND($L2057=$O$7,$B2057&lt;'111'!$N$11),"x","")</f>
        <v/>
      </c>
      <c r="Q2057" s="39" t="str">
        <f>IF(AND($M2057=$O$7,$B2057&lt;'111'!$N$11),"x","")</f>
        <v/>
      </c>
      <c r="R2057" s="39" t="str">
        <f>IF(ISERROR(FIND('112'!$M$9,G2057,1)),"",IF((AND(FIND('112'!$M$9,G2057,1)&gt;=1,$B2057&gt;='112'!$N$8,$B2057&lt;='112'!$O$8,OR($L2057='112'!$I$6,$M2057='112'!$I$6))),"x",""))</f>
        <v/>
      </c>
      <c r="S2057" s="39" t="str">
        <f>IF(ISERROR(FIND('112'!$M$9,G2057,1)),"",IF((AND(LEFT(G2057,2)=LEFT('112'!$M$9,2),B2057&lt;'112'!$N$8,$L2057='112'!$I$6)),"x",""))</f>
        <v/>
      </c>
      <c r="T2057" s="39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39" t="str">
        <f>IF(OR(TH!L2057=TH!$V$7,M2057=TH!$V$7),"x","")</f>
        <v/>
      </c>
      <c r="W2057" s="39" t="str">
        <f>IF(AND(B2057&gt;='IN-NX'!$P$3,B2057&lt;='IN-NX'!$Q$3,'IN-NX'!$D$7=D2057,OR(LEFT(L2057,2)="15",AND(LEFT(M2057,2)&lt;&gt;"15",LEFT(M2057,2)&lt;&gt;"33"))),"x","")</f>
        <v/>
      </c>
      <c r="X2057" s="39" t="str">
        <f>IF(AND(OR(LEFT(TH!L2057,2)="15",LEFT(TH!M2057,2)="15"),'152-CT'!$J$8=TH!F2057),"x","")</f>
        <v/>
      </c>
      <c r="Y2057" s="39" t="str">
        <f>IF(AND(OR(LEFT(TH!L2057,2)="15",LEFT(TH!M2057,2)="15"),TK!$E$7=TH!F2057),"x","")</f>
        <v/>
      </c>
      <c r="Z2057" s="39" t="str">
        <f>IF(AND(B2057&lt;=NKC!$N$8,B2057&gt;=NKC!$M$8),"x","")</f>
        <v/>
      </c>
      <c r="AA2057" s="883"/>
    </row>
    <row r="2058" spans="1:27" s="211" customFormat="1" ht="15.75" customHeight="1">
      <c r="A2058" s="204" t="str">
        <f>IF(B2058&lt;&gt;"",IF(AND(B2058&gt;=_TM1,B2058&lt;=_TM2,OR(TH!L2058="1111",TH!M2058="1111")),TH!D2058,""),"")</f>
        <v/>
      </c>
      <c r="B2058" s="36">
        <f t="shared" si="479"/>
        <v>11</v>
      </c>
      <c r="C2058" s="191">
        <f t="shared" si="478"/>
        <v>41592</v>
      </c>
      <c r="D2058" s="37" t="s">
        <v>487</v>
      </c>
      <c r="E2058" s="773">
        <v>41592</v>
      </c>
      <c r="F2058" s="297" t="s">
        <v>836</v>
      </c>
      <c r="G2058" s="40" t="s">
        <v>1011</v>
      </c>
      <c r="H2058" s="7" t="s">
        <v>1290</v>
      </c>
      <c r="I2058" s="256">
        <v>500</v>
      </c>
      <c r="J2058" s="256">
        <v>9443.4901920926932</v>
      </c>
      <c r="K2058" s="602">
        <f t="shared" si="480"/>
        <v>4721745</v>
      </c>
      <c r="L2058" s="39" t="s">
        <v>173</v>
      </c>
      <c r="M2058" s="39" t="s">
        <v>167</v>
      </c>
      <c r="N2058" s="39" t="str">
        <f>IF(AND('331-CT'!$E$7=TH!H2058,OR(L2058="331",M2058="331")),"331",IF(AND(OR(L2058="131",M2058="131"),H2058='131-CT'!$E$7),"131",""))</f>
        <v/>
      </c>
      <c r="O2058" s="39" t="str">
        <f>IF(AND($B2058&gt;='111'!$N$11,$B2058&lt;='111'!$O$11,OR($L2058=$O$7,$M2058=$O$7)),"x","")</f>
        <v/>
      </c>
      <c r="P2058" s="39" t="str">
        <f>IF(AND($L2058=$O$7,$B2058&lt;'111'!$N$11),"x","")</f>
        <v/>
      </c>
      <c r="Q2058" s="39" t="str">
        <f>IF(AND($M2058=$O$7,$B2058&lt;'111'!$N$11),"x","")</f>
        <v/>
      </c>
      <c r="R2058" s="39" t="str">
        <f>IF(ISERROR(FIND('112'!$M$9,G2058,1)),"",IF((AND(FIND('112'!$M$9,G2058,1)&gt;=1,$B2058&gt;='112'!$N$8,$B2058&lt;='112'!$O$8,OR($L2058='112'!$I$6,$M2058='112'!$I$6))),"x",""))</f>
        <v/>
      </c>
      <c r="S2058" s="39" t="str">
        <f>IF(ISERROR(FIND('112'!$M$9,G2058,1)),"",IF((AND(LEFT(G2058,2)=LEFT('112'!$M$9,2),B2058&lt;'112'!$N$8,$L2058='112'!$I$6)),"x",""))</f>
        <v/>
      </c>
      <c r="T2058" s="39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39" t="str">
        <f>IF(OR(TH!L2058=TH!$V$7,M2058=TH!$V$7),"x","")</f>
        <v/>
      </c>
      <c r="W2058" s="39" t="str">
        <f>IF(AND(B2058&gt;='IN-NX'!$P$3,B2058&lt;='IN-NX'!$Q$3,'IN-NX'!$D$7=D2058,OR(LEFT(L2058,2)="15",AND(LEFT(M2058,2)&lt;&gt;"15",LEFT(M2058,2)&lt;&gt;"33"))),"x","")</f>
        <v/>
      </c>
      <c r="X2058" s="39" t="str">
        <f>IF(AND(OR(LEFT(TH!L2058,2)="15",LEFT(TH!M2058,2)="15"),'152-CT'!$J$8=TH!F2058),"x","")</f>
        <v/>
      </c>
      <c r="Y2058" s="39" t="str">
        <f>IF(AND(OR(LEFT(TH!L2058,2)="15",LEFT(TH!M2058,2)="15"),TK!$E$7=TH!F2058),"x","")</f>
        <v/>
      </c>
      <c r="Z2058" s="39" t="str">
        <f>IF(AND(B2058&lt;=NKC!$N$8,B2058&gt;=NKC!$M$8),"x","")</f>
        <v/>
      </c>
      <c r="AA2058" s="883"/>
    </row>
    <row r="2059" spans="1:27" s="211" customFormat="1" ht="15.75" customHeight="1">
      <c r="A2059" s="204" t="str">
        <f>IF(B2059&lt;&gt;"",IF(AND(B2059&gt;=_TM1,B2059&lt;=_TM2,OR(TH!L2059="1111",TH!M2059="1111")),TH!D2059,""),"")</f>
        <v/>
      </c>
      <c r="B2059" s="36">
        <f t="shared" si="479"/>
        <v>11</v>
      </c>
      <c r="C2059" s="191">
        <f t="shared" si="478"/>
        <v>41592</v>
      </c>
      <c r="D2059" s="37" t="s">
        <v>487</v>
      </c>
      <c r="E2059" s="773">
        <v>41592</v>
      </c>
      <c r="F2059" s="189" t="s">
        <v>1148</v>
      </c>
      <c r="G2059" s="40" t="s">
        <v>1012</v>
      </c>
      <c r="H2059" s="7" t="s">
        <v>1290</v>
      </c>
      <c r="I2059" s="256">
        <v>2642</v>
      </c>
      <c r="J2059" s="256">
        <v>4177.3671792236537</v>
      </c>
      <c r="K2059" s="602">
        <f t="shared" si="480"/>
        <v>11036604</v>
      </c>
      <c r="L2059" s="39" t="s">
        <v>173</v>
      </c>
      <c r="M2059" s="39" t="s">
        <v>167</v>
      </c>
      <c r="N2059" s="39" t="str">
        <f>IF(AND('331-CT'!$E$7=TH!H2059,OR(L2059="331",M2059="331")),"331",IF(AND(OR(L2059="131",M2059="131"),H2059='131-CT'!$E$7),"131",""))</f>
        <v/>
      </c>
      <c r="O2059" s="39" t="str">
        <f>IF(AND($B2059&gt;='111'!$N$11,$B2059&lt;='111'!$O$11,OR($L2059=$O$7,$M2059=$O$7)),"x","")</f>
        <v/>
      </c>
      <c r="P2059" s="39" t="str">
        <f>IF(AND($L2059=$O$7,$B2059&lt;'111'!$N$11),"x","")</f>
        <v/>
      </c>
      <c r="Q2059" s="39" t="str">
        <f>IF(AND($M2059=$O$7,$B2059&lt;'111'!$N$11),"x","")</f>
        <v/>
      </c>
      <c r="R2059" s="39" t="str">
        <f>IF(ISERROR(FIND('112'!$M$9,G2059,1)),"",IF((AND(FIND('112'!$M$9,G2059,1)&gt;=1,$B2059&gt;='112'!$N$8,$B2059&lt;='112'!$O$8,OR($L2059='112'!$I$6,$M2059='112'!$I$6))),"x",""))</f>
        <v/>
      </c>
      <c r="S2059" s="39" t="str">
        <f>IF(ISERROR(FIND('112'!$M$9,G2059,1)),"",IF((AND(LEFT(G2059,2)=LEFT('112'!$M$9,2),B2059&lt;'112'!$N$8,$L2059='112'!$I$6)),"x",""))</f>
        <v/>
      </c>
      <c r="T2059" s="39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39" t="str">
        <f>IF(OR(TH!L2059=TH!$V$7,M2059=TH!$V$7),"x","")</f>
        <v/>
      </c>
      <c r="W2059" s="39" t="str">
        <f>IF(AND(B2059&gt;='IN-NX'!$P$3,B2059&lt;='IN-NX'!$Q$3,'IN-NX'!$D$7=D2059,OR(LEFT(L2059,2)="15",AND(LEFT(M2059,2)&lt;&gt;"15",LEFT(M2059,2)&lt;&gt;"33"))),"x","")</f>
        <v/>
      </c>
      <c r="X2059" s="39" t="str">
        <f>IF(AND(OR(LEFT(TH!L2059,2)="15",LEFT(TH!M2059,2)="15"),'152-CT'!$J$8=TH!F2059),"x","")</f>
        <v/>
      </c>
      <c r="Y2059" s="39" t="str">
        <f>IF(AND(OR(LEFT(TH!L2059,2)="15",LEFT(TH!M2059,2)="15"),TK!$E$7=TH!F2059),"x","")</f>
        <v/>
      </c>
      <c r="Z2059" s="39" t="str">
        <f>IF(AND(B2059&lt;=NKC!$N$8,B2059&gt;=NKC!$M$8),"x","")</f>
        <v/>
      </c>
      <c r="AA2059" s="883"/>
    </row>
    <row r="2060" spans="1:27" s="211" customFormat="1" ht="15.75" customHeight="1">
      <c r="A2060" s="204" t="str">
        <f>IF(B2060&lt;&gt;"",IF(AND(B2060&gt;=_TM1,B2060&lt;=_TM2,OR(TH!L2060="1111",TH!M2060="1111")),TH!D2060,""),"")</f>
        <v/>
      </c>
      <c r="B2060" s="36">
        <f t="shared" si="479"/>
        <v>11</v>
      </c>
      <c r="C2060" s="191">
        <f t="shared" si="478"/>
        <v>41593</v>
      </c>
      <c r="D2060" s="37" t="s">
        <v>487</v>
      </c>
      <c r="E2060" s="773">
        <v>41593</v>
      </c>
      <c r="F2060" s="189" t="s">
        <v>1160</v>
      </c>
      <c r="G2060" s="40" t="s">
        <v>1013</v>
      </c>
      <c r="H2060" s="7" t="s">
        <v>1290</v>
      </c>
      <c r="I2060" s="256">
        <v>2330</v>
      </c>
      <c r="J2060" s="256">
        <v>5903.8850418781003</v>
      </c>
      <c r="K2060" s="602">
        <f t="shared" si="480"/>
        <v>13756052</v>
      </c>
      <c r="L2060" s="39" t="s">
        <v>173</v>
      </c>
      <c r="M2060" s="39" t="s">
        <v>167</v>
      </c>
      <c r="N2060" s="39" t="str">
        <f>IF(AND('331-CT'!$E$7=TH!H2060,OR(L2060="331",M2060="331")),"331",IF(AND(OR(L2060="131",M2060="131"),H2060='131-CT'!$E$7),"131",""))</f>
        <v/>
      </c>
      <c r="O2060" s="39" t="str">
        <f>IF(AND($B2060&gt;='111'!$N$11,$B2060&lt;='111'!$O$11,OR($L2060=$O$7,$M2060=$O$7)),"x","")</f>
        <v/>
      </c>
      <c r="P2060" s="39" t="str">
        <f>IF(AND($L2060=$O$7,$B2060&lt;'111'!$N$11),"x","")</f>
        <v/>
      </c>
      <c r="Q2060" s="39" t="str">
        <f>IF(AND($M2060=$O$7,$B2060&lt;'111'!$N$11),"x","")</f>
        <v/>
      </c>
      <c r="R2060" s="39" t="str">
        <f>IF(ISERROR(FIND('112'!$M$9,G2060,1)),"",IF((AND(FIND('112'!$M$9,G2060,1)&gt;=1,$B2060&gt;='112'!$N$8,$B2060&lt;='112'!$O$8,OR($L2060='112'!$I$6,$M2060='112'!$I$6))),"x",""))</f>
        <v/>
      </c>
      <c r="S2060" s="39" t="str">
        <f>IF(ISERROR(FIND('112'!$M$9,G2060,1)),"",IF((AND(LEFT(G2060,2)=LEFT('112'!$M$9,2),B2060&lt;'112'!$N$8,$L2060='112'!$I$6)),"x",""))</f>
        <v/>
      </c>
      <c r="T2060" s="39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39" t="str">
        <f>IF(OR(TH!L2060=TH!$V$7,M2060=TH!$V$7),"x","")</f>
        <v/>
      </c>
      <c r="W2060" s="39" t="str">
        <f>IF(AND(B2060&gt;='IN-NX'!$P$3,B2060&lt;='IN-NX'!$Q$3,'IN-NX'!$D$7=D2060,OR(LEFT(L2060,2)="15",AND(LEFT(M2060,2)&lt;&gt;"15",LEFT(M2060,2)&lt;&gt;"33"))),"x","")</f>
        <v/>
      </c>
      <c r="X2060" s="39" t="str">
        <f>IF(AND(OR(LEFT(TH!L2060,2)="15",LEFT(TH!M2060,2)="15"),'152-CT'!$J$8=TH!F2060),"x","")</f>
        <v/>
      </c>
      <c r="Y2060" s="39" t="str">
        <f>IF(AND(OR(LEFT(TH!L2060,2)="15",LEFT(TH!M2060,2)="15"),TK!$E$7=TH!F2060),"x","")</f>
        <v/>
      </c>
      <c r="Z2060" s="39" t="str">
        <f>IF(AND(B2060&lt;=NKC!$N$8,B2060&gt;=NKC!$M$8),"x","")</f>
        <v/>
      </c>
      <c r="AA2060" s="883"/>
    </row>
    <row r="2061" spans="1:27" s="211" customFormat="1" ht="15.75" customHeight="1">
      <c r="A2061" s="204" t="str">
        <f>IF(B2061&lt;&gt;"",IF(AND(B2061&gt;=_TM1,B2061&lt;=_TM2,OR(TH!L2061="1111",TH!M2061="1111")),TH!D2061,""),"")</f>
        <v/>
      </c>
      <c r="B2061" s="36">
        <f t="shared" si="479"/>
        <v>11</v>
      </c>
      <c r="C2061" s="191">
        <f t="shared" si="478"/>
        <v>41594</v>
      </c>
      <c r="D2061" s="37" t="s">
        <v>487</v>
      </c>
      <c r="E2061" s="773">
        <v>41594</v>
      </c>
      <c r="F2061" s="189" t="s">
        <v>836</v>
      </c>
      <c r="G2061" s="40" t="s">
        <v>1014</v>
      </c>
      <c r="H2061" s="7" t="s">
        <v>1290</v>
      </c>
      <c r="I2061" s="256">
        <v>428</v>
      </c>
      <c r="J2061" s="256">
        <v>9354.7051453637214</v>
      </c>
      <c r="K2061" s="602">
        <f t="shared" si="480"/>
        <v>4003814</v>
      </c>
      <c r="L2061" s="39" t="s">
        <v>173</v>
      </c>
      <c r="M2061" s="39" t="s">
        <v>167</v>
      </c>
      <c r="N2061" s="39" t="str">
        <f>IF(AND('331-CT'!$E$7=TH!H2061,OR(L2061="331",M2061="331")),"331",IF(AND(OR(L2061="131",M2061="131"),H2061='131-CT'!$E$7),"131",""))</f>
        <v/>
      </c>
      <c r="O2061" s="39" t="str">
        <f>IF(AND($B2061&gt;='111'!$N$11,$B2061&lt;='111'!$O$11,OR($L2061=$O$7,$M2061=$O$7)),"x","")</f>
        <v/>
      </c>
      <c r="P2061" s="39" t="str">
        <f>IF(AND($L2061=$O$7,$B2061&lt;'111'!$N$11),"x","")</f>
        <v/>
      </c>
      <c r="Q2061" s="39" t="str">
        <f>IF(AND($M2061=$O$7,$B2061&lt;'111'!$N$11),"x","")</f>
        <v/>
      </c>
      <c r="R2061" s="39" t="str">
        <f>IF(ISERROR(FIND('112'!$M$9,G2061,1)),"",IF((AND(FIND('112'!$M$9,G2061,1)&gt;=1,$B2061&gt;='112'!$N$8,$B2061&lt;='112'!$O$8,OR($L2061='112'!$I$6,$M2061='112'!$I$6))),"x",""))</f>
        <v/>
      </c>
      <c r="S2061" s="39" t="str">
        <f>IF(ISERROR(FIND('112'!$M$9,G2061,1)),"",IF((AND(LEFT(G2061,2)=LEFT('112'!$M$9,2),B2061&lt;'112'!$N$8,$L2061='112'!$I$6)),"x",""))</f>
        <v/>
      </c>
      <c r="T2061" s="39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39" t="str">
        <f>IF(OR(TH!L2061=TH!$V$7,M2061=TH!$V$7),"x","")</f>
        <v/>
      </c>
      <c r="W2061" s="39" t="str">
        <f>IF(AND(B2061&gt;='IN-NX'!$P$3,B2061&lt;='IN-NX'!$Q$3,'IN-NX'!$D$7=D2061,OR(LEFT(L2061,2)="15",AND(LEFT(M2061,2)&lt;&gt;"15",LEFT(M2061,2)&lt;&gt;"33"))),"x","")</f>
        <v/>
      </c>
      <c r="X2061" s="39" t="str">
        <f>IF(AND(OR(LEFT(TH!L2061,2)="15",LEFT(TH!M2061,2)="15"),'152-CT'!$J$8=TH!F2061),"x","")</f>
        <v/>
      </c>
      <c r="Y2061" s="39" t="str">
        <f>IF(AND(OR(LEFT(TH!L2061,2)="15",LEFT(TH!M2061,2)="15"),TK!$E$7=TH!F2061),"x","")</f>
        <v/>
      </c>
      <c r="Z2061" s="39" t="str">
        <f>IF(AND(B2061&lt;=NKC!$N$8,B2061&gt;=NKC!$M$8),"x","")</f>
        <v/>
      </c>
      <c r="AA2061" s="883"/>
    </row>
    <row r="2062" spans="1:27" s="211" customFormat="1" ht="15.75" customHeight="1">
      <c r="A2062" s="204" t="str">
        <f>IF(B2062&lt;&gt;"",IF(AND(B2062&gt;=_TM1,B2062&lt;=_TM2,OR(TH!L2062="1111",TH!M2062="1111")),TH!D2062,""),"")</f>
        <v/>
      </c>
      <c r="B2062" s="36">
        <f t="shared" si="479"/>
        <v>11</v>
      </c>
      <c r="C2062" s="191">
        <f t="shared" ref="C2062:C2105" si="481">E2062</f>
        <v>41596</v>
      </c>
      <c r="D2062" s="37" t="s">
        <v>487</v>
      </c>
      <c r="E2062" s="191">
        <v>41596</v>
      </c>
      <c r="F2062" s="192" t="s">
        <v>874</v>
      </c>
      <c r="G2062" s="487" t="s">
        <v>1015</v>
      </c>
      <c r="H2062" s="7" t="s">
        <v>1290</v>
      </c>
      <c r="I2062" s="256">
        <v>1017</v>
      </c>
      <c r="J2062" s="256">
        <v>11840.074262889153</v>
      </c>
      <c r="K2062" s="602">
        <f t="shared" si="480"/>
        <v>12041356</v>
      </c>
      <c r="L2062" s="39" t="s">
        <v>173</v>
      </c>
      <c r="M2062" s="39" t="s">
        <v>167</v>
      </c>
      <c r="N2062" s="39" t="str">
        <f>IF(AND('331-CT'!$E$7=TH!H2062,OR(L2062="331",M2062="331")),"331",IF(AND(OR(L2062="131",M2062="131"),H2062='131-CT'!$E$7),"131",""))</f>
        <v/>
      </c>
      <c r="O2062" s="39" t="str">
        <f>IF(AND($B2062&gt;='111'!$N$11,$B2062&lt;='111'!$O$11,OR($L2062=$O$7,$M2062=$O$7)),"x","")</f>
        <v/>
      </c>
      <c r="P2062" s="39" t="str">
        <f>IF(AND($L2062=$O$7,$B2062&lt;'111'!$N$11),"x","")</f>
        <v/>
      </c>
      <c r="Q2062" s="39" t="str">
        <f>IF(AND($M2062=$O$7,$B2062&lt;'111'!$N$11),"x","")</f>
        <v/>
      </c>
      <c r="R2062" s="39" t="str">
        <f>IF(ISERROR(FIND('112'!$M$9,G2062,1)),"",IF((AND(FIND('112'!$M$9,G2062,1)&gt;=1,$B2062&gt;='112'!$N$8,$B2062&lt;='112'!$O$8,OR($L2062='112'!$I$6,$M2062='112'!$I$6))),"x",""))</f>
        <v/>
      </c>
      <c r="S2062" s="39" t="str">
        <f>IF(ISERROR(FIND('112'!$M$9,G2062,1)),"",IF((AND(LEFT(G2062,2)=LEFT('112'!$M$9,2),B2062&lt;'112'!$N$8,$L2062='112'!$I$6)),"x",""))</f>
        <v/>
      </c>
      <c r="T2062" s="39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39" t="str">
        <f>IF(OR(TH!L2062=TH!$V$7,M2062=TH!$V$7),"x","")</f>
        <v/>
      </c>
      <c r="W2062" s="39" t="str">
        <f>IF(AND(B2062&gt;='IN-NX'!$P$3,B2062&lt;='IN-NX'!$Q$3,'IN-NX'!$D$7=D2062,OR(LEFT(L2062,2)="15",AND(LEFT(M2062,2)&lt;&gt;"15",LEFT(M2062,2)&lt;&gt;"33"))),"x","")</f>
        <v/>
      </c>
      <c r="X2062" s="39" t="str">
        <f>IF(AND(OR(LEFT(TH!L2062,2)="15",LEFT(TH!M2062,2)="15"),'152-CT'!$J$8=TH!F2062),"x","")</f>
        <v/>
      </c>
      <c r="Y2062" s="39" t="str">
        <f>IF(AND(OR(LEFT(TH!L2062,2)="15",LEFT(TH!M2062,2)="15"),TK!$E$7=TH!F2062),"x","")</f>
        <v/>
      </c>
      <c r="Z2062" s="39" t="str">
        <f>IF(AND(B2062&lt;=NKC!$N$8,B2062&gt;=NKC!$M$8),"x","")</f>
        <v/>
      </c>
      <c r="AA2062" s="883"/>
    </row>
    <row r="2063" spans="1:27" s="211" customFormat="1" ht="15.75" customHeight="1">
      <c r="A2063" s="204" t="str">
        <f>IF(B2063&lt;&gt;"",IF(AND(B2063&gt;=_TM1,B2063&lt;=_TM2,OR(TH!L2063="1111",TH!M2063="1111")),TH!D2063,""),"")</f>
        <v/>
      </c>
      <c r="B2063" s="36">
        <f t="shared" si="479"/>
        <v>11</v>
      </c>
      <c r="C2063" s="191">
        <f t="shared" si="481"/>
        <v>41597</v>
      </c>
      <c r="D2063" s="37" t="s">
        <v>487</v>
      </c>
      <c r="E2063" s="191">
        <v>41597</v>
      </c>
      <c r="F2063" s="192" t="s">
        <v>1016</v>
      </c>
      <c r="G2063" s="487" t="s">
        <v>1017</v>
      </c>
      <c r="H2063" s="7" t="s">
        <v>1290</v>
      </c>
      <c r="I2063" s="256">
        <v>70</v>
      </c>
      <c r="J2063" s="256">
        <v>41170.918763521266</v>
      </c>
      <c r="K2063" s="602">
        <f t="shared" si="480"/>
        <v>2881964</v>
      </c>
      <c r="L2063" s="39" t="s">
        <v>173</v>
      </c>
      <c r="M2063" s="39" t="s">
        <v>167</v>
      </c>
      <c r="N2063" s="39" t="str">
        <f>IF(AND('331-CT'!$E$7=TH!H2063,OR(L2063="331",M2063="331")),"331",IF(AND(OR(L2063="131",M2063="131"),H2063='131-CT'!$E$7),"131",""))</f>
        <v/>
      </c>
      <c r="O2063" s="39" t="str">
        <f>IF(AND($B2063&gt;='111'!$N$11,$B2063&lt;='111'!$O$11,OR($L2063=$O$7,$M2063=$O$7)),"x","")</f>
        <v/>
      </c>
      <c r="P2063" s="39" t="str">
        <f>IF(AND($L2063=$O$7,$B2063&lt;'111'!$N$11),"x","")</f>
        <v/>
      </c>
      <c r="Q2063" s="39" t="str">
        <f>IF(AND($M2063=$O$7,$B2063&lt;'111'!$N$11),"x","")</f>
        <v/>
      </c>
      <c r="R2063" s="39" t="str">
        <f>IF(ISERROR(FIND('112'!$M$9,G2063,1)),"",IF((AND(FIND('112'!$M$9,G2063,1)&gt;=1,$B2063&gt;='112'!$N$8,$B2063&lt;='112'!$O$8,OR($L2063='112'!$I$6,$M2063='112'!$I$6))),"x",""))</f>
        <v/>
      </c>
      <c r="S2063" s="39" t="str">
        <f>IF(ISERROR(FIND('112'!$M$9,G2063,1)),"",IF((AND(LEFT(G2063,2)=LEFT('112'!$M$9,2),B2063&lt;'112'!$N$8,$L2063='112'!$I$6)),"x",""))</f>
        <v/>
      </c>
      <c r="T2063" s="39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39" t="str">
        <f>IF(OR(TH!L2063=TH!$V$7,M2063=TH!$V$7),"x","")</f>
        <v/>
      </c>
      <c r="W2063" s="39" t="str">
        <f>IF(AND(B2063&gt;='IN-NX'!$P$3,B2063&lt;='IN-NX'!$Q$3,'IN-NX'!$D$7=D2063,OR(LEFT(L2063,2)="15",AND(LEFT(M2063,2)&lt;&gt;"15",LEFT(M2063,2)&lt;&gt;"33"))),"x","")</f>
        <v/>
      </c>
      <c r="X2063" s="39" t="str">
        <f>IF(AND(OR(LEFT(TH!L2063,2)="15",LEFT(TH!M2063,2)="15"),'152-CT'!$J$8=TH!F2063),"x","")</f>
        <v/>
      </c>
      <c r="Y2063" s="39" t="str">
        <f>IF(AND(OR(LEFT(TH!L2063,2)="15",LEFT(TH!M2063,2)="15"),TK!$E$7=TH!F2063),"x","")</f>
        <v/>
      </c>
      <c r="Z2063" s="39" t="str">
        <f>IF(AND(B2063&lt;=NKC!$N$8,B2063&gt;=NKC!$M$8),"x","")</f>
        <v/>
      </c>
      <c r="AA2063" s="883"/>
    </row>
    <row r="2064" spans="1:27" s="211" customFormat="1" ht="15.75" customHeight="1">
      <c r="A2064" s="204" t="str">
        <f>IF(B2064&lt;&gt;"",IF(AND(B2064&gt;=_TM1,B2064&lt;=_TM2,OR(TH!L2064="1111",TH!M2064="1111")),TH!D2064,""),"")</f>
        <v/>
      </c>
      <c r="B2064" s="36">
        <f t="shared" si="479"/>
        <v>11</v>
      </c>
      <c r="C2064" s="191">
        <f t="shared" si="481"/>
        <v>41597</v>
      </c>
      <c r="D2064" s="37" t="s">
        <v>487</v>
      </c>
      <c r="E2064" s="191">
        <v>41597</v>
      </c>
      <c r="F2064" s="189" t="s">
        <v>878</v>
      </c>
      <c r="G2064" s="487" t="s">
        <v>1017</v>
      </c>
      <c r="H2064" s="7" t="s">
        <v>1290</v>
      </c>
      <c r="I2064" s="256">
        <v>70</v>
      </c>
      <c r="J2064" s="256">
        <v>42499.675906378412</v>
      </c>
      <c r="K2064" s="602">
        <f t="shared" si="480"/>
        <v>2974977</v>
      </c>
      <c r="L2064" s="39" t="s">
        <v>173</v>
      </c>
      <c r="M2064" s="39" t="s">
        <v>167</v>
      </c>
      <c r="N2064" s="39" t="str">
        <f>IF(AND('331-CT'!$E$7=TH!H2064,OR(L2064="331",M2064="331")),"331",IF(AND(OR(L2064="131",M2064="131"),H2064='131-CT'!$E$7),"131",""))</f>
        <v/>
      </c>
      <c r="O2064" s="39" t="str">
        <f>IF(AND($B2064&gt;='111'!$N$11,$B2064&lt;='111'!$O$11,OR($L2064=$O$7,$M2064=$O$7)),"x","")</f>
        <v/>
      </c>
      <c r="P2064" s="39" t="str">
        <f>IF(AND($L2064=$O$7,$B2064&lt;'111'!$N$11),"x","")</f>
        <v/>
      </c>
      <c r="Q2064" s="39" t="str">
        <f>IF(AND($M2064=$O$7,$B2064&lt;'111'!$N$11),"x","")</f>
        <v/>
      </c>
      <c r="R2064" s="39" t="str">
        <f>IF(ISERROR(FIND('112'!$M$9,G2064,1)),"",IF((AND(FIND('112'!$M$9,G2064,1)&gt;=1,$B2064&gt;='112'!$N$8,$B2064&lt;='112'!$O$8,OR($L2064='112'!$I$6,$M2064='112'!$I$6))),"x",""))</f>
        <v/>
      </c>
      <c r="S2064" s="39" t="str">
        <f>IF(ISERROR(FIND('112'!$M$9,G2064,1)),"",IF((AND(LEFT(G2064,2)=LEFT('112'!$M$9,2),B2064&lt;'112'!$N$8,$L2064='112'!$I$6)),"x",""))</f>
        <v/>
      </c>
      <c r="T2064" s="39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39" t="str">
        <f>IF(OR(TH!L2064=TH!$V$7,M2064=TH!$V$7),"x","")</f>
        <v/>
      </c>
      <c r="W2064" s="39" t="str">
        <f>IF(AND(B2064&gt;='IN-NX'!$P$3,B2064&lt;='IN-NX'!$Q$3,'IN-NX'!$D$7=D2064,OR(LEFT(L2064,2)="15",AND(LEFT(M2064,2)&lt;&gt;"15",LEFT(M2064,2)&lt;&gt;"33"))),"x","")</f>
        <v/>
      </c>
      <c r="X2064" s="39" t="str">
        <f>IF(AND(OR(LEFT(TH!L2064,2)="15",LEFT(TH!M2064,2)="15"),'152-CT'!$J$8=TH!F2064),"x","")</f>
        <v/>
      </c>
      <c r="Y2064" s="39" t="str">
        <f>IF(AND(OR(LEFT(TH!L2064,2)="15",LEFT(TH!M2064,2)="15"),TK!$E$7=TH!F2064),"x","")</f>
        <v/>
      </c>
      <c r="Z2064" s="39" t="str">
        <f>IF(AND(B2064&lt;=NKC!$N$8,B2064&gt;=NKC!$M$8),"x","")</f>
        <v/>
      </c>
      <c r="AA2064" s="883"/>
    </row>
    <row r="2065" spans="1:27" s="211" customFormat="1" ht="15.75" customHeight="1">
      <c r="A2065" s="204" t="str">
        <f>IF(B2065&lt;&gt;"",IF(AND(B2065&gt;=_TM1,B2065&lt;=_TM2,OR(TH!L2065="1111",TH!M2065="1111")),TH!D2065,""),"")</f>
        <v/>
      </c>
      <c r="B2065" s="36">
        <f t="shared" si="479"/>
        <v>11</v>
      </c>
      <c r="C2065" s="191">
        <f t="shared" si="481"/>
        <v>41597</v>
      </c>
      <c r="D2065" s="37" t="s">
        <v>487</v>
      </c>
      <c r="E2065" s="191">
        <v>41597</v>
      </c>
      <c r="F2065" s="189" t="s">
        <v>1018</v>
      </c>
      <c r="G2065" s="487" t="s">
        <v>1017</v>
      </c>
      <c r="H2065" s="7" t="s">
        <v>1290</v>
      </c>
      <c r="I2065" s="256">
        <v>50</v>
      </c>
      <c r="J2065" s="256">
        <v>37177.490192092693</v>
      </c>
      <c r="K2065" s="602">
        <f t="shared" si="480"/>
        <v>1858875</v>
      </c>
      <c r="L2065" s="39" t="s">
        <v>173</v>
      </c>
      <c r="M2065" s="39" t="s">
        <v>167</v>
      </c>
      <c r="N2065" s="39" t="str">
        <f>IF(AND('331-CT'!$E$7=TH!H2065,OR(L2065="331",M2065="331")),"331",IF(AND(OR(L2065="131",M2065="131"),H2065='131-CT'!$E$7),"131",""))</f>
        <v/>
      </c>
      <c r="O2065" s="39" t="str">
        <f>IF(AND($B2065&gt;='111'!$N$11,$B2065&lt;='111'!$O$11,OR($L2065=$O$7,$M2065=$O$7)),"x","")</f>
        <v/>
      </c>
      <c r="P2065" s="39" t="str">
        <f>IF(AND($L2065=$O$7,$B2065&lt;'111'!$N$11),"x","")</f>
        <v/>
      </c>
      <c r="Q2065" s="39" t="str">
        <f>IF(AND($M2065=$O$7,$B2065&lt;'111'!$N$11),"x","")</f>
        <v/>
      </c>
      <c r="R2065" s="39" t="str">
        <f>IF(ISERROR(FIND('112'!$M$9,G2065,1)),"",IF((AND(FIND('112'!$M$9,G2065,1)&gt;=1,$B2065&gt;='112'!$N$8,$B2065&lt;='112'!$O$8,OR($L2065='112'!$I$6,$M2065='112'!$I$6))),"x",""))</f>
        <v/>
      </c>
      <c r="S2065" s="39" t="str">
        <f>IF(ISERROR(FIND('112'!$M$9,G2065,1)),"",IF((AND(LEFT(G2065,2)=LEFT('112'!$M$9,2),B2065&lt;'112'!$N$8,$L2065='112'!$I$6)),"x",""))</f>
        <v/>
      </c>
      <c r="T2065" s="39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39" t="str">
        <f>IF(OR(TH!L2065=TH!$V$7,M2065=TH!$V$7),"x","")</f>
        <v/>
      </c>
      <c r="W2065" s="39" t="str">
        <f>IF(AND(B2065&gt;='IN-NX'!$P$3,B2065&lt;='IN-NX'!$Q$3,'IN-NX'!$D$7=D2065,OR(LEFT(L2065,2)="15",AND(LEFT(M2065,2)&lt;&gt;"15",LEFT(M2065,2)&lt;&gt;"33"))),"x","")</f>
        <v/>
      </c>
      <c r="X2065" s="39" t="str">
        <f>IF(AND(OR(LEFT(TH!L2065,2)="15",LEFT(TH!M2065,2)="15"),'152-CT'!$J$8=TH!F2065),"x","")</f>
        <v/>
      </c>
      <c r="Y2065" s="39" t="str">
        <f>IF(AND(OR(LEFT(TH!L2065,2)="15",LEFT(TH!M2065,2)="15"),TK!$E$7=TH!F2065),"x","")</f>
        <v/>
      </c>
      <c r="Z2065" s="39" t="str">
        <f>IF(AND(B2065&lt;=NKC!$N$8,B2065&gt;=NKC!$M$8),"x","")</f>
        <v/>
      </c>
      <c r="AA2065" s="883"/>
    </row>
    <row r="2066" spans="1:27" s="211" customFormat="1" ht="15.75" customHeight="1">
      <c r="A2066" s="204" t="str">
        <f>IF(B2066&lt;&gt;"",IF(AND(B2066&gt;=_TM1,B2066&lt;=_TM2,OR(TH!L2066="1111",TH!M2066="1111")),TH!D2066,""),"")</f>
        <v/>
      </c>
      <c r="B2066" s="36">
        <f t="shared" si="479"/>
        <v>11</v>
      </c>
      <c r="C2066" s="191">
        <f t="shared" si="481"/>
        <v>41597</v>
      </c>
      <c r="D2066" s="37" t="s">
        <v>487</v>
      </c>
      <c r="E2066" s="191">
        <v>41597</v>
      </c>
      <c r="F2066" s="192" t="s">
        <v>879</v>
      </c>
      <c r="G2066" s="487" t="s">
        <v>1017</v>
      </c>
      <c r="H2066" s="7" t="s">
        <v>1290</v>
      </c>
      <c r="I2066" s="256">
        <v>50</v>
      </c>
      <c r="J2066" s="256">
        <v>37177.490192092693</v>
      </c>
      <c r="K2066" s="602">
        <f t="shared" si="480"/>
        <v>1858875</v>
      </c>
      <c r="L2066" s="39" t="s">
        <v>173</v>
      </c>
      <c r="M2066" s="39" t="s">
        <v>167</v>
      </c>
      <c r="N2066" s="39" t="str">
        <f>IF(AND('331-CT'!$E$7=TH!H2066,OR(L2066="331",M2066="331")),"331",IF(AND(OR(L2066="131",M2066="131"),H2066='131-CT'!$E$7),"131",""))</f>
        <v/>
      </c>
      <c r="O2066" s="39" t="str">
        <f>IF(AND($B2066&gt;='111'!$N$11,$B2066&lt;='111'!$O$11,OR($L2066=$O$7,$M2066=$O$7)),"x","")</f>
        <v/>
      </c>
      <c r="P2066" s="39" t="str">
        <f>IF(AND($L2066=$O$7,$B2066&lt;'111'!$N$11),"x","")</f>
        <v/>
      </c>
      <c r="Q2066" s="39" t="str">
        <f>IF(AND($M2066=$O$7,$B2066&lt;'111'!$N$11),"x","")</f>
        <v/>
      </c>
      <c r="R2066" s="39" t="str">
        <f>IF(ISERROR(FIND('112'!$M$9,G2066,1)),"",IF((AND(FIND('112'!$M$9,G2066,1)&gt;=1,$B2066&gt;='112'!$N$8,$B2066&lt;='112'!$O$8,OR($L2066='112'!$I$6,$M2066='112'!$I$6))),"x",""))</f>
        <v/>
      </c>
      <c r="S2066" s="39" t="str">
        <f>IF(ISERROR(FIND('112'!$M$9,G2066,1)),"",IF((AND(LEFT(G2066,2)=LEFT('112'!$M$9,2),B2066&lt;'112'!$N$8,$L2066='112'!$I$6)),"x",""))</f>
        <v/>
      </c>
      <c r="T2066" s="39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39" t="str">
        <f>IF(OR(TH!L2066=TH!$V$7,M2066=TH!$V$7),"x","")</f>
        <v/>
      </c>
      <c r="W2066" s="39" t="str">
        <f>IF(AND(B2066&gt;='IN-NX'!$P$3,B2066&lt;='IN-NX'!$Q$3,'IN-NX'!$D$7=D2066,OR(LEFT(L2066,2)="15",AND(LEFT(M2066,2)&lt;&gt;"15",LEFT(M2066,2)&lt;&gt;"33"))),"x","")</f>
        <v/>
      </c>
      <c r="X2066" s="39" t="str">
        <f>IF(AND(OR(LEFT(TH!L2066,2)="15",LEFT(TH!M2066,2)="15"),'152-CT'!$J$8=TH!F2066),"x","")</f>
        <v/>
      </c>
      <c r="Y2066" s="39" t="str">
        <f>IF(AND(OR(LEFT(TH!L2066,2)="15",LEFT(TH!M2066,2)="15"),TK!$E$7=TH!F2066),"x","")</f>
        <v/>
      </c>
      <c r="Z2066" s="39" t="str">
        <f>IF(AND(B2066&lt;=NKC!$N$8,B2066&gt;=NKC!$M$8),"x","")</f>
        <v/>
      </c>
      <c r="AA2066" s="883"/>
    </row>
    <row r="2067" spans="1:27" s="211" customFormat="1" ht="15.75" customHeight="1">
      <c r="A2067" s="204" t="str">
        <f>IF(B2067&lt;&gt;"",IF(AND(B2067&gt;=_TM1,B2067&lt;=_TM2,OR(TH!L2067="1111",TH!M2067="1111")),TH!D2067,""),"")</f>
        <v/>
      </c>
      <c r="B2067" s="36">
        <f t="shared" si="479"/>
        <v>11</v>
      </c>
      <c r="C2067" s="191">
        <f t="shared" si="481"/>
        <v>41598</v>
      </c>
      <c r="D2067" s="37" t="s">
        <v>487</v>
      </c>
      <c r="E2067" s="191">
        <v>41598</v>
      </c>
      <c r="F2067" s="192" t="s">
        <v>880</v>
      </c>
      <c r="G2067" s="487" t="s">
        <v>1019</v>
      </c>
      <c r="H2067" s="7" t="s">
        <v>1290</v>
      </c>
      <c r="I2067" s="256">
        <v>50</v>
      </c>
      <c r="J2067" s="256">
        <v>46193.570192092695</v>
      </c>
      <c r="K2067" s="602">
        <f t="shared" si="480"/>
        <v>2309679</v>
      </c>
      <c r="L2067" s="39" t="s">
        <v>173</v>
      </c>
      <c r="M2067" s="39" t="s">
        <v>167</v>
      </c>
      <c r="N2067" s="39" t="str">
        <f>IF(AND('331-CT'!$E$7=TH!H2067,OR(L2067="331",M2067="331")),"331",IF(AND(OR(L2067="131",M2067="131"),H2067='131-CT'!$E$7),"131",""))</f>
        <v/>
      </c>
      <c r="O2067" s="39" t="str">
        <f>IF(AND($B2067&gt;='111'!$N$11,$B2067&lt;='111'!$O$11,OR($L2067=$O$7,$M2067=$O$7)),"x","")</f>
        <v/>
      </c>
      <c r="P2067" s="39" t="str">
        <f>IF(AND($L2067=$O$7,$B2067&lt;'111'!$N$11),"x","")</f>
        <v/>
      </c>
      <c r="Q2067" s="39" t="str">
        <f>IF(AND($M2067=$O$7,$B2067&lt;'111'!$N$11),"x","")</f>
        <v/>
      </c>
      <c r="R2067" s="39" t="str">
        <f>IF(ISERROR(FIND('112'!$M$9,G2067,1)),"",IF((AND(FIND('112'!$M$9,G2067,1)&gt;=1,$B2067&gt;='112'!$N$8,$B2067&lt;='112'!$O$8,OR($L2067='112'!$I$6,$M2067='112'!$I$6))),"x",""))</f>
        <v/>
      </c>
      <c r="S2067" s="39" t="str">
        <f>IF(ISERROR(FIND('112'!$M$9,G2067,1)),"",IF((AND(LEFT(G2067,2)=LEFT('112'!$M$9,2),B2067&lt;'112'!$N$8,$L2067='112'!$I$6)),"x",""))</f>
        <v/>
      </c>
      <c r="T2067" s="39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39" t="str">
        <f>IF(OR(TH!L2067=TH!$V$7,M2067=TH!$V$7),"x","")</f>
        <v/>
      </c>
      <c r="W2067" s="39" t="str">
        <f>IF(AND(B2067&gt;='IN-NX'!$P$3,B2067&lt;='IN-NX'!$Q$3,'IN-NX'!$D$7=D2067,OR(LEFT(L2067,2)="15",AND(LEFT(M2067,2)&lt;&gt;"15",LEFT(M2067,2)&lt;&gt;"33"))),"x","")</f>
        <v/>
      </c>
      <c r="X2067" s="39" t="str">
        <f>IF(AND(OR(LEFT(TH!L2067,2)="15",LEFT(TH!M2067,2)="15"),'152-CT'!$J$8=TH!F2067),"x","")</f>
        <v/>
      </c>
      <c r="Y2067" s="39" t="str">
        <f>IF(AND(OR(LEFT(TH!L2067,2)="15",LEFT(TH!M2067,2)="15"),TK!$E$7=TH!F2067),"x","")</f>
        <v/>
      </c>
      <c r="Z2067" s="39" t="str">
        <f>IF(AND(B2067&lt;=NKC!$N$8,B2067&gt;=NKC!$M$8),"x","")</f>
        <v/>
      </c>
      <c r="AA2067" s="883"/>
    </row>
    <row r="2068" spans="1:27" s="211" customFormat="1" ht="15.75" customHeight="1">
      <c r="A2068" s="204" t="str">
        <f>IF(B2068&lt;&gt;"",IF(AND(B2068&gt;=_TM1,B2068&lt;=_TM2,OR(TH!L2068="1111",TH!M2068="1111")),TH!D2068,""),"")</f>
        <v/>
      </c>
      <c r="B2068" s="36">
        <f t="shared" si="479"/>
        <v>11</v>
      </c>
      <c r="C2068" s="191">
        <f t="shared" si="481"/>
        <v>41598</v>
      </c>
      <c r="D2068" s="37" t="s">
        <v>487</v>
      </c>
      <c r="E2068" s="191">
        <v>41598</v>
      </c>
      <c r="F2068" s="192" t="s">
        <v>1020</v>
      </c>
      <c r="G2068" s="487" t="s">
        <v>1019</v>
      </c>
      <c r="H2068" s="7" t="s">
        <v>1290</v>
      </c>
      <c r="I2068" s="256">
        <v>50</v>
      </c>
      <c r="J2068" s="256">
        <v>45547.130192092693</v>
      </c>
      <c r="K2068" s="602">
        <f t="shared" si="480"/>
        <v>2277357</v>
      </c>
      <c r="L2068" s="39" t="s">
        <v>173</v>
      </c>
      <c r="M2068" s="39" t="s">
        <v>167</v>
      </c>
      <c r="N2068" s="39" t="str">
        <f>IF(AND('331-CT'!$E$7=TH!H2068,OR(L2068="331",M2068="331")),"331",IF(AND(OR(L2068="131",M2068="131"),H2068='131-CT'!$E$7),"131",""))</f>
        <v/>
      </c>
      <c r="O2068" s="39" t="str">
        <f>IF(AND($B2068&gt;='111'!$N$11,$B2068&lt;='111'!$O$11,OR($L2068=$O$7,$M2068=$O$7)),"x","")</f>
        <v/>
      </c>
      <c r="P2068" s="39" t="str">
        <f>IF(AND($L2068=$O$7,$B2068&lt;'111'!$N$11),"x","")</f>
        <v/>
      </c>
      <c r="Q2068" s="39" t="str">
        <f>IF(AND($M2068=$O$7,$B2068&lt;'111'!$N$11),"x","")</f>
        <v/>
      </c>
      <c r="R2068" s="39" t="str">
        <f>IF(ISERROR(FIND('112'!$M$9,G2068,1)),"",IF((AND(FIND('112'!$M$9,G2068,1)&gt;=1,$B2068&gt;='112'!$N$8,$B2068&lt;='112'!$O$8,OR($L2068='112'!$I$6,$M2068='112'!$I$6))),"x",""))</f>
        <v/>
      </c>
      <c r="S2068" s="39" t="str">
        <f>IF(ISERROR(FIND('112'!$M$9,G2068,1)),"",IF((AND(LEFT(G2068,2)=LEFT('112'!$M$9,2),B2068&lt;'112'!$N$8,$L2068='112'!$I$6)),"x",""))</f>
        <v/>
      </c>
      <c r="T2068" s="39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39" t="str">
        <f>IF(OR(TH!L2068=TH!$V$7,M2068=TH!$V$7),"x","")</f>
        <v/>
      </c>
      <c r="W2068" s="39" t="str">
        <f>IF(AND(B2068&gt;='IN-NX'!$P$3,B2068&lt;='IN-NX'!$Q$3,'IN-NX'!$D$7=D2068,OR(LEFT(L2068,2)="15",AND(LEFT(M2068,2)&lt;&gt;"15",LEFT(M2068,2)&lt;&gt;"33"))),"x","")</f>
        <v/>
      </c>
      <c r="X2068" s="39" t="str">
        <f>IF(AND(OR(LEFT(TH!L2068,2)="15",LEFT(TH!M2068,2)="15"),'152-CT'!$J$8=TH!F2068),"x","")</f>
        <v/>
      </c>
      <c r="Y2068" s="39" t="str">
        <f>IF(AND(OR(LEFT(TH!L2068,2)="15",LEFT(TH!M2068,2)="15"),TK!$E$7=TH!F2068),"x","")</f>
        <v/>
      </c>
      <c r="Z2068" s="39" t="str">
        <f>IF(AND(B2068&lt;=NKC!$N$8,B2068&gt;=NKC!$M$8),"x","")</f>
        <v/>
      </c>
      <c r="AA2068" s="883"/>
    </row>
    <row r="2069" spans="1:27" s="211" customFormat="1" ht="15.75" customHeight="1">
      <c r="A2069" s="204" t="str">
        <f>IF(B2069&lt;&gt;"",IF(AND(B2069&gt;=_TM1,B2069&lt;=_TM2,OR(TH!L2069="1111",TH!M2069="1111")),TH!D2069,""),"")</f>
        <v/>
      </c>
      <c r="B2069" s="36">
        <f t="shared" si="479"/>
        <v>11</v>
      </c>
      <c r="C2069" s="191">
        <f t="shared" si="481"/>
        <v>41598</v>
      </c>
      <c r="D2069" s="37" t="s">
        <v>487</v>
      </c>
      <c r="E2069" s="773">
        <v>41598</v>
      </c>
      <c r="F2069" s="40" t="s">
        <v>1021</v>
      </c>
      <c r="G2069" s="40" t="s">
        <v>1019</v>
      </c>
      <c r="H2069" s="7" t="s">
        <v>1290</v>
      </c>
      <c r="I2069" s="256">
        <v>50</v>
      </c>
      <c r="J2069" s="256">
        <v>62354.310192092693</v>
      </c>
      <c r="K2069" s="602">
        <f t="shared" si="480"/>
        <v>3117716</v>
      </c>
      <c r="L2069" s="39" t="s">
        <v>173</v>
      </c>
      <c r="M2069" s="39" t="s">
        <v>167</v>
      </c>
      <c r="N2069" s="39" t="str">
        <f>IF(AND('331-CT'!$E$7=TH!H2069,OR(L2069="331",M2069="331")),"331",IF(AND(OR(L2069="131",M2069="131"),H2069='131-CT'!$E$7),"131",""))</f>
        <v/>
      </c>
      <c r="O2069" s="39" t="str">
        <f>IF(AND($B2069&gt;='111'!$N$11,$B2069&lt;='111'!$O$11,OR($L2069=$O$7,$M2069=$O$7)),"x","")</f>
        <v/>
      </c>
      <c r="P2069" s="39" t="str">
        <f>IF(AND($L2069=$O$7,$B2069&lt;'111'!$N$11),"x","")</f>
        <v/>
      </c>
      <c r="Q2069" s="39" t="str">
        <f>IF(AND($M2069=$O$7,$B2069&lt;'111'!$N$11),"x","")</f>
        <v/>
      </c>
      <c r="R2069" s="39" t="str">
        <f>IF(ISERROR(FIND('112'!$M$9,G2069,1)),"",IF((AND(FIND('112'!$M$9,G2069,1)&gt;=1,$B2069&gt;='112'!$N$8,$B2069&lt;='112'!$O$8,OR($L2069='112'!$I$6,$M2069='112'!$I$6))),"x",""))</f>
        <v/>
      </c>
      <c r="S2069" s="39" t="str">
        <f>IF(ISERROR(FIND('112'!$M$9,G2069,1)),"",IF((AND(LEFT(G2069,2)=LEFT('112'!$M$9,2),B2069&lt;'112'!$N$8,$L2069='112'!$I$6)),"x",""))</f>
        <v/>
      </c>
      <c r="T2069" s="39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39" t="str">
        <f>IF(OR(TH!L2069=TH!$V$7,M2069=TH!$V$7),"x","")</f>
        <v/>
      </c>
      <c r="W2069" s="39" t="str">
        <f>IF(AND(B2069&gt;='IN-NX'!$P$3,B2069&lt;='IN-NX'!$Q$3,'IN-NX'!$D$7=D2069,OR(LEFT(L2069,2)="15",AND(LEFT(M2069,2)&lt;&gt;"15",LEFT(M2069,2)&lt;&gt;"33"))),"x","")</f>
        <v/>
      </c>
      <c r="X2069" s="39" t="str">
        <f>IF(AND(OR(LEFT(TH!L2069,2)="15",LEFT(TH!M2069,2)="15"),'152-CT'!$J$8=TH!F2069),"x","")</f>
        <v/>
      </c>
      <c r="Y2069" s="39" t="str">
        <f>IF(AND(OR(LEFT(TH!L2069,2)="15",LEFT(TH!M2069,2)="15"),TK!$E$7=TH!F2069),"x","")</f>
        <v/>
      </c>
      <c r="Z2069" s="39" t="str">
        <f>IF(AND(B2069&lt;=NKC!$N$8,B2069&gt;=NKC!$M$8),"x","")</f>
        <v/>
      </c>
      <c r="AA2069" s="883"/>
    </row>
    <row r="2070" spans="1:27" s="211" customFormat="1" ht="15.75" customHeight="1">
      <c r="A2070" s="204" t="str">
        <f>IF(B2070&lt;&gt;"",IF(AND(B2070&gt;=_TM1,B2070&lt;=_TM2,OR(TH!L2070="1111",TH!M2070="1111")),TH!D2070,""),"")</f>
        <v/>
      </c>
      <c r="B2070" s="36">
        <f t="shared" si="479"/>
        <v>11</v>
      </c>
      <c r="C2070" s="191">
        <f t="shared" si="481"/>
        <v>41603</v>
      </c>
      <c r="D2070" s="37" t="s">
        <v>487</v>
      </c>
      <c r="E2070" s="773">
        <v>41603</v>
      </c>
      <c r="F2070" s="189" t="s">
        <v>721</v>
      </c>
      <c r="G2070" s="40" t="s">
        <v>1022</v>
      </c>
      <c r="H2070" s="7" t="s">
        <v>1290</v>
      </c>
      <c r="I2070" s="256">
        <v>500</v>
      </c>
      <c r="J2070" s="256">
        <v>5593.4901920926923</v>
      </c>
      <c r="K2070" s="602">
        <f t="shared" si="480"/>
        <v>2796745</v>
      </c>
      <c r="L2070" s="39" t="s">
        <v>173</v>
      </c>
      <c r="M2070" s="39" t="s">
        <v>167</v>
      </c>
      <c r="N2070" s="39" t="str">
        <f>IF(AND('331-CT'!$E$7=TH!H2070,OR(L2070="331",M2070="331")),"331",IF(AND(OR(L2070="131",M2070="131"),H2070='131-CT'!$E$7),"131",""))</f>
        <v/>
      </c>
      <c r="O2070" s="39" t="str">
        <f>IF(AND($B2070&gt;='111'!$N$11,$B2070&lt;='111'!$O$11,OR($L2070=$O$7,$M2070=$O$7)),"x","")</f>
        <v/>
      </c>
      <c r="P2070" s="39" t="str">
        <f>IF(AND($L2070=$O$7,$B2070&lt;'111'!$N$11),"x","")</f>
        <v/>
      </c>
      <c r="Q2070" s="39" t="str">
        <f>IF(AND($M2070=$O$7,$B2070&lt;'111'!$N$11),"x","")</f>
        <v/>
      </c>
      <c r="R2070" s="39" t="str">
        <f>IF(ISERROR(FIND('112'!$M$9,G2070,1)),"",IF((AND(FIND('112'!$M$9,G2070,1)&gt;=1,$B2070&gt;='112'!$N$8,$B2070&lt;='112'!$O$8,OR($L2070='112'!$I$6,$M2070='112'!$I$6))),"x",""))</f>
        <v/>
      </c>
      <c r="S2070" s="39" t="str">
        <f>IF(ISERROR(FIND('112'!$M$9,G2070,1)),"",IF((AND(LEFT(G2070,2)=LEFT('112'!$M$9,2),B2070&lt;'112'!$N$8,$L2070='112'!$I$6)),"x",""))</f>
        <v/>
      </c>
      <c r="T2070" s="39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39" t="str">
        <f>IF(OR(TH!L2070=TH!$V$7,M2070=TH!$V$7),"x","")</f>
        <v/>
      </c>
      <c r="W2070" s="39" t="str">
        <f>IF(AND(B2070&gt;='IN-NX'!$P$3,B2070&lt;='IN-NX'!$Q$3,'IN-NX'!$D$7=D2070,OR(LEFT(L2070,2)="15",AND(LEFT(M2070,2)&lt;&gt;"15",LEFT(M2070,2)&lt;&gt;"33"))),"x","")</f>
        <v/>
      </c>
      <c r="X2070" s="39" t="str">
        <f>IF(AND(OR(LEFT(TH!L2070,2)="15",LEFT(TH!M2070,2)="15"),'152-CT'!$J$8=TH!F2070),"x","")</f>
        <v/>
      </c>
      <c r="Y2070" s="39" t="str">
        <f>IF(AND(OR(LEFT(TH!L2070,2)="15",LEFT(TH!M2070,2)="15"),TK!$E$7=TH!F2070),"x","")</f>
        <v/>
      </c>
      <c r="Z2070" s="39" t="str">
        <f>IF(AND(B2070&lt;=NKC!$N$8,B2070&gt;=NKC!$M$8),"x","")</f>
        <v/>
      </c>
      <c r="AA2070" s="883"/>
    </row>
    <row r="2071" spans="1:27" s="211" customFormat="1" ht="15.75" customHeight="1">
      <c r="A2071" s="204" t="str">
        <f>IF(B2071&lt;&gt;"",IF(AND(B2071&gt;=_TM1,B2071&lt;=_TM2,OR(TH!L2071="1111",TH!M2071="1111")),TH!D2071,""),"")</f>
        <v/>
      </c>
      <c r="B2071" s="36">
        <f t="shared" si="479"/>
        <v>11</v>
      </c>
      <c r="C2071" s="191">
        <f t="shared" si="481"/>
        <v>41604</v>
      </c>
      <c r="D2071" s="37" t="s">
        <v>487</v>
      </c>
      <c r="E2071" s="773">
        <v>41604</v>
      </c>
      <c r="F2071" s="40" t="s">
        <v>836</v>
      </c>
      <c r="G2071" s="40" t="s">
        <v>652</v>
      </c>
      <c r="H2071" s="7" t="s">
        <v>1290</v>
      </c>
      <c r="I2071" s="256">
        <v>500</v>
      </c>
      <c r="J2071" s="256">
        <v>9423.4901920926932</v>
      </c>
      <c r="K2071" s="602">
        <f t="shared" si="480"/>
        <v>4711745</v>
      </c>
      <c r="L2071" s="39" t="s">
        <v>173</v>
      </c>
      <c r="M2071" s="39" t="s">
        <v>167</v>
      </c>
      <c r="N2071" s="39" t="str">
        <f>IF(AND('331-CT'!$E$7=TH!H2071,OR(L2071="331",M2071="331")),"331",IF(AND(OR(L2071="131",M2071="131"),H2071='131-CT'!$E$7),"131",""))</f>
        <v/>
      </c>
      <c r="O2071" s="39" t="str">
        <f>IF(AND($B2071&gt;='111'!$N$11,$B2071&lt;='111'!$O$11,OR($L2071=$O$7,$M2071=$O$7)),"x","")</f>
        <v/>
      </c>
      <c r="P2071" s="39" t="str">
        <f>IF(AND($L2071=$O$7,$B2071&lt;'111'!$N$11),"x","")</f>
        <v/>
      </c>
      <c r="Q2071" s="39" t="str">
        <f>IF(AND($M2071=$O$7,$B2071&lt;'111'!$N$11),"x","")</f>
        <v/>
      </c>
      <c r="R2071" s="39" t="str">
        <f>IF(ISERROR(FIND('112'!$M$9,G2071,1)),"",IF((AND(FIND('112'!$M$9,G2071,1)&gt;=1,$B2071&gt;='112'!$N$8,$B2071&lt;='112'!$O$8,OR($L2071='112'!$I$6,$M2071='112'!$I$6))),"x",""))</f>
        <v/>
      </c>
      <c r="S2071" s="39" t="str">
        <f>IF(ISERROR(FIND('112'!$M$9,G2071,1)),"",IF((AND(LEFT(G2071,2)=LEFT('112'!$M$9,2),B2071&lt;'112'!$N$8,$L2071='112'!$I$6)),"x",""))</f>
        <v/>
      </c>
      <c r="T2071" s="39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39" t="str">
        <f>IF(OR(TH!L2071=TH!$V$7,M2071=TH!$V$7),"x","")</f>
        <v/>
      </c>
      <c r="W2071" s="39" t="str">
        <f>IF(AND(B2071&gt;='IN-NX'!$P$3,B2071&lt;='IN-NX'!$Q$3,'IN-NX'!$D$7=D2071,OR(LEFT(L2071,2)="15",AND(LEFT(M2071,2)&lt;&gt;"15",LEFT(M2071,2)&lt;&gt;"33"))),"x","")</f>
        <v/>
      </c>
      <c r="X2071" s="39" t="str">
        <f>IF(AND(OR(LEFT(TH!L2071,2)="15",LEFT(TH!M2071,2)="15"),'152-CT'!$J$8=TH!F2071),"x","")</f>
        <v/>
      </c>
      <c r="Y2071" s="39" t="str">
        <f>IF(AND(OR(LEFT(TH!L2071,2)="15",LEFT(TH!M2071,2)="15"),TK!$E$7=TH!F2071),"x","")</f>
        <v/>
      </c>
      <c r="Z2071" s="39" t="str">
        <f>IF(AND(B2071&lt;=NKC!$N$8,B2071&gt;=NKC!$M$8),"x","")</f>
        <v/>
      </c>
      <c r="AA2071" s="883"/>
    </row>
    <row r="2072" spans="1:27" s="211" customFormat="1" ht="15.75" customHeight="1">
      <c r="A2072" s="204" t="str">
        <f>IF(B2072&lt;&gt;"",IF(AND(B2072&gt;=_TM1,B2072&lt;=_TM2,OR(TH!L2072="1111",TH!M2072="1111")),TH!D2072,""),"")</f>
        <v/>
      </c>
      <c r="B2072" s="36">
        <f t="shared" si="479"/>
        <v>11</v>
      </c>
      <c r="C2072" s="191">
        <f t="shared" si="481"/>
        <v>41604</v>
      </c>
      <c r="D2072" s="37" t="s">
        <v>487</v>
      </c>
      <c r="E2072" s="773">
        <v>41604</v>
      </c>
      <c r="F2072" s="40" t="s">
        <v>836</v>
      </c>
      <c r="G2072" s="40" t="s">
        <v>652</v>
      </c>
      <c r="H2072" s="7" t="s">
        <v>1290</v>
      </c>
      <c r="I2072" s="256">
        <v>500</v>
      </c>
      <c r="J2072" s="256">
        <v>10739.518192092692</v>
      </c>
      <c r="K2072" s="602">
        <f t="shared" si="480"/>
        <v>5369759</v>
      </c>
      <c r="L2072" s="39" t="s">
        <v>173</v>
      </c>
      <c r="M2072" s="39" t="s">
        <v>167</v>
      </c>
      <c r="N2072" s="39" t="str">
        <f>IF(AND('331-CT'!$E$7=TH!H2072,OR(L2072="331",M2072="331")),"331",IF(AND(OR(L2072="131",M2072="131"),H2072='131-CT'!$E$7),"131",""))</f>
        <v/>
      </c>
      <c r="O2072" s="39" t="str">
        <f>IF(AND($B2072&gt;='111'!$N$11,$B2072&lt;='111'!$O$11,OR($L2072=$O$7,$M2072=$O$7)),"x","")</f>
        <v/>
      </c>
      <c r="P2072" s="39" t="str">
        <f>IF(AND($L2072=$O$7,$B2072&lt;'111'!$N$11),"x","")</f>
        <v/>
      </c>
      <c r="Q2072" s="39" t="str">
        <f>IF(AND($M2072=$O$7,$B2072&lt;'111'!$N$11),"x","")</f>
        <v/>
      </c>
      <c r="R2072" s="39" t="str">
        <f>IF(ISERROR(FIND('112'!$M$9,G2072,1)),"",IF((AND(FIND('112'!$M$9,G2072,1)&gt;=1,$B2072&gt;='112'!$N$8,$B2072&lt;='112'!$O$8,OR($L2072='112'!$I$6,$M2072='112'!$I$6))),"x",""))</f>
        <v/>
      </c>
      <c r="S2072" s="39" t="str">
        <f>IF(ISERROR(FIND('112'!$M$9,G2072,1)),"",IF((AND(LEFT(G2072,2)=LEFT('112'!$M$9,2),B2072&lt;'112'!$N$8,$L2072='112'!$I$6)),"x",""))</f>
        <v/>
      </c>
      <c r="T2072" s="39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39" t="str">
        <f>IF(OR(TH!L2072=TH!$V$7,M2072=TH!$V$7),"x","")</f>
        <v/>
      </c>
      <c r="W2072" s="39" t="str">
        <f>IF(AND(B2072&gt;='IN-NX'!$P$3,B2072&lt;='IN-NX'!$Q$3,'IN-NX'!$D$7=D2072,OR(LEFT(L2072,2)="15",AND(LEFT(M2072,2)&lt;&gt;"15",LEFT(M2072,2)&lt;&gt;"33"))),"x","")</f>
        <v/>
      </c>
      <c r="X2072" s="39" t="str">
        <f>IF(AND(OR(LEFT(TH!L2072,2)="15",LEFT(TH!M2072,2)="15"),'152-CT'!$J$8=TH!F2072),"x","")</f>
        <v/>
      </c>
      <c r="Y2072" s="39" t="str">
        <f>IF(AND(OR(LEFT(TH!L2072,2)="15",LEFT(TH!M2072,2)="15"),TK!$E$7=TH!F2072),"x","")</f>
        <v/>
      </c>
      <c r="Z2072" s="39" t="str">
        <f>IF(AND(B2072&lt;=NKC!$N$8,B2072&gt;=NKC!$M$8),"x","")</f>
        <v/>
      </c>
      <c r="AA2072" s="883"/>
    </row>
    <row r="2073" spans="1:27" s="211" customFormat="1" ht="15.75" customHeight="1">
      <c r="A2073" s="204" t="str">
        <f>IF(B2073&lt;&gt;"",IF(AND(B2073&gt;=_TM1,B2073&lt;=_TM2,OR(TH!L2073="1111",TH!M2073="1111")),TH!D2073,""),"")</f>
        <v/>
      </c>
      <c r="B2073" s="36">
        <f t="shared" si="479"/>
        <v>11</v>
      </c>
      <c r="C2073" s="191">
        <f t="shared" si="481"/>
        <v>41604</v>
      </c>
      <c r="D2073" s="37" t="s">
        <v>487</v>
      </c>
      <c r="E2073" s="773">
        <v>41604</v>
      </c>
      <c r="F2073" s="189" t="s">
        <v>836</v>
      </c>
      <c r="G2073" s="40" t="s">
        <v>652</v>
      </c>
      <c r="H2073" s="7" t="s">
        <v>1290</v>
      </c>
      <c r="I2073" s="256">
        <v>500</v>
      </c>
      <c r="J2073" s="256">
        <v>10360.690192092692</v>
      </c>
      <c r="K2073" s="602">
        <f t="shared" si="480"/>
        <v>5180345</v>
      </c>
      <c r="L2073" s="39" t="s">
        <v>173</v>
      </c>
      <c r="M2073" s="39" t="s">
        <v>167</v>
      </c>
      <c r="N2073" s="39" t="str">
        <f>IF(AND('331-CT'!$E$7=TH!H2073,OR(L2073="331",M2073="331")),"331",IF(AND(OR(L2073="131",M2073="131"),H2073='131-CT'!$E$7),"131",""))</f>
        <v/>
      </c>
      <c r="O2073" s="39" t="str">
        <f>IF(AND($B2073&gt;='111'!$N$11,$B2073&lt;='111'!$O$11,OR($L2073=$O$7,$M2073=$O$7)),"x","")</f>
        <v/>
      </c>
      <c r="P2073" s="39" t="str">
        <f>IF(AND($L2073=$O$7,$B2073&lt;'111'!$N$11),"x","")</f>
        <v/>
      </c>
      <c r="Q2073" s="39" t="str">
        <f>IF(AND($M2073=$O$7,$B2073&lt;'111'!$N$11),"x","")</f>
        <v/>
      </c>
      <c r="R2073" s="39" t="str">
        <f>IF(ISERROR(FIND('112'!$M$9,G2073,1)),"",IF((AND(FIND('112'!$M$9,G2073,1)&gt;=1,$B2073&gt;='112'!$N$8,$B2073&lt;='112'!$O$8,OR($L2073='112'!$I$6,$M2073='112'!$I$6))),"x",""))</f>
        <v/>
      </c>
      <c r="S2073" s="39" t="str">
        <f>IF(ISERROR(FIND('112'!$M$9,G2073,1)),"",IF((AND(LEFT(G2073,2)=LEFT('112'!$M$9,2),B2073&lt;'112'!$N$8,$L2073='112'!$I$6)),"x",""))</f>
        <v/>
      </c>
      <c r="T2073" s="39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39" t="str">
        <f>IF(OR(TH!L2073=TH!$V$7,M2073=TH!$V$7),"x","")</f>
        <v/>
      </c>
      <c r="W2073" s="39" t="str">
        <f>IF(AND(B2073&gt;='IN-NX'!$P$3,B2073&lt;='IN-NX'!$Q$3,'IN-NX'!$D$7=D2073,OR(LEFT(L2073,2)="15",AND(LEFT(M2073,2)&lt;&gt;"15",LEFT(M2073,2)&lt;&gt;"33"))),"x","")</f>
        <v/>
      </c>
      <c r="X2073" s="39" t="str">
        <f>IF(AND(OR(LEFT(TH!L2073,2)="15",LEFT(TH!M2073,2)="15"),'152-CT'!$J$8=TH!F2073),"x","")</f>
        <v/>
      </c>
      <c r="Y2073" s="39" t="str">
        <f>IF(AND(OR(LEFT(TH!L2073,2)="15",LEFT(TH!M2073,2)="15"),TK!$E$7=TH!F2073),"x","")</f>
        <v/>
      </c>
      <c r="Z2073" s="39" t="str">
        <f>IF(AND(B2073&lt;=NKC!$N$8,B2073&gt;=NKC!$M$8),"x","")</f>
        <v/>
      </c>
      <c r="AA2073" s="883"/>
    </row>
    <row r="2074" spans="1:27" s="211" customFormat="1" ht="15.75" customHeight="1">
      <c r="A2074" s="204" t="str">
        <f>IF(B2074&lt;&gt;"",IF(AND(B2074&gt;=_TM1,B2074&lt;=_TM2,OR(TH!L2074="1111",TH!M2074="1111")),TH!D2074,""),"")</f>
        <v/>
      </c>
      <c r="B2074" s="36">
        <f t="shared" si="479"/>
        <v>11</v>
      </c>
      <c r="C2074" s="191">
        <f t="shared" si="481"/>
        <v>41606</v>
      </c>
      <c r="D2074" s="37" t="s">
        <v>487</v>
      </c>
      <c r="E2074" s="773">
        <v>41606</v>
      </c>
      <c r="F2074" s="40" t="s">
        <v>836</v>
      </c>
      <c r="G2074" s="40" t="s">
        <v>1024</v>
      </c>
      <c r="H2074" s="7" t="s">
        <v>1290</v>
      </c>
      <c r="I2074" s="256">
        <v>500</v>
      </c>
      <c r="J2074" s="256">
        <v>9994.5041920926924</v>
      </c>
      <c r="K2074" s="602">
        <f t="shared" si="480"/>
        <v>4997252</v>
      </c>
      <c r="L2074" s="39" t="s">
        <v>173</v>
      </c>
      <c r="M2074" s="39" t="s">
        <v>167</v>
      </c>
      <c r="N2074" s="39" t="str">
        <f>IF(AND('331-CT'!$E$7=TH!H2074,OR(L2074="331",M2074="331")),"331",IF(AND(OR(L2074="131",M2074="131"),H2074='131-CT'!$E$7),"131",""))</f>
        <v/>
      </c>
      <c r="O2074" s="39" t="str">
        <f>IF(AND($B2074&gt;='111'!$N$11,$B2074&lt;='111'!$O$11,OR($L2074=$O$7,$M2074=$O$7)),"x","")</f>
        <v/>
      </c>
      <c r="P2074" s="39" t="str">
        <f>IF(AND($L2074=$O$7,$B2074&lt;'111'!$N$11),"x","")</f>
        <v/>
      </c>
      <c r="Q2074" s="39" t="str">
        <f>IF(AND($M2074=$O$7,$B2074&lt;'111'!$N$11),"x","")</f>
        <v/>
      </c>
      <c r="R2074" s="39" t="str">
        <f>IF(ISERROR(FIND('112'!$M$9,G2074,1)),"",IF((AND(FIND('112'!$M$9,G2074,1)&gt;=1,$B2074&gt;='112'!$N$8,$B2074&lt;='112'!$O$8,OR($L2074='112'!$I$6,$M2074='112'!$I$6))),"x",""))</f>
        <v/>
      </c>
      <c r="S2074" s="39" t="str">
        <f>IF(ISERROR(FIND('112'!$M$9,G2074,1)),"",IF((AND(LEFT(G2074,2)=LEFT('112'!$M$9,2),B2074&lt;'112'!$N$8,$L2074='112'!$I$6)),"x",""))</f>
        <v/>
      </c>
      <c r="T2074" s="39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39" t="str">
        <f>IF(OR(TH!L2074=TH!$V$7,M2074=TH!$V$7),"x","")</f>
        <v/>
      </c>
      <c r="W2074" s="39" t="str">
        <f>IF(AND(B2074&gt;='IN-NX'!$P$3,B2074&lt;='IN-NX'!$Q$3,'IN-NX'!$D$7=D2074,OR(LEFT(L2074,2)="15",AND(LEFT(M2074,2)&lt;&gt;"15",LEFT(M2074,2)&lt;&gt;"33"))),"x","")</f>
        <v/>
      </c>
      <c r="X2074" s="39" t="str">
        <f>IF(AND(OR(LEFT(TH!L2074,2)="15",LEFT(TH!M2074,2)="15"),'152-CT'!$J$8=TH!F2074),"x","")</f>
        <v/>
      </c>
      <c r="Y2074" s="39" t="str">
        <f>IF(AND(OR(LEFT(TH!L2074,2)="15",LEFT(TH!M2074,2)="15"),TK!$E$7=TH!F2074),"x","")</f>
        <v/>
      </c>
      <c r="Z2074" s="39" t="str">
        <f>IF(AND(B2074&lt;=NKC!$N$8,B2074&gt;=NKC!$M$8),"x","")</f>
        <v/>
      </c>
      <c r="AA2074" s="883"/>
    </row>
    <row r="2075" spans="1:27" s="211" customFormat="1" ht="15.75" customHeight="1">
      <c r="A2075" s="204" t="str">
        <f>IF(B2075&lt;&gt;"",IF(AND(B2075&gt;=_TM1,B2075&lt;=_TM2,OR(TH!L2075="1111",TH!M2075="1111")),TH!D2075,""),"")</f>
        <v/>
      </c>
      <c r="B2075" s="36">
        <f t="shared" si="479"/>
        <v>11</v>
      </c>
      <c r="C2075" s="191">
        <f t="shared" si="481"/>
        <v>41606</v>
      </c>
      <c r="D2075" s="37" t="s">
        <v>487</v>
      </c>
      <c r="E2075" s="773">
        <v>41606</v>
      </c>
      <c r="F2075" s="189" t="s">
        <v>739</v>
      </c>
      <c r="G2075" s="40" t="s">
        <v>1024</v>
      </c>
      <c r="H2075" s="7" t="s">
        <v>1290</v>
      </c>
      <c r="I2075" s="256">
        <v>500</v>
      </c>
      <c r="J2075" s="256">
        <v>6518.7401920926923</v>
      </c>
      <c r="K2075" s="602">
        <f t="shared" si="480"/>
        <v>3259370</v>
      </c>
      <c r="L2075" s="39" t="s">
        <v>173</v>
      </c>
      <c r="M2075" s="39" t="s">
        <v>167</v>
      </c>
      <c r="N2075" s="39" t="str">
        <f>IF(AND('331-CT'!$E$7=TH!H2075,OR(L2075="331",M2075="331")),"331",IF(AND(OR(L2075="131",M2075="131"),H2075='131-CT'!$E$7),"131",""))</f>
        <v/>
      </c>
      <c r="O2075" s="39" t="str">
        <f>IF(AND($B2075&gt;='111'!$N$11,$B2075&lt;='111'!$O$11,OR($L2075=$O$7,$M2075=$O$7)),"x","")</f>
        <v/>
      </c>
      <c r="P2075" s="39" t="str">
        <f>IF(AND($L2075=$O$7,$B2075&lt;'111'!$N$11),"x","")</f>
        <v/>
      </c>
      <c r="Q2075" s="39" t="str">
        <f>IF(AND($M2075=$O$7,$B2075&lt;'111'!$N$11),"x","")</f>
        <v/>
      </c>
      <c r="R2075" s="39" t="str">
        <f>IF(ISERROR(FIND('112'!$M$9,G2075,1)),"",IF((AND(FIND('112'!$M$9,G2075,1)&gt;=1,$B2075&gt;='112'!$N$8,$B2075&lt;='112'!$O$8,OR($L2075='112'!$I$6,$M2075='112'!$I$6))),"x",""))</f>
        <v/>
      </c>
      <c r="S2075" s="39" t="str">
        <f>IF(ISERROR(FIND('112'!$M$9,G2075,1)),"",IF((AND(LEFT(G2075,2)=LEFT('112'!$M$9,2),B2075&lt;'112'!$N$8,$L2075='112'!$I$6)),"x",""))</f>
        <v/>
      </c>
      <c r="T2075" s="39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39" t="str">
        <f>IF(OR(TH!L2075=TH!$V$7,M2075=TH!$V$7),"x","")</f>
        <v/>
      </c>
      <c r="W2075" s="39" t="str">
        <f>IF(AND(B2075&gt;='IN-NX'!$P$3,B2075&lt;='IN-NX'!$Q$3,'IN-NX'!$D$7=D2075,OR(LEFT(L2075,2)="15",AND(LEFT(M2075,2)&lt;&gt;"15",LEFT(M2075,2)&lt;&gt;"33"))),"x","")</f>
        <v/>
      </c>
      <c r="X2075" s="39" t="str">
        <f>IF(AND(OR(LEFT(TH!L2075,2)="15",LEFT(TH!M2075,2)="15"),'152-CT'!$J$8=TH!F2075),"x","")</f>
        <v/>
      </c>
      <c r="Y2075" s="39" t="str">
        <f>IF(AND(OR(LEFT(TH!L2075,2)="15",LEFT(TH!M2075,2)="15"),TK!$E$7=TH!F2075),"x","")</f>
        <v/>
      </c>
      <c r="Z2075" s="39" t="str">
        <f>IF(AND(B2075&lt;=NKC!$N$8,B2075&gt;=NKC!$M$8),"x","")</f>
        <v/>
      </c>
      <c r="AA2075" s="883"/>
    </row>
    <row r="2076" spans="1:27" s="211" customFormat="1" ht="15.75" customHeight="1">
      <c r="A2076" s="204" t="str">
        <f>IF(B2076&lt;&gt;"",IF(AND(B2076&gt;=_TM1,B2076&lt;=_TM2,OR(TH!L2076="1111",TH!M2076="1111")),TH!D2076,""),"")</f>
        <v/>
      </c>
      <c r="B2076" s="36">
        <f t="shared" si="479"/>
        <v>11</v>
      </c>
      <c r="C2076" s="191">
        <f t="shared" si="481"/>
        <v>41606</v>
      </c>
      <c r="D2076" s="37" t="s">
        <v>487</v>
      </c>
      <c r="E2076" s="37">
        <v>41606</v>
      </c>
      <c r="F2076" s="40" t="s">
        <v>845</v>
      </c>
      <c r="G2076" s="40" t="s">
        <v>658</v>
      </c>
      <c r="H2076" s="7" t="s">
        <v>1290</v>
      </c>
      <c r="I2076" s="256">
        <v>220</v>
      </c>
      <c r="J2076" s="256">
        <v>18398.035646638145</v>
      </c>
      <c r="K2076" s="602">
        <f t="shared" si="480"/>
        <v>4047568</v>
      </c>
      <c r="L2076" s="39" t="s">
        <v>173</v>
      </c>
      <c r="M2076" s="39" t="s">
        <v>167</v>
      </c>
      <c r="N2076" s="39" t="str">
        <f>IF(AND('331-CT'!$E$7=TH!H2076,OR(L2076="331",M2076="331")),"331",IF(AND(OR(L2076="131",M2076="131"),H2076='131-CT'!$E$7),"131",""))</f>
        <v/>
      </c>
      <c r="O2076" s="39" t="str">
        <f>IF(AND($B2076&gt;='111'!$N$11,$B2076&lt;='111'!$O$11,OR($L2076=$O$7,$M2076=$O$7)),"x","")</f>
        <v/>
      </c>
      <c r="P2076" s="39" t="str">
        <f>IF(AND($L2076=$O$7,$B2076&lt;'111'!$N$11),"x","")</f>
        <v/>
      </c>
      <c r="Q2076" s="39" t="str">
        <f>IF(AND($M2076=$O$7,$B2076&lt;'111'!$N$11),"x","")</f>
        <v/>
      </c>
      <c r="R2076" s="39" t="str">
        <f>IF(ISERROR(FIND('112'!$M$9,G2076,1)),"",IF((AND(FIND('112'!$M$9,G2076,1)&gt;=1,$B2076&gt;='112'!$N$8,$B2076&lt;='112'!$O$8,OR($L2076='112'!$I$6,$M2076='112'!$I$6))),"x",""))</f>
        <v/>
      </c>
      <c r="S2076" s="39" t="str">
        <f>IF(ISERROR(FIND('112'!$M$9,G2076,1)),"",IF((AND(LEFT(G2076,2)=LEFT('112'!$M$9,2),B2076&lt;'112'!$N$8,$L2076='112'!$I$6)),"x",""))</f>
        <v/>
      </c>
      <c r="T2076" s="39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39" t="str">
        <f>IF(OR(TH!L2076=TH!$V$7,M2076=TH!$V$7),"x","")</f>
        <v/>
      </c>
      <c r="W2076" s="39" t="str">
        <f>IF(AND(B2076&gt;='IN-NX'!$P$3,B2076&lt;='IN-NX'!$Q$3,'IN-NX'!$D$7=D2076,OR(LEFT(L2076,2)="15",AND(LEFT(M2076,2)&lt;&gt;"15",LEFT(M2076,2)&lt;&gt;"33"))),"x","")</f>
        <v/>
      </c>
      <c r="X2076" s="39" t="str">
        <f>IF(AND(OR(LEFT(TH!L2076,2)="15",LEFT(TH!M2076,2)="15"),'152-CT'!$J$8=TH!F2076),"x","")</f>
        <v/>
      </c>
      <c r="Y2076" s="39" t="str">
        <f>IF(AND(OR(LEFT(TH!L2076,2)="15",LEFT(TH!M2076,2)="15"),TK!$E$7=TH!F2076),"x","")</f>
        <v/>
      </c>
      <c r="Z2076" s="39" t="str">
        <f>IF(AND(B2076&lt;=NKC!$N$8,B2076&gt;=NKC!$M$8),"x","")</f>
        <v/>
      </c>
      <c r="AA2076" s="883"/>
    </row>
    <row r="2077" spans="1:27" s="211" customFormat="1" ht="15.75" customHeight="1">
      <c r="A2077" s="204" t="str">
        <f>IF(B2077&lt;&gt;"",IF(AND(B2077&gt;=_TM1,B2077&lt;=_TM2,OR(TH!L2077="1111",TH!M2077="1111")),TH!D2077,""),"")</f>
        <v/>
      </c>
      <c r="B2077" s="36">
        <f t="shared" si="479"/>
        <v>11</v>
      </c>
      <c r="C2077" s="191">
        <f t="shared" si="481"/>
        <v>41608</v>
      </c>
      <c r="D2077" s="37" t="s">
        <v>487</v>
      </c>
      <c r="E2077" s="37">
        <v>41608</v>
      </c>
      <c r="F2077" s="40" t="s">
        <v>1008</v>
      </c>
      <c r="G2077" s="40" t="s">
        <v>1025</v>
      </c>
      <c r="H2077" s="7" t="s">
        <v>1290</v>
      </c>
      <c r="I2077" s="256">
        <v>200</v>
      </c>
      <c r="J2077" s="256">
        <v>12655.490192092691</v>
      </c>
      <c r="K2077" s="602">
        <f t="shared" si="480"/>
        <v>2531098</v>
      </c>
      <c r="L2077" s="39" t="s">
        <v>173</v>
      </c>
      <c r="M2077" s="39" t="s">
        <v>167</v>
      </c>
      <c r="N2077" s="39" t="str">
        <f>IF(AND('331-CT'!$E$7=TH!H2077,OR(L2077="331",M2077="331")),"331",IF(AND(OR(L2077="131",M2077="131"),H2077='131-CT'!$E$7),"131",""))</f>
        <v/>
      </c>
      <c r="O2077" s="39" t="str">
        <f>IF(AND($B2077&gt;='111'!$N$11,$B2077&lt;='111'!$O$11,OR($L2077=$O$7,$M2077=$O$7)),"x","")</f>
        <v/>
      </c>
      <c r="P2077" s="39" t="str">
        <f>IF(AND($L2077=$O$7,$B2077&lt;'111'!$N$11),"x","")</f>
        <v/>
      </c>
      <c r="Q2077" s="39" t="str">
        <f>IF(AND($M2077=$O$7,$B2077&lt;'111'!$N$11),"x","")</f>
        <v/>
      </c>
      <c r="R2077" s="39" t="str">
        <f>IF(ISERROR(FIND('112'!$M$9,G2077,1)),"",IF((AND(FIND('112'!$M$9,G2077,1)&gt;=1,$B2077&gt;='112'!$N$8,$B2077&lt;='112'!$O$8,OR($L2077='112'!$I$6,$M2077='112'!$I$6))),"x",""))</f>
        <v/>
      </c>
      <c r="S2077" s="39" t="str">
        <f>IF(ISERROR(FIND('112'!$M$9,G2077,1)),"",IF((AND(LEFT(G2077,2)=LEFT('112'!$M$9,2),B2077&lt;'112'!$N$8,$L2077='112'!$I$6)),"x",""))</f>
        <v/>
      </c>
      <c r="T2077" s="39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39" t="str">
        <f>IF(OR(TH!L2077=TH!$V$7,M2077=TH!$V$7),"x","")</f>
        <v/>
      </c>
      <c r="W2077" s="39" t="str">
        <f>IF(AND(B2077&gt;='IN-NX'!$P$3,B2077&lt;='IN-NX'!$Q$3,'IN-NX'!$D$7=D2077,OR(LEFT(L2077,2)="15",AND(LEFT(M2077,2)&lt;&gt;"15",LEFT(M2077,2)&lt;&gt;"33"))),"x","")</f>
        <v/>
      </c>
      <c r="X2077" s="39" t="str">
        <f>IF(AND(OR(LEFT(TH!L2077,2)="15",LEFT(TH!M2077,2)="15"),'152-CT'!$J$8=TH!F2077),"x","")</f>
        <v/>
      </c>
      <c r="Y2077" s="39" t="str">
        <f>IF(AND(OR(LEFT(TH!L2077,2)="15",LEFT(TH!M2077,2)="15"),TK!$E$7=TH!F2077),"x","")</f>
        <v/>
      </c>
      <c r="Z2077" s="39" t="str">
        <f>IF(AND(B2077&lt;=NKC!$N$8,B2077&gt;=NKC!$M$8),"x","")</f>
        <v/>
      </c>
      <c r="AA2077" s="883"/>
    </row>
    <row r="2078" spans="1:27" s="211" customFormat="1" ht="15.75" customHeight="1">
      <c r="A2078" s="204" t="str">
        <f>IF(B2078&lt;&gt;"",IF(AND(B2078&gt;=_TM1,B2078&lt;=_TM2,OR(TH!L2078="1111",TH!M2078="1111")),TH!D2078,""),"")</f>
        <v/>
      </c>
      <c r="B2078" s="36">
        <f t="shared" si="479"/>
        <v>11</v>
      </c>
      <c r="C2078" s="191">
        <f t="shared" si="481"/>
        <v>41608</v>
      </c>
      <c r="D2078" s="37" t="s">
        <v>487</v>
      </c>
      <c r="E2078" s="184">
        <v>41608</v>
      </c>
      <c r="F2078" s="189" t="s">
        <v>1007</v>
      </c>
      <c r="G2078" s="604" t="s">
        <v>1025</v>
      </c>
      <c r="H2078" s="7" t="s">
        <v>1290</v>
      </c>
      <c r="I2078" s="256">
        <v>150</v>
      </c>
      <c r="J2078" s="256">
        <v>13549.490192092693</v>
      </c>
      <c r="K2078" s="602">
        <f t="shared" si="480"/>
        <v>2032424</v>
      </c>
      <c r="L2078" s="39" t="s">
        <v>173</v>
      </c>
      <c r="M2078" s="39" t="s">
        <v>167</v>
      </c>
      <c r="N2078" s="39" t="str">
        <f>IF(AND('331-CT'!$E$7=TH!H2078,OR(L2078="331",M2078="331")),"331",IF(AND(OR(L2078="131",M2078="131"),H2078='131-CT'!$E$7),"131",""))</f>
        <v/>
      </c>
      <c r="O2078" s="39" t="str">
        <f>IF(AND($B2078&gt;='111'!$N$11,$B2078&lt;='111'!$O$11,OR($L2078=$O$7,$M2078=$O$7)),"x","")</f>
        <v/>
      </c>
      <c r="P2078" s="39" t="str">
        <f>IF(AND($L2078=$O$7,$B2078&lt;'111'!$N$11),"x","")</f>
        <v/>
      </c>
      <c r="Q2078" s="39" t="str">
        <f>IF(AND($M2078=$O$7,$B2078&lt;'111'!$N$11),"x","")</f>
        <v/>
      </c>
      <c r="R2078" s="39" t="str">
        <f>IF(ISERROR(FIND('112'!$M$9,G2078,1)),"",IF((AND(FIND('112'!$M$9,G2078,1)&gt;=1,$B2078&gt;='112'!$N$8,$B2078&lt;='112'!$O$8,OR($L2078='112'!$I$6,$M2078='112'!$I$6))),"x",""))</f>
        <v/>
      </c>
      <c r="S2078" s="39" t="str">
        <f>IF(ISERROR(FIND('112'!$M$9,G2078,1)),"",IF((AND(LEFT(G2078,2)=LEFT('112'!$M$9,2),B2078&lt;'112'!$N$8,$L2078='112'!$I$6)),"x",""))</f>
        <v/>
      </c>
      <c r="T2078" s="39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39" t="str">
        <f>IF(OR(TH!L2078=TH!$V$7,M2078=TH!$V$7),"x","")</f>
        <v/>
      </c>
      <c r="W2078" s="39" t="str">
        <f>IF(AND(B2078&gt;='IN-NX'!$P$3,B2078&lt;='IN-NX'!$Q$3,'IN-NX'!$D$7=D2078,OR(LEFT(L2078,2)="15",AND(LEFT(M2078,2)&lt;&gt;"15",LEFT(M2078,2)&lt;&gt;"33"))),"x","")</f>
        <v/>
      </c>
      <c r="X2078" s="39" t="str">
        <f>IF(AND(OR(LEFT(TH!L2078,2)="15",LEFT(TH!M2078,2)="15"),'152-CT'!$J$8=TH!F2078),"x","")</f>
        <v/>
      </c>
      <c r="Y2078" s="39" t="str">
        <f>IF(AND(OR(LEFT(TH!L2078,2)="15",LEFT(TH!M2078,2)="15"),TK!$E$7=TH!F2078),"x","")</f>
        <v/>
      </c>
      <c r="Z2078" s="39" t="str">
        <f>IF(AND(B2078&lt;=NKC!$N$8,B2078&gt;=NKC!$M$8),"x","")</f>
        <v/>
      </c>
      <c r="AA2078" s="883"/>
    </row>
    <row r="2079" spans="1:27" s="211" customFormat="1" ht="15.75" customHeight="1">
      <c r="A2079" s="204" t="str">
        <f>IF(B2079&lt;&gt;"",IF(AND(B2079&gt;=_TM1,B2079&lt;=_TM2,OR(TH!L2079="1111",TH!M2079="1111")),TH!D2079,""),"")</f>
        <v/>
      </c>
      <c r="B2079" s="36">
        <f t="shared" si="479"/>
        <v>11</v>
      </c>
      <c r="C2079" s="191">
        <f t="shared" si="481"/>
        <v>41608</v>
      </c>
      <c r="D2079" s="37" t="s">
        <v>487</v>
      </c>
      <c r="E2079" s="191">
        <v>41608</v>
      </c>
      <c r="F2079" s="192" t="s">
        <v>1004</v>
      </c>
      <c r="G2079" s="487" t="s">
        <v>1025</v>
      </c>
      <c r="H2079" s="7" t="s">
        <v>1290</v>
      </c>
      <c r="I2079" s="256">
        <v>100</v>
      </c>
      <c r="J2079" s="256">
        <v>8923.4901920926914</v>
      </c>
      <c r="K2079" s="602">
        <f t="shared" si="480"/>
        <v>892349</v>
      </c>
      <c r="L2079" s="39" t="s">
        <v>173</v>
      </c>
      <c r="M2079" s="39" t="s">
        <v>167</v>
      </c>
      <c r="N2079" s="39" t="str">
        <f>IF(AND('331-CT'!$E$7=TH!H2079,OR(L2079="331",M2079="331")),"331",IF(AND(OR(L2079="131",M2079="131"),H2079='131-CT'!$E$7),"131",""))</f>
        <v/>
      </c>
      <c r="O2079" s="39" t="str">
        <f>IF(AND($B2079&gt;='111'!$N$11,$B2079&lt;='111'!$O$11,OR($L2079=$O$7,$M2079=$O$7)),"x","")</f>
        <v/>
      </c>
      <c r="P2079" s="39" t="str">
        <f>IF(AND($L2079=$O$7,$B2079&lt;'111'!$N$11),"x","")</f>
        <v/>
      </c>
      <c r="Q2079" s="39" t="str">
        <f>IF(AND($M2079=$O$7,$B2079&lt;'111'!$N$11),"x","")</f>
        <v/>
      </c>
      <c r="R2079" s="39" t="str">
        <f>IF(ISERROR(FIND('112'!$M$9,G2079,1)),"",IF((AND(FIND('112'!$M$9,G2079,1)&gt;=1,$B2079&gt;='112'!$N$8,$B2079&lt;='112'!$O$8,OR($L2079='112'!$I$6,$M2079='112'!$I$6))),"x",""))</f>
        <v/>
      </c>
      <c r="S2079" s="39" t="str">
        <f>IF(ISERROR(FIND('112'!$M$9,G2079,1)),"",IF((AND(LEFT(G2079,2)=LEFT('112'!$M$9,2),B2079&lt;'112'!$N$8,$L2079='112'!$I$6)),"x",""))</f>
        <v/>
      </c>
      <c r="T2079" s="39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39" t="str">
        <f>IF(OR(TH!L2079=TH!$V$7,M2079=TH!$V$7),"x","")</f>
        <v/>
      </c>
      <c r="W2079" s="39" t="str">
        <f>IF(AND(B2079&gt;='IN-NX'!$P$3,B2079&lt;='IN-NX'!$Q$3,'IN-NX'!$D$7=D2079,OR(LEFT(L2079,2)="15",AND(LEFT(M2079,2)&lt;&gt;"15",LEFT(M2079,2)&lt;&gt;"33"))),"x","")</f>
        <v/>
      </c>
      <c r="X2079" s="39" t="str">
        <f>IF(AND(OR(LEFT(TH!L2079,2)="15",LEFT(TH!M2079,2)="15"),'152-CT'!$J$8=TH!F2079),"x","")</f>
        <v/>
      </c>
      <c r="Y2079" s="39" t="str">
        <f>IF(AND(OR(LEFT(TH!L2079,2)="15",LEFT(TH!M2079,2)="15"),TK!$E$7=TH!F2079),"x","")</f>
        <v/>
      </c>
      <c r="Z2079" s="39" t="str">
        <f>IF(AND(B2079&lt;=NKC!$N$8,B2079&gt;=NKC!$M$8),"x","")</f>
        <v/>
      </c>
      <c r="AA2079" s="883"/>
    </row>
    <row r="2080" spans="1:27" s="211" customFormat="1" ht="15.75" customHeight="1">
      <c r="A2080" s="204" t="str">
        <f>IF(B2080&lt;&gt;"",IF(AND(B2080&gt;=_TM1,B2080&lt;=_TM2,OR(TH!L2080="1111",TH!M2080="1111")),TH!D2080,""),"")</f>
        <v/>
      </c>
      <c r="B2080" s="36">
        <f t="shared" si="479"/>
        <v>11</v>
      </c>
      <c r="C2080" s="191">
        <f t="shared" si="481"/>
        <v>41608</v>
      </c>
      <c r="D2080" s="37" t="s">
        <v>487</v>
      </c>
      <c r="E2080" s="191">
        <v>41608</v>
      </c>
      <c r="F2080" s="192" t="s">
        <v>1026</v>
      </c>
      <c r="G2080" s="487" t="s">
        <v>1027</v>
      </c>
      <c r="H2080" s="7" t="s">
        <v>1290</v>
      </c>
      <c r="I2080" s="256">
        <v>1236</v>
      </c>
      <c r="J2080" s="256">
        <v>16943.49019209269</v>
      </c>
      <c r="K2080" s="602">
        <f t="shared" si="480"/>
        <v>20942154</v>
      </c>
      <c r="L2080" s="39" t="s">
        <v>173</v>
      </c>
      <c r="M2080" s="39" t="s">
        <v>167</v>
      </c>
      <c r="N2080" s="39" t="str">
        <f>IF(AND('331-CT'!$E$7=TH!H2080,OR(L2080="331",M2080="331")),"331",IF(AND(OR(L2080="131",M2080="131"),H2080='131-CT'!$E$7),"131",""))</f>
        <v/>
      </c>
      <c r="O2080" s="39" t="str">
        <f>IF(AND($B2080&gt;='111'!$N$11,$B2080&lt;='111'!$O$11,OR($L2080=$O$7,$M2080=$O$7)),"x","")</f>
        <v/>
      </c>
      <c r="P2080" s="39" t="str">
        <f>IF(AND($L2080=$O$7,$B2080&lt;'111'!$N$11),"x","")</f>
        <v/>
      </c>
      <c r="Q2080" s="39" t="str">
        <f>IF(AND($M2080=$O$7,$B2080&lt;'111'!$N$11),"x","")</f>
        <v/>
      </c>
      <c r="R2080" s="39" t="str">
        <f>IF(ISERROR(FIND('112'!$M$9,G2080,1)),"",IF((AND(FIND('112'!$M$9,G2080,1)&gt;=1,$B2080&gt;='112'!$N$8,$B2080&lt;='112'!$O$8,OR($L2080='112'!$I$6,$M2080='112'!$I$6))),"x",""))</f>
        <v/>
      </c>
      <c r="S2080" s="39" t="str">
        <f>IF(ISERROR(FIND('112'!$M$9,G2080,1)),"",IF((AND(LEFT(G2080,2)=LEFT('112'!$M$9,2),B2080&lt;'112'!$N$8,$L2080='112'!$I$6)),"x",""))</f>
        <v/>
      </c>
      <c r="T2080" s="39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39" t="str">
        <f>IF(OR(TH!L2080=TH!$V$7,M2080=TH!$V$7),"x","")</f>
        <v/>
      </c>
      <c r="W2080" s="39" t="str">
        <f>IF(AND(B2080&gt;='IN-NX'!$P$3,B2080&lt;='IN-NX'!$Q$3,'IN-NX'!$D$7=D2080,OR(LEFT(L2080,2)="15",AND(LEFT(M2080,2)&lt;&gt;"15",LEFT(M2080,2)&lt;&gt;"33"))),"x","")</f>
        <v/>
      </c>
      <c r="X2080" s="39" t="str">
        <f>IF(AND(OR(LEFT(TH!L2080,2)="15",LEFT(TH!M2080,2)="15"),'152-CT'!$J$8=TH!F2080),"x","")</f>
        <v/>
      </c>
      <c r="Y2080" s="39" t="str">
        <f>IF(AND(OR(LEFT(TH!L2080,2)="15",LEFT(TH!M2080,2)="15"),TK!$E$7=TH!F2080),"x","")</f>
        <v/>
      </c>
      <c r="Z2080" s="39" t="str">
        <f>IF(AND(B2080&lt;=NKC!$N$8,B2080&gt;=NKC!$M$8),"x","")</f>
        <v/>
      </c>
      <c r="AA2080" s="883"/>
    </row>
    <row r="2081" spans="1:27" s="211" customFormat="1" ht="15.75" customHeight="1">
      <c r="A2081" s="204" t="str">
        <f>IF(B2081&lt;&gt;"",IF(AND(B2081&gt;=_TM1,B2081&lt;=_TM2,OR(TH!L2081="1111",TH!M2081="1111")),TH!D2081,""),"")</f>
        <v/>
      </c>
      <c r="B2081" s="36">
        <f t="shared" si="479"/>
        <v>12</v>
      </c>
      <c r="C2081" s="191">
        <f t="shared" si="481"/>
        <v>41612</v>
      </c>
      <c r="D2081" s="37" t="s">
        <v>487</v>
      </c>
      <c r="E2081" s="191">
        <v>41612</v>
      </c>
      <c r="F2081" s="192" t="s">
        <v>836</v>
      </c>
      <c r="G2081" s="487" t="s">
        <v>1028</v>
      </c>
      <c r="H2081" s="7" t="s">
        <v>1290</v>
      </c>
      <c r="I2081" s="256">
        <v>500</v>
      </c>
      <c r="J2081" s="256">
        <v>9589.0101920926918</v>
      </c>
      <c r="K2081" s="602">
        <f t="shared" si="480"/>
        <v>4794505</v>
      </c>
      <c r="L2081" s="39" t="s">
        <v>173</v>
      </c>
      <c r="M2081" s="39" t="s">
        <v>167</v>
      </c>
      <c r="N2081" s="39" t="str">
        <f>IF(AND('331-CT'!$E$7=TH!H2081,OR(L2081="331",M2081="331")),"331",IF(AND(OR(L2081="131",M2081="131"),H2081='131-CT'!$E$7),"131",""))</f>
        <v/>
      </c>
      <c r="O2081" s="39" t="str">
        <f>IF(AND($B2081&gt;='111'!$N$11,$B2081&lt;='111'!$O$11,OR($L2081=$O$7,$M2081=$O$7)),"x","")</f>
        <v/>
      </c>
      <c r="P2081" s="39" t="str">
        <f>IF(AND($L2081=$O$7,$B2081&lt;'111'!$N$11),"x","")</f>
        <v/>
      </c>
      <c r="Q2081" s="39" t="str">
        <f>IF(AND($M2081=$O$7,$B2081&lt;'111'!$N$11),"x","")</f>
        <v/>
      </c>
      <c r="R2081" s="39" t="str">
        <f>IF(ISERROR(FIND('112'!$M$9,G2081,1)),"",IF((AND(FIND('112'!$M$9,G2081,1)&gt;=1,$B2081&gt;='112'!$N$8,$B2081&lt;='112'!$O$8,OR($L2081='112'!$I$6,$M2081='112'!$I$6))),"x",""))</f>
        <v/>
      </c>
      <c r="S2081" s="39" t="str">
        <f>IF(ISERROR(FIND('112'!$M$9,G2081,1)),"",IF((AND(LEFT(G2081,2)=LEFT('112'!$M$9,2),B2081&lt;'112'!$N$8,$L2081='112'!$I$6)),"x",""))</f>
        <v/>
      </c>
      <c r="T2081" s="39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39" t="str">
        <f>IF(OR(TH!L2081=TH!$V$7,M2081=TH!$V$7),"x","")</f>
        <v/>
      </c>
      <c r="W2081" s="39" t="str">
        <f>IF(AND(B2081&gt;='IN-NX'!$P$3,B2081&lt;='IN-NX'!$Q$3,'IN-NX'!$D$7=D2081,OR(LEFT(L2081,2)="15",AND(LEFT(M2081,2)&lt;&gt;"15",LEFT(M2081,2)&lt;&gt;"33"))),"x","")</f>
        <v/>
      </c>
      <c r="X2081" s="39" t="str">
        <f>IF(AND(OR(LEFT(TH!L2081,2)="15",LEFT(TH!M2081,2)="15"),'152-CT'!$J$8=TH!F2081),"x","")</f>
        <v/>
      </c>
      <c r="Y2081" s="39" t="str">
        <f>IF(AND(OR(LEFT(TH!L2081,2)="15",LEFT(TH!M2081,2)="15"),TK!$E$7=TH!F2081),"x","")</f>
        <v/>
      </c>
      <c r="Z2081" s="39" t="str">
        <f>IF(AND(B2081&lt;=NKC!$N$8,B2081&gt;=NKC!$M$8),"x","")</f>
        <v/>
      </c>
      <c r="AA2081" s="883"/>
    </row>
    <row r="2082" spans="1:27" s="211" customFormat="1" ht="15.75" customHeight="1">
      <c r="A2082" s="204" t="str">
        <f>IF(B2082&lt;&gt;"",IF(AND(B2082&gt;=_TM1,B2082&lt;=_TM2,OR(TH!L2082="1111",TH!M2082="1111")),TH!D2082,""),"")</f>
        <v/>
      </c>
      <c r="B2082" s="36">
        <f t="shared" si="479"/>
        <v>12</v>
      </c>
      <c r="C2082" s="191">
        <f t="shared" si="481"/>
        <v>41612</v>
      </c>
      <c r="D2082" s="37" t="s">
        <v>487</v>
      </c>
      <c r="E2082" s="191">
        <v>41612</v>
      </c>
      <c r="F2082" s="192" t="s">
        <v>836</v>
      </c>
      <c r="G2082" s="487" t="s">
        <v>1028</v>
      </c>
      <c r="H2082" s="7" t="s">
        <v>1290</v>
      </c>
      <c r="I2082" s="256">
        <v>500</v>
      </c>
      <c r="J2082" s="256">
        <v>9294.7401920926932</v>
      </c>
      <c r="K2082" s="602">
        <f t="shared" si="480"/>
        <v>4647370</v>
      </c>
      <c r="L2082" s="39" t="s">
        <v>173</v>
      </c>
      <c r="M2082" s="39" t="s">
        <v>167</v>
      </c>
      <c r="N2082" s="39" t="str">
        <f>IF(AND('331-CT'!$E$7=TH!H2082,OR(L2082="331",M2082="331")),"331",IF(AND(OR(L2082="131",M2082="131"),H2082='131-CT'!$E$7),"131",""))</f>
        <v/>
      </c>
      <c r="O2082" s="39" t="str">
        <f>IF(AND($B2082&gt;='111'!$N$11,$B2082&lt;='111'!$O$11,OR($L2082=$O$7,$M2082=$O$7)),"x","")</f>
        <v/>
      </c>
      <c r="P2082" s="39" t="str">
        <f>IF(AND($L2082=$O$7,$B2082&lt;'111'!$N$11),"x","")</f>
        <v/>
      </c>
      <c r="Q2082" s="39" t="str">
        <f>IF(AND($M2082=$O$7,$B2082&lt;'111'!$N$11),"x","")</f>
        <v/>
      </c>
      <c r="R2082" s="39" t="str">
        <f>IF(ISERROR(FIND('112'!$M$9,G2082,1)),"",IF((AND(FIND('112'!$M$9,G2082,1)&gt;=1,$B2082&gt;='112'!$N$8,$B2082&lt;='112'!$O$8,OR($L2082='112'!$I$6,$M2082='112'!$I$6))),"x",""))</f>
        <v/>
      </c>
      <c r="S2082" s="39" t="str">
        <f>IF(ISERROR(FIND('112'!$M$9,G2082,1)),"",IF((AND(LEFT(G2082,2)=LEFT('112'!$M$9,2),B2082&lt;'112'!$N$8,$L2082='112'!$I$6)),"x",""))</f>
        <v/>
      </c>
      <c r="T2082" s="39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39" t="str">
        <f>IF(OR(TH!L2082=TH!$V$7,M2082=TH!$V$7),"x","")</f>
        <v/>
      </c>
      <c r="W2082" s="39" t="str">
        <f>IF(AND(B2082&gt;='IN-NX'!$P$3,B2082&lt;='IN-NX'!$Q$3,'IN-NX'!$D$7=D2082,OR(LEFT(L2082,2)="15",AND(LEFT(M2082,2)&lt;&gt;"15",LEFT(M2082,2)&lt;&gt;"33"))),"x","")</f>
        <v/>
      </c>
      <c r="X2082" s="39" t="str">
        <f>IF(AND(OR(LEFT(TH!L2082,2)="15",LEFT(TH!M2082,2)="15"),'152-CT'!$J$8=TH!F2082),"x","")</f>
        <v/>
      </c>
      <c r="Y2082" s="39" t="str">
        <f>IF(AND(OR(LEFT(TH!L2082,2)="15",LEFT(TH!M2082,2)="15"),TK!$E$7=TH!F2082),"x","")</f>
        <v/>
      </c>
      <c r="Z2082" s="39" t="str">
        <f>IF(AND(B2082&lt;=NKC!$N$8,B2082&gt;=NKC!$M$8),"x","")</f>
        <v/>
      </c>
      <c r="AA2082" s="883"/>
    </row>
    <row r="2083" spans="1:27" s="211" customFormat="1" ht="15.75" customHeight="1">
      <c r="A2083" s="204" t="str">
        <f>IF(B2083&lt;&gt;"",IF(AND(B2083&gt;=_TM1,B2083&lt;=_TM2,OR(TH!L2083="1111",TH!M2083="1111")),TH!D2083,""),"")</f>
        <v/>
      </c>
      <c r="B2083" s="36">
        <f t="shared" si="479"/>
        <v>12</v>
      </c>
      <c r="C2083" s="191">
        <f t="shared" si="481"/>
        <v>41613</v>
      </c>
      <c r="D2083" s="37" t="s">
        <v>487</v>
      </c>
      <c r="E2083" s="191">
        <v>41613</v>
      </c>
      <c r="F2083" s="192" t="s">
        <v>883</v>
      </c>
      <c r="G2083" s="487" t="s">
        <v>1029</v>
      </c>
      <c r="H2083" s="7" t="s">
        <v>1290</v>
      </c>
      <c r="I2083" s="256">
        <v>202</v>
      </c>
      <c r="J2083" s="256">
        <v>7803.8862316966515</v>
      </c>
      <c r="K2083" s="602">
        <f t="shared" si="480"/>
        <v>1576385</v>
      </c>
      <c r="L2083" s="39" t="s">
        <v>173</v>
      </c>
      <c r="M2083" s="39" t="s">
        <v>167</v>
      </c>
      <c r="N2083" s="39" t="str">
        <f>IF(AND('331-CT'!$E$7=TH!H2083,OR(L2083="331",M2083="331")),"331",IF(AND(OR(L2083="131",M2083="131"),H2083='131-CT'!$E$7),"131",""))</f>
        <v/>
      </c>
      <c r="O2083" s="39" t="str">
        <f>IF(AND($B2083&gt;='111'!$N$11,$B2083&lt;='111'!$O$11,OR($L2083=$O$7,$M2083=$O$7)),"x","")</f>
        <v/>
      </c>
      <c r="P2083" s="39" t="str">
        <f>IF(AND($L2083=$O$7,$B2083&lt;'111'!$N$11),"x","")</f>
        <v/>
      </c>
      <c r="Q2083" s="39" t="str">
        <f>IF(AND($M2083=$O$7,$B2083&lt;'111'!$N$11),"x","")</f>
        <v/>
      </c>
      <c r="R2083" s="39" t="str">
        <f>IF(ISERROR(FIND('112'!$M$9,G2083,1)),"",IF((AND(FIND('112'!$M$9,G2083,1)&gt;=1,$B2083&gt;='112'!$N$8,$B2083&lt;='112'!$O$8,OR($L2083='112'!$I$6,$M2083='112'!$I$6))),"x",""))</f>
        <v/>
      </c>
      <c r="S2083" s="39" t="str">
        <f>IF(ISERROR(FIND('112'!$M$9,G2083,1)),"",IF((AND(LEFT(G2083,2)=LEFT('112'!$M$9,2),B2083&lt;'112'!$N$8,$L2083='112'!$I$6)),"x",""))</f>
        <v/>
      </c>
      <c r="T2083" s="39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39" t="str">
        <f>IF(OR(TH!L2083=TH!$V$7,M2083=TH!$V$7),"x","")</f>
        <v/>
      </c>
      <c r="W2083" s="39" t="str">
        <f>IF(AND(B2083&gt;='IN-NX'!$P$3,B2083&lt;='IN-NX'!$Q$3,'IN-NX'!$D$7=D2083,OR(LEFT(L2083,2)="15",AND(LEFT(M2083,2)&lt;&gt;"15",LEFT(M2083,2)&lt;&gt;"33"))),"x","")</f>
        <v/>
      </c>
      <c r="X2083" s="39" t="str">
        <f>IF(AND(OR(LEFT(TH!L2083,2)="15",LEFT(TH!M2083,2)="15"),'152-CT'!$J$8=TH!F2083),"x","")</f>
        <v/>
      </c>
      <c r="Y2083" s="39" t="str">
        <f>IF(AND(OR(LEFT(TH!L2083,2)="15",LEFT(TH!M2083,2)="15"),TK!$E$7=TH!F2083),"x","")</f>
        <v/>
      </c>
      <c r="Z2083" s="39" t="str">
        <f>IF(AND(B2083&lt;=NKC!$N$8,B2083&gt;=NKC!$M$8),"x","")</f>
        <v/>
      </c>
      <c r="AA2083" s="883"/>
    </row>
    <row r="2084" spans="1:27" s="211" customFormat="1" ht="15.75" customHeight="1">
      <c r="A2084" s="204" t="str">
        <f>IF(B2084&lt;&gt;"",IF(AND(B2084&gt;=_TM1,B2084&lt;=_TM2,OR(TH!L2084="1111",TH!M2084="1111")),TH!D2084,""),"")</f>
        <v/>
      </c>
      <c r="B2084" s="36">
        <f t="shared" si="479"/>
        <v>12</v>
      </c>
      <c r="C2084" s="191">
        <f t="shared" si="481"/>
        <v>41613</v>
      </c>
      <c r="D2084" s="37" t="s">
        <v>487</v>
      </c>
      <c r="E2084" s="191">
        <v>41613</v>
      </c>
      <c r="F2084" s="192" t="s">
        <v>841</v>
      </c>
      <c r="G2084" s="487" t="s">
        <v>1029</v>
      </c>
      <c r="H2084" s="7" t="s">
        <v>1290</v>
      </c>
      <c r="I2084" s="256">
        <v>85</v>
      </c>
      <c r="J2084" s="256">
        <v>10186.431368563282</v>
      </c>
      <c r="K2084" s="602">
        <f t="shared" si="480"/>
        <v>865847</v>
      </c>
      <c r="L2084" s="39" t="s">
        <v>173</v>
      </c>
      <c r="M2084" s="39" t="s">
        <v>167</v>
      </c>
      <c r="N2084" s="39" t="str">
        <f>IF(AND('331-CT'!$E$7=TH!H2084,OR(L2084="331",M2084="331")),"331",IF(AND(OR(L2084="131",M2084="131"),H2084='131-CT'!$E$7),"131",""))</f>
        <v/>
      </c>
      <c r="O2084" s="39" t="str">
        <f>IF(AND($B2084&gt;='111'!$N$11,$B2084&lt;='111'!$O$11,OR($L2084=$O$7,$M2084=$O$7)),"x","")</f>
        <v/>
      </c>
      <c r="P2084" s="39" t="str">
        <f>IF(AND($L2084=$O$7,$B2084&lt;'111'!$N$11),"x","")</f>
        <v/>
      </c>
      <c r="Q2084" s="39" t="str">
        <f>IF(AND($M2084=$O$7,$B2084&lt;'111'!$N$11),"x","")</f>
        <v/>
      </c>
      <c r="R2084" s="39" t="str">
        <f>IF(ISERROR(FIND('112'!$M$9,G2084,1)),"",IF((AND(FIND('112'!$M$9,G2084,1)&gt;=1,$B2084&gt;='112'!$N$8,$B2084&lt;='112'!$O$8,OR($L2084='112'!$I$6,$M2084='112'!$I$6))),"x",""))</f>
        <v/>
      </c>
      <c r="S2084" s="39" t="str">
        <f>IF(ISERROR(FIND('112'!$M$9,G2084,1)),"",IF((AND(LEFT(G2084,2)=LEFT('112'!$M$9,2),B2084&lt;'112'!$N$8,$L2084='112'!$I$6)),"x",""))</f>
        <v/>
      </c>
      <c r="T2084" s="39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39" t="str">
        <f>IF(OR(TH!L2084=TH!$V$7,M2084=TH!$V$7),"x","")</f>
        <v/>
      </c>
      <c r="W2084" s="39" t="str">
        <f>IF(AND(B2084&gt;='IN-NX'!$P$3,B2084&lt;='IN-NX'!$Q$3,'IN-NX'!$D$7=D2084,OR(LEFT(L2084,2)="15",AND(LEFT(M2084,2)&lt;&gt;"15",LEFT(M2084,2)&lt;&gt;"33"))),"x","")</f>
        <v/>
      </c>
      <c r="X2084" s="39" t="str">
        <f>IF(AND(OR(LEFT(TH!L2084,2)="15",LEFT(TH!M2084,2)="15"),'152-CT'!$J$8=TH!F2084),"x","")</f>
        <v/>
      </c>
      <c r="Y2084" s="39" t="str">
        <f>IF(AND(OR(LEFT(TH!L2084,2)="15",LEFT(TH!M2084,2)="15"),TK!$E$7=TH!F2084),"x","")</f>
        <v/>
      </c>
      <c r="Z2084" s="39" t="str">
        <f>IF(AND(B2084&lt;=NKC!$N$8,B2084&gt;=NKC!$M$8),"x","")</f>
        <v/>
      </c>
      <c r="AA2084" s="883"/>
    </row>
    <row r="2085" spans="1:27" s="211" customFormat="1" ht="15.75" customHeight="1">
      <c r="A2085" s="204" t="str">
        <f>IF(B2085&lt;&gt;"",IF(AND(B2085&gt;=_TM1,B2085&lt;=_TM2,OR(TH!L2085="1111",TH!M2085="1111")),TH!D2085,""),"")</f>
        <v/>
      </c>
      <c r="B2085" s="36">
        <f t="shared" si="479"/>
        <v>12</v>
      </c>
      <c r="C2085" s="191">
        <f t="shared" si="481"/>
        <v>41615</v>
      </c>
      <c r="D2085" s="37" t="s">
        <v>487</v>
      </c>
      <c r="E2085" s="191">
        <v>41615</v>
      </c>
      <c r="F2085" s="192" t="s">
        <v>1148</v>
      </c>
      <c r="G2085" s="487" t="s">
        <v>660</v>
      </c>
      <c r="H2085" s="7" t="s">
        <v>1290</v>
      </c>
      <c r="I2085" s="256">
        <v>2700</v>
      </c>
      <c r="J2085" s="256">
        <v>4107.8987106112108</v>
      </c>
      <c r="K2085" s="602">
        <f t="shared" si="480"/>
        <v>11091327</v>
      </c>
      <c r="L2085" s="39" t="s">
        <v>173</v>
      </c>
      <c r="M2085" s="39" t="s">
        <v>167</v>
      </c>
      <c r="N2085" s="39" t="str">
        <f>IF(AND('331-CT'!$E$7=TH!H2085,OR(L2085="331",M2085="331")),"331",IF(AND(OR(L2085="131",M2085="131"),H2085='131-CT'!$E$7),"131",""))</f>
        <v/>
      </c>
      <c r="O2085" s="39" t="str">
        <f>IF(AND($B2085&gt;='111'!$N$11,$B2085&lt;='111'!$O$11,OR($L2085=$O$7,$M2085=$O$7)),"x","")</f>
        <v/>
      </c>
      <c r="P2085" s="39" t="str">
        <f>IF(AND($L2085=$O$7,$B2085&lt;'111'!$N$11),"x","")</f>
        <v/>
      </c>
      <c r="Q2085" s="39" t="str">
        <f>IF(AND($M2085=$O$7,$B2085&lt;'111'!$N$11),"x","")</f>
        <v/>
      </c>
      <c r="R2085" s="39" t="str">
        <f>IF(ISERROR(FIND('112'!$M$9,G2085,1)),"",IF((AND(FIND('112'!$M$9,G2085,1)&gt;=1,$B2085&gt;='112'!$N$8,$B2085&lt;='112'!$O$8,OR($L2085='112'!$I$6,$M2085='112'!$I$6))),"x",""))</f>
        <v/>
      </c>
      <c r="S2085" s="39" t="str">
        <f>IF(ISERROR(FIND('112'!$M$9,G2085,1)),"",IF((AND(LEFT(G2085,2)=LEFT('112'!$M$9,2),B2085&lt;'112'!$N$8,$L2085='112'!$I$6)),"x",""))</f>
        <v/>
      </c>
      <c r="T2085" s="39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39" t="str">
        <f>IF(OR(TH!L2085=TH!$V$7,M2085=TH!$V$7),"x","")</f>
        <v/>
      </c>
      <c r="W2085" s="39" t="str">
        <f>IF(AND(B2085&gt;='IN-NX'!$P$3,B2085&lt;='IN-NX'!$Q$3,'IN-NX'!$D$7=D2085,OR(LEFT(L2085,2)="15",AND(LEFT(M2085,2)&lt;&gt;"15",LEFT(M2085,2)&lt;&gt;"33"))),"x","")</f>
        <v/>
      </c>
      <c r="X2085" s="39" t="str">
        <f>IF(AND(OR(LEFT(TH!L2085,2)="15",LEFT(TH!M2085,2)="15"),'152-CT'!$J$8=TH!F2085),"x","")</f>
        <v/>
      </c>
      <c r="Y2085" s="39" t="str">
        <f>IF(AND(OR(LEFT(TH!L2085,2)="15",LEFT(TH!M2085,2)="15"),TK!$E$7=TH!F2085),"x","")</f>
        <v/>
      </c>
      <c r="Z2085" s="39" t="str">
        <f>IF(AND(B2085&lt;=NKC!$N$8,B2085&gt;=NKC!$M$8),"x","")</f>
        <v/>
      </c>
      <c r="AA2085" s="883"/>
    </row>
    <row r="2086" spans="1:27" s="211" customFormat="1" ht="15.75" customHeight="1">
      <c r="A2086" s="204" t="str">
        <f>IF(B2086&lt;&gt;"",IF(AND(B2086&gt;=_TM1,B2086&lt;=_TM2,OR(TH!L2086="1111",TH!M2086="1111")),TH!D2086,""),"")</f>
        <v/>
      </c>
      <c r="B2086" s="36">
        <f t="shared" si="479"/>
        <v>12</v>
      </c>
      <c r="C2086" s="191">
        <f t="shared" si="481"/>
        <v>41620</v>
      </c>
      <c r="D2086" s="37" t="s">
        <v>487</v>
      </c>
      <c r="E2086" s="191">
        <v>41620</v>
      </c>
      <c r="F2086" s="192" t="s">
        <v>1140</v>
      </c>
      <c r="G2086" s="487" t="s">
        <v>1030</v>
      </c>
      <c r="H2086" s="7" t="s">
        <v>1290</v>
      </c>
      <c r="I2086" s="256">
        <v>1055</v>
      </c>
      <c r="J2086" s="256">
        <v>4265.8010925666258</v>
      </c>
      <c r="K2086" s="602">
        <f t="shared" si="480"/>
        <v>4500420</v>
      </c>
      <c r="L2086" s="39" t="s">
        <v>173</v>
      </c>
      <c r="M2086" s="39" t="s">
        <v>167</v>
      </c>
      <c r="N2086" s="39" t="str">
        <f>IF(AND('331-CT'!$E$7=TH!H2086,OR(L2086="331",M2086="331")),"331",IF(AND(OR(L2086="131",M2086="131"),H2086='131-CT'!$E$7),"131",""))</f>
        <v/>
      </c>
      <c r="O2086" s="39" t="str">
        <f>IF(AND($B2086&gt;='111'!$N$11,$B2086&lt;='111'!$O$11,OR($L2086=$O$7,$M2086=$O$7)),"x","")</f>
        <v/>
      </c>
      <c r="P2086" s="39" t="str">
        <f>IF(AND($L2086=$O$7,$B2086&lt;'111'!$N$11),"x","")</f>
        <v/>
      </c>
      <c r="Q2086" s="39" t="str">
        <f>IF(AND($M2086=$O$7,$B2086&lt;'111'!$N$11),"x","")</f>
        <v/>
      </c>
      <c r="R2086" s="39" t="str">
        <f>IF(ISERROR(FIND('112'!$M$9,G2086,1)),"",IF((AND(FIND('112'!$M$9,G2086,1)&gt;=1,$B2086&gt;='112'!$N$8,$B2086&lt;='112'!$O$8,OR($L2086='112'!$I$6,$M2086='112'!$I$6))),"x",""))</f>
        <v/>
      </c>
      <c r="S2086" s="39" t="str">
        <f>IF(ISERROR(FIND('112'!$M$9,G2086,1)),"",IF((AND(LEFT(G2086,2)=LEFT('112'!$M$9,2),B2086&lt;'112'!$N$8,$L2086='112'!$I$6)),"x",""))</f>
        <v/>
      </c>
      <c r="T2086" s="39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39" t="str">
        <f>IF(OR(TH!L2086=TH!$V$7,M2086=TH!$V$7),"x","")</f>
        <v/>
      </c>
      <c r="W2086" s="39" t="str">
        <f>IF(AND(B2086&gt;='IN-NX'!$P$3,B2086&lt;='IN-NX'!$Q$3,'IN-NX'!$D$7=D2086,OR(LEFT(L2086,2)="15",AND(LEFT(M2086,2)&lt;&gt;"15",LEFT(M2086,2)&lt;&gt;"33"))),"x","")</f>
        <v/>
      </c>
      <c r="X2086" s="39" t="str">
        <f>IF(AND(OR(LEFT(TH!L2086,2)="15",LEFT(TH!M2086,2)="15"),'152-CT'!$J$8=TH!F2086),"x","")</f>
        <v/>
      </c>
      <c r="Y2086" s="39" t="str">
        <f>IF(AND(OR(LEFT(TH!L2086,2)="15",LEFT(TH!M2086,2)="15"),TK!$E$7=TH!F2086),"x","")</f>
        <v/>
      </c>
      <c r="Z2086" s="39" t="str">
        <f>IF(AND(B2086&lt;=NKC!$N$8,B2086&gt;=NKC!$M$8),"x","")</f>
        <v/>
      </c>
      <c r="AA2086" s="883"/>
    </row>
    <row r="2087" spans="1:27" s="211" customFormat="1" ht="15.75" customHeight="1">
      <c r="A2087" s="204" t="str">
        <f>IF(B2087&lt;&gt;"",IF(AND(B2087&gt;=_TM1,B2087&lt;=_TM2,OR(TH!L2087="1111",TH!M2087="1111")),TH!D2087,""),"")</f>
        <v/>
      </c>
      <c r="B2087" s="36">
        <f t="shared" si="479"/>
        <v>12</v>
      </c>
      <c r="C2087" s="191">
        <f t="shared" si="481"/>
        <v>41622</v>
      </c>
      <c r="D2087" s="37" t="s">
        <v>487</v>
      </c>
      <c r="E2087" s="191">
        <v>41622</v>
      </c>
      <c r="F2087" s="192" t="s">
        <v>1150</v>
      </c>
      <c r="G2087" s="487" t="s">
        <v>1031</v>
      </c>
      <c r="H2087" s="7" t="s">
        <v>1290</v>
      </c>
      <c r="I2087" s="256">
        <v>2700</v>
      </c>
      <c r="J2087" s="256">
        <v>4107.8983402408403</v>
      </c>
      <c r="K2087" s="602">
        <f t="shared" si="480"/>
        <v>11091326</v>
      </c>
      <c r="L2087" s="39" t="s">
        <v>173</v>
      </c>
      <c r="M2087" s="39" t="s">
        <v>167</v>
      </c>
      <c r="N2087" s="39" t="str">
        <f>IF(AND('331-CT'!$E$7=TH!H2087,OR(L2087="331",M2087="331")),"331",IF(AND(OR(L2087="131",M2087="131"),H2087='131-CT'!$E$7),"131",""))</f>
        <v/>
      </c>
      <c r="O2087" s="39" t="str">
        <f>IF(AND($B2087&gt;='111'!$N$11,$B2087&lt;='111'!$O$11,OR($L2087=$O$7,$M2087=$O$7)),"x","")</f>
        <v/>
      </c>
      <c r="P2087" s="39" t="str">
        <f>IF(AND($L2087=$O$7,$B2087&lt;'111'!$N$11),"x","")</f>
        <v/>
      </c>
      <c r="Q2087" s="39" t="str">
        <f>IF(AND($M2087=$O$7,$B2087&lt;'111'!$N$11),"x","")</f>
        <v/>
      </c>
      <c r="R2087" s="39" t="str">
        <f>IF(ISERROR(FIND('112'!$M$9,G2087,1)),"",IF((AND(FIND('112'!$M$9,G2087,1)&gt;=1,$B2087&gt;='112'!$N$8,$B2087&lt;='112'!$O$8,OR($L2087='112'!$I$6,$M2087='112'!$I$6))),"x",""))</f>
        <v/>
      </c>
      <c r="S2087" s="39" t="str">
        <f>IF(ISERROR(FIND('112'!$M$9,G2087,1)),"",IF((AND(LEFT(G2087,2)=LEFT('112'!$M$9,2),B2087&lt;'112'!$N$8,$L2087='112'!$I$6)),"x",""))</f>
        <v/>
      </c>
      <c r="T2087" s="39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39" t="str">
        <f>IF(OR(TH!L2087=TH!$V$7,M2087=TH!$V$7),"x","")</f>
        <v/>
      </c>
      <c r="W2087" s="39" t="str">
        <f>IF(AND(B2087&gt;='IN-NX'!$P$3,B2087&lt;='IN-NX'!$Q$3,'IN-NX'!$D$7=D2087,OR(LEFT(L2087,2)="15",AND(LEFT(M2087,2)&lt;&gt;"15",LEFT(M2087,2)&lt;&gt;"33"))),"x","")</f>
        <v/>
      </c>
      <c r="X2087" s="39" t="str">
        <f>IF(AND(OR(LEFT(TH!L2087,2)="15",LEFT(TH!M2087,2)="15"),'152-CT'!$J$8=TH!F2087),"x","")</f>
        <v/>
      </c>
      <c r="Y2087" s="39" t="str">
        <f>IF(AND(OR(LEFT(TH!L2087,2)="15",LEFT(TH!M2087,2)="15"),TK!$E$7=TH!F2087),"x","")</f>
        <v/>
      </c>
      <c r="Z2087" s="39" t="str">
        <f>IF(AND(B2087&lt;=NKC!$N$8,B2087&gt;=NKC!$M$8),"x","")</f>
        <v/>
      </c>
      <c r="AA2087" s="883"/>
    </row>
    <row r="2088" spans="1:27" s="211" customFormat="1" ht="15.75" customHeight="1">
      <c r="A2088" s="204" t="str">
        <f>IF(B2088&lt;&gt;"",IF(AND(B2088&gt;=_TM1,B2088&lt;=_TM2,OR(TH!L2088="1111",TH!M2088="1111")),TH!D2088,""),"")</f>
        <v/>
      </c>
      <c r="B2088" s="36">
        <f t="shared" ref="B2088:B2105" si="482">IF(C2088&lt;&gt;"",MONTH(C2088),"")</f>
        <v>12</v>
      </c>
      <c r="C2088" s="191">
        <f t="shared" si="481"/>
        <v>41624</v>
      </c>
      <c r="D2088" s="37" t="s">
        <v>487</v>
      </c>
      <c r="E2088" s="191">
        <v>41624</v>
      </c>
      <c r="F2088" s="192" t="s">
        <v>836</v>
      </c>
      <c r="G2088" s="487" t="s">
        <v>1032</v>
      </c>
      <c r="H2088" s="7" t="s">
        <v>1290</v>
      </c>
      <c r="I2088" s="256">
        <v>1030</v>
      </c>
      <c r="J2088" s="256">
        <v>10898.519318306286</v>
      </c>
      <c r="K2088" s="602">
        <f t="shared" si="480"/>
        <v>11225475</v>
      </c>
      <c r="L2088" s="39" t="s">
        <v>173</v>
      </c>
      <c r="M2088" s="39" t="s">
        <v>167</v>
      </c>
      <c r="N2088" s="39" t="str">
        <f>IF(AND('331-CT'!$E$7=TH!H2088,OR(L2088="331",M2088="331")),"331",IF(AND(OR(L2088="131",M2088="131"),H2088='131-CT'!$E$7),"131",""))</f>
        <v/>
      </c>
      <c r="O2088" s="39" t="str">
        <f>IF(AND($B2088&gt;='111'!$N$11,$B2088&lt;='111'!$O$11,OR($L2088=$O$7,$M2088=$O$7)),"x","")</f>
        <v/>
      </c>
      <c r="P2088" s="39" t="str">
        <f>IF(AND($L2088=$O$7,$B2088&lt;'111'!$N$11),"x","")</f>
        <v/>
      </c>
      <c r="Q2088" s="39" t="str">
        <f>IF(AND($M2088=$O$7,$B2088&lt;'111'!$N$11),"x","")</f>
        <v/>
      </c>
      <c r="R2088" s="39" t="str">
        <f>IF(ISERROR(FIND('112'!$M$9,G2088,1)),"",IF((AND(FIND('112'!$M$9,G2088,1)&gt;=1,$B2088&gt;='112'!$N$8,$B2088&lt;='112'!$O$8,OR($L2088='112'!$I$6,$M2088='112'!$I$6))),"x",""))</f>
        <v/>
      </c>
      <c r="S2088" s="39" t="str">
        <f>IF(ISERROR(FIND('112'!$M$9,G2088,1)),"",IF((AND(LEFT(G2088,2)=LEFT('112'!$M$9,2),B2088&lt;'112'!$N$8,$L2088='112'!$I$6)),"x",""))</f>
        <v/>
      </c>
      <c r="T2088" s="39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39" t="str">
        <f>IF(OR(TH!L2088=TH!$V$7,M2088=TH!$V$7),"x","")</f>
        <v/>
      </c>
      <c r="W2088" s="39" t="str">
        <f>IF(AND(B2088&gt;='IN-NX'!$P$3,B2088&lt;='IN-NX'!$Q$3,'IN-NX'!$D$7=D2088,OR(LEFT(L2088,2)="15",AND(LEFT(M2088,2)&lt;&gt;"15",LEFT(M2088,2)&lt;&gt;"33"))),"x","")</f>
        <v/>
      </c>
      <c r="X2088" s="39" t="str">
        <f>IF(AND(OR(LEFT(TH!L2088,2)="15",LEFT(TH!M2088,2)="15"),'152-CT'!$J$8=TH!F2088),"x","")</f>
        <v/>
      </c>
      <c r="Y2088" s="39" t="str">
        <f>IF(AND(OR(LEFT(TH!L2088,2)="15",LEFT(TH!M2088,2)="15"),TK!$E$7=TH!F2088),"x","")</f>
        <v/>
      </c>
      <c r="Z2088" s="39" t="str">
        <f>IF(AND(B2088&lt;=NKC!$N$8,B2088&gt;=NKC!$M$8),"x","")</f>
        <v/>
      </c>
      <c r="AA2088" s="883"/>
    </row>
    <row r="2089" spans="1:27" s="211" customFormat="1" ht="15.75" customHeight="1">
      <c r="A2089" s="204" t="str">
        <f>IF(B2089&lt;&gt;"",IF(AND(B2089&gt;=_TM1,B2089&lt;=_TM2,OR(TH!L2089="1111",TH!M2089="1111")),TH!D2089,""),"")</f>
        <v/>
      </c>
      <c r="B2089" s="36">
        <f t="shared" si="482"/>
        <v>12</v>
      </c>
      <c r="C2089" s="191">
        <f t="shared" si="481"/>
        <v>41625</v>
      </c>
      <c r="D2089" s="37" t="s">
        <v>487</v>
      </c>
      <c r="E2089" s="191">
        <v>41625</v>
      </c>
      <c r="F2089" s="192" t="s">
        <v>1150</v>
      </c>
      <c r="G2089" s="487" t="s">
        <v>1033</v>
      </c>
      <c r="H2089" s="7" t="s">
        <v>1290</v>
      </c>
      <c r="I2089" s="256">
        <v>2700</v>
      </c>
      <c r="J2089" s="256">
        <v>3610.1568587593597</v>
      </c>
      <c r="K2089" s="602">
        <f t="shared" si="480"/>
        <v>9747424</v>
      </c>
      <c r="L2089" s="39" t="s">
        <v>173</v>
      </c>
      <c r="M2089" s="39" t="s">
        <v>167</v>
      </c>
      <c r="N2089" s="39" t="str">
        <f>IF(AND('331-CT'!$E$7=TH!H2089,OR(L2089="331",M2089="331")),"331",IF(AND(OR(L2089="131",M2089="131"),H2089='131-CT'!$E$7),"131",""))</f>
        <v/>
      </c>
      <c r="O2089" s="39" t="str">
        <f>IF(AND($B2089&gt;='111'!$N$11,$B2089&lt;='111'!$O$11,OR($L2089=$O$7,$M2089=$O$7)),"x","")</f>
        <v/>
      </c>
      <c r="P2089" s="39" t="str">
        <f>IF(AND($L2089=$O$7,$B2089&lt;'111'!$N$11),"x","")</f>
        <v/>
      </c>
      <c r="Q2089" s="39" t="str">
        <f>IF(AND($M2089=$O$7,$B2089&lt;'111'!$N$11),"x","")</f>
        <v/>
      </c>
      <c r="R2089" s="39" t="str">
        <f>IF(ISERROR(FIND('112'!$M$9,G2089,1)),"",IF((AND(FIND('112'!$M$9,G2089,1)&gt;=1,$B2089&gt;='112'!$N$8,$B2089&lt;='112'!$O$8,OR($L2089='112'!$I$6,$M2089='112'!$I$6))),"x",""))</f>
        <v/>
      </c>
      <c r="S2089" s="39" t="str">
        <f>IF(ISERROR(FIND('112'!$M$9,G2089,1)),"",IF((AND(LEFT(G2089,2)=LEFT('112'!$M$9,2),B2089&lt;'112'!$N$8,$L2089='112'!$I$6)),"x",""))</f>
        <v/>
      </c>
      <c r="T2089" s="39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39" t="str">
        <f>IF(OR(TH!L2089=TH!$V$7,M2089=TH!$V$7),"x","")</f>
        <v/>
      </c>
      <c r="W2089" s="39" t="str">
        <f>IF(AND(B2089&gt;='IN-NX'!$P$3,B2089&lt;='IN-NX'!$Q$3,'IN-NX'!$D$7=D2089,OR(LEFT(L2089,2)="15",AND(LEFT(M2089,2)&lt;&gt;"15",LEFT(M2089,2)&lt;&gt;"33"))),"x","")</f>
        <v/>
      </c>
      <c r="X2089" s="39" t="str">
        <f>IF(AND(OR(LEFT(TH!L2089,2)="15",LEFT(TH!M2089,2)="15"),'152-CT'!$J$8=TH!F2089),"x","")</f>
        <v/>
      </c>
      <c r="Y2089" s="39" t="str">
        <f>IF(AND(OR(LEFT(TH!L2089,2)="15",LEFT(TH!M2089,2)="15"),TK!$E$7=TH!F2089),"x","")</f>
        <v/>
      </c>
      <c r="Z2089" s="39" t="str">
        <f>IF(AND(B2089&lt;=NKC!$N$8,B2089&gt;=NKC!$M$8),"x","")</f>
        <v/>
      </c>
      <c r="AA2089" s="883"/>
    </row>
    <row r="2090" spans="1:27" s="211" customFormat="1" ht="15.75" customHeight="1">
      <c r="A2090" s="204" t="str">
        <f>IF(B2090&lt;&gt;"",IF(AND(B2090&gt;=_TM1,B2090&lt;=_TM2,OR(TH!L2090="1111",TH!M2090="1111")),TH!D2090,""),"")</f>
        <v/>
      </c>
      <c r="B2090" s="36">
        <f t="shared" si="482"/>
        <v>12</v>
      </c>
      <c r="C2090" s="191">
        <f t="shared" si="481"/>
        <v>41626</v>
      </c>
      <c r="D2090" s="37" t="s">
        <v>487</v>
      </c>
      <c r="E2090" s="191">
        <v>41626</v>
      </c>
      <c r="F2090" s="192" t="s">
        <v>836</v>
      </c>
      <c r="G2090" s="487" t="s">
        <v>1034</v>
      </c>
      <c r="H2090" s="7" t="s">
        <v>1290</v>
      </c>
      <c r="I2090" s="256">
        <v>505</v>
      </c>
      <c r="J2090" s="256">
        <v>9212.0545485283365</v>
      </c>
      <c r="K2090" s="602">
        <f t="shared" si="480"/>
        <v>4652088</v>
      </c>
      <c r="L2090" s="39" t="s">
        <v>173</v>
      </c>
      <c r="M2090" s="39" t="s">
        <v>167</v>
      </c>
      <c r="N2090" s="39" t="str">
        <f>IF(AND('331-CT'!$E$7=TH!H2090,OR(L2090="331",M2090="331")),"331",IF(AND(OR(L2090="131",M2090="131"),H2090='131-CT'!$E$7),"131",""))</f>
        <v/>
      </c>
      <c r="O2090" s="39" t="str">
        <f>IF(AND($B2090&gt;='111'!$N$11,$B2090&lt;='111'!$O$11,OR($L2090=$O$7,$M2090=$O$7)),"x","")</f>
        <v/>
      </c>
      <c r="P2090" s="39" t="str">
        <f>IF(AND($L2090=$O$7,$B2090&lt;'111'!$N$11),"x","")</f>
        <v/>
      </c>
      <c r="Q2090" s="39" t="str">
        <f>IF(AND($M2090=$O$7,$B2090&lt;'111'!$N$11),"x","")</f>
        <v/>
      </c>
      <c r="R2090" s="39" t="str">
        <f>IF(ISERROR(FIND('112'!$M$9,G2090,1)),"",IF((AND(FIND('112'!$M$9,G2090,1)&gt;=1,$B2090&gt;='112'!$N$8,$B2090&lt;='112'!$O$8,OR($L2090='112'!$I$6,$M2090='112'!$I$6))),"x",""))</f>
        <v/>
      </c>
      <c r="S2090" s="39" t="str">
        <f>IF(ISERROR(FIND('112'!$M$9,G2090,1)),"",IF((AND(LEFT(G2090,2)=LEFT('112'!$M$9,2),B2090&lt;'112'!$N$8,$L2090='112'!$I$6)),"x",""))</f>
        <v/>
      </c>
      <c r="T2090" s="39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39" t="str">
        <f>IF(OR(TH!L2090=TH!$V$7,M2090=TH!$V$7),"x","")</f>
        <v/>
      </c>
      <c r="W2090" s="39" t="str">
        <f>IF(AND(B2090&gt;='IN-NX'!$P$3,B2090&lt;='IN-NX'!$Q$3,'IN-NX'!$D$7=D2090,OR(LEFT(L2090,2)="15",AND(LEFT(M2090,2)&lt;&gt;"15",LEFT(M2090,2)&lt;&gt;"33"))),"x","")</f>
        <v/>
      </c>
      <c r="X2090" s="39" t="str">
        <f>IF(AND(OR(LEFT(TH!L2090,2)="15",LEFT(TH!M2090,2)="15"),'152-CT'!$J$8=TH!F2090),"x","")</f>
        <v/>
      </c>
      <c r="Y2090" s="39" t="str">
        <f>IF(AND(OR(LEFT(TH!L2090,2)="15",LEFT(TH!M2090,2)="15"),TK!$E$7=TH!F2090),"x","")</f>
        <v/>
      </c>
      <c r="Z2090" s="39" t="str">
        <f>IF(AND(B2090&lt;=NKC!$N$8,B2090&gt;=NKC!$M$8),"x","")</f>
        <v/>
      </c>
      <c r="AA2090" s="883"/>
    </row>
    <row r="2091" spans="1:27" s="211" customFormat="1" ht="15.75" customHeight="1">
      <c r="A2091" s="204" t="str">
        <f>IF(B2091&lt;&gt;"",IF(AND(B2091&gt;=_TM1,B2091&lt;=_TM2,OR(TH!L2091="1111",TH!M2091="1111")),TH!D2091,""),"")</f>
        <v/>
      </c>
      <c r="B2091" s="36">
        <f t="shared" si="482"/>
        <v>12</v>
      </c>
      <c r="C2091" s="191">
        <f t="shared" si="481"/>
        <v>41628</v>
      </c>
      <c r="D2091" s="37" t="s">
        <v>487</v>
      </c>
      <c r="E2091" s="37">
        <v>41628</v>
      </c>
      <c r="F2091" s="40" t="s">
        <v>1129</v>
      </c>
      <c r="G2091" s="40" t="s">
        <v>1035</v>
      </c>
      <c r="H2091" s="7" t="s">
        <v>1290</v>
      </c>
      <c r="I2091" s="256">
        <v>259</v>
      </c>
      <c r="J2091" s="256">
        <v>7258.5481071506065</v>
      </c>
      <c r="K2091" s="602">
        <f t="shared" si="480"/>
        <v>1879964</v>
      </c>
      <c r="L2091" s="39" t="s">
        <v>173</v>
      </c>
      <c r="M2091" s="39" t="s">
        <v>167</v>
      </c>
      <c r="N2091" s="39" t="str">
        <f>IF(AND('331-CT'!$E$7=TH!H2091,OR(L2091="331",M2091="331")),"331",IF(AND(OR(L2091="131",M2091="131"),H2091='131-CT'!$E$7),"131",""))</f>
        <v/>
      </c>
      <c r="O2091" s="39" t="str">
        <f>IF(AND($B2091&gt;='111'!$N$11,$B2091&lt;='111'!$O$11,OR($L2091=$O$7,$M2091=$O$7)),"x","")</f>
        <v/>
      </c>
      <c r="P2091" s="39" t="str">
        <f>IF(AND($L2091=$O$7,$B2091&lt;'111'!$N$11),"x","")</f>
        <v/>
      </c>
      <c r="Q2091" s="39" t="str">
        <f>IF(AND($M2091=$O$7,$B2091&lt;'111'!$N$11),"x","")</f>
        <v/>
      </c>
      <c r="R2091" s="39" t="str">
        <f>IF(ISERROR(FIND('112'!$M$9,G2091,1)),"",IF((AND(FIND('112'!$M$9,G2091,1)&gt;=1,$B2091&gt;='112'!$N$8,$B2091&lt;='112'!$O$8,OR($L2091='112'!$I$6,$M2091='112'!$I$6))),"x",""))</f>
        <v/>
      </c>
      <c r="S2091" s="39" t="str">
        <f>IF(ISERROR(FIND('112'!$M$9,G2091,1)),"",IF((AND(LEFT(G2091,2)=LEFT('112'!$M$9,2),B2091&lt;'112'!$N$8,$L2091='112'!$I$6)),"x",""))</f>
        <v/>
      </c>
      <c r="T2091" s="39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39" t="str">
        <f>IF(OR(TH!L2091=TH!$V$7,M2091=TH!$V$7),"x","")</f>
        <v/>
      </c>
      <c r="W2091" s="39" t="str">
        <f>IF(AND(B2091&gt;='IN-NX'!$P$3,B2091&lt;='IN-NX'!$Q$3,'IN-NX'!$D$7=D2091,OR(LEFT(L2091,2)="15",AND(LEFT(M2091,2)&lt;&gt;"15",LEFT(M2091,2)&lt;&gt;"33"))),"x","")</f>
        <v/>
      </c>
      <c r="X2091" s="39" t="str">
        <f>IF(AND(OR(LEFT(TH!L2091,2)="15",LEFT(TH!M2091,2)="15"),'152-CT'!$J$8=TH!F2091),"x","")</f>
        <v/>
      </c>
      <c r="Y2091" s="39" t="str">
        <f>IF(AND(OR(LEFT(TH!L2091,2)="15",LEFT(TH!M2091,2)="15"),TK!$E$7=TH!F2091),"x","")</f>
        <v/>
      </c>
      <c r="Z2091" s="39" t="str">
        <f>IF(AND(B2091&lt;=NKC!$N$8,B2091&gt;=NKC!$M$8),"x","")</f>
        <v/>
      </c>
      <c r="AA2091" s="883"/>
    </row>
    <row r="2092" spans="1:27" s="211" customFormat="1" ht="15.75" customHeight="1">
      <c r="A2092" s="204" t="str">
        <f>IF(B2092&lt;&gt;"",IF(AND(B2092&gt;=_TM1,B2092&lt;=_TM2,OR(TH!L2092="1111",TH!M2092="1111")),TH!D2092,""),"")</f>
        <v/>
      </c>
      <c r="B2092" s="36">
        <f t="shared" si="482"/>
        <v>12</v>
      </c>
      <c r="C2092" s="191">
        <f t="shared" si="481"/>
        <v>41628</v>
      </c>
      <c r="D2092" s="37" t="s">
        <v>487</v>
      </c>
      <c r="E2092" s="37">
        <v>41628</v>
      </c>
      <c r="F2092" s="40" t="s">
        <v>1130</v>
      </c>
      <c r="G2092" s="40" t="s">
        <v>1035</v>
      </c>
      <c r="H2092" s="7" t="s">
        <v>1290</v>
      </c>
      <c r="I2092" s="256">
        <v>103</v>
      </c>
      <c r="J2092" s="256">
        <v>13836.383395976185</v>
      </c>
      <c r="K2092" s="602">
        <f t="shared" ref="K2092:K2105" si="483">ROUND(I2092*J2092,0)</f>
        <v>1425147</v>
      </c>
      <c r="L2092" s="39" t="s">
        <v>173</v>
      </c>
      <c r="M2092" s="39" t="s">
        <v>167</v>
      </c>
      <c r="N2092" s="39" t="str">
        <f>IF(AND('331-CT'!$E$7=TH!H2092,OR(L2092="331",M2092="331")),"331",IF(AND(OR(L2092="131",M2092="131"),H2092='131-CT'!$E$7),"131",""))</f>
        <v/>
      </c>
      <c r="O2092" s="39" t="str">
        <f>IF(AND($B2092&gt;='111'!$N$11,$B2092&lt;='111'!$O$11,OR($L2092=$O$7,$M2092=$O$7)),"x","")</f>
        <v/>
      </c>
      <c r="P2092" s="39" t="str">
        <f>IF(AND($L2092=$O$7,$B2092&lt;'111'!$N$11),"x","")</f>
        <v/>
      </c>
      <c r="Q2092" s="39" t="str">
        <f>IF(AND($M2092=$O$7,$B2092&lt;'111'!$N$11),"x","")</f>
        <v/>
      </c>
      <c r="R2092" s="39" t="str">
        <f>IF(ISERROR(FIND('112'!$M$9,G2092,1)),"",IF((AND(FIND('112'!$M$9,G2092,1)&gt;=1,$B2092&gt;='112'!$N$8,$B2092&lt;='112'!$O$8,OR($L2092='112'!$I$6,$M2092='112'!$I$6))),"x",""))</f>
        <v/>
      </c>
      <c r="S2092" s="39" t="str">
        <f>IF(ISERROR(FIND('112'!$M$9,G2092,1)),"",IF((AND(LEFT(G2092,2)=LEFT('112'!$M$9,2),B2092&lt;'112'!$N$8,$L2092='112'!$I$6)),"x",""))</f>
        <v/>
      </c>
      <c r="T2092" s="39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39" t="str">
        <f>IF(OR(TH!L2092=TH!$V$7,M2092=TH!$V$7),"x","")</f>
        <v/>
      </c>
      <c r="W2092" s="39" t="str">
        <f>IF(AND(B2092&gt;='IN-NX'!$P$3,B2092&lt;='IN-NX'!$Q$3,'IN-NX'!$D$7=D2092,OR(LEFT(L2092,2)="15",AND(LEFT(M2092,2)&lt;&gt;"15",LEFT(M2092,2)&lt;&gt;"33"))),"x","")</f>
        <v/>
      </c>
      <c r="X2092" s="39" t="str">
        <f>IF(AND(OR(LEFT(TH!L2092,2)="15",LEFT(TH!M2092,2)="15"),'152-CT'!$J$8=TH!F2092),"x","")</f>
        <v/>
      </c>
      <c r="Y2092" s="39" t="str">
        <f>IF(AND(OR(LEFT(TH!L2092,2)="15",LEFT(TH!M2092,2)="15"),TK!$E$7=TH!F2092),"x","")</f>
        <v/>
      </c>
      <c r="Z2092" s="39" t="str">
        <f>IF(AND(B2092&lt;=NKC!$N$8,B2092&gt;=NKC!$M$8),"x","")</f>
        <v/>
      </c>
      <c r="AA2092" s="883"/>
    </row>
    <row r="2093" spans="1:27" s="211" customFormat="1" ht="15.75" customHeight="1">
      <c r="A2093" s="204" t="str">
        <f>IF(B2093&lt;&gt;"",IF(AND(B2093&gt;=_TM1,B2093&lt;=_TM2,OR(TH!L2093="1111",TH!M2093="1111")),TH!D2093,""),"")</f>
        <v/>
      </c>
      <c r="B2093" s="36">
        <f t="shared" si="482"/>
        <v>12</v>
      </c>
      <c r="C2093" s="191">
        <f t="shared" si="481"/>
        <v>41628</v>
      </c>
      <c r="D2093" s="37" t="s">
        <v>487</v>
      </c>
      <c r="E2093" s="37">
        <v>41628</v>
      </c>
      <c r="F2093" s="40" t="s">
        <v>1131</v>
      </c>
      <c r="G2093" s="40" t="s">
        <v>1035</v>
      </c>
      <c r="H2093" s="7" t="s">
        <v>1290</v>
      </c>
      <c r="I2093" s="256">
        <v>283</v>
      </c>
      <c r="J2093" s="256">
        <v>9328.4901920926914</v>
      </c>
      <c r="K2093" s="602">
        <f t="shared" si="483"/>
        <v>2639963</v>
      </c>
      <c r="L2093" s="39" t="s">
        <v>173</v>
      </c>
      <c r="M2093" s="39" t="s">
        <v>167</v>
      </c>
      <c r="N2093" s="39" t="str">
        <f>IF(AND('331-CT'!$E$7=TH!H2093,OR(L2093="331",M2093="331")),"331",IF(AND(OR(L2093="131",M2093="131"),H2093='131-CT'!$E$7),"131",""))</f>
        <v/>
      </c>
      <c r="O2093" s="39" t="str">
        <f>IF(AND($B2093&gt;='111'!$N$11,$B2093&lt;='111'!$O$11,OR($L2093=$O$7,$M2093=$O$7)),"x","")</f>
        <v/>
      </c>
      <c r="P2093" s="39" t="str">
        <f>IF(AND($L2093=$O$7,$B2093&lt;'111'!$N$11),"x","")</f>
        <v/>
      </c>
      <c r="Q2093" s="39" t="str">
        <f>IF(AND($M2093=$O$7,$B2093&lt;'111'!$N$11),"x","")</f>
        <v/>
      </c>
      <c r="R2093" s="39" t="str">
        <f>IF(ISERROR(FIND('112'!$M$9,G2093,1)),"",IF((AND(FIND('112'!$M$9,G2093,1)&gt;=1,$B2093&gt;='112'!$N$8,$B2093&lt;='112'!$O$8,OR($L2093='112'!$I$6,$M2093='112'!$I$6))),"x",""))</f>
        <v/>
      </c>
      <c r="S2093" s="39" t="str">
        <f>IF(ISERROR(FIND('112'!$M$9,G2093,1)),"",IF((AND(LEFT(G2093,2)=LEFT('112'!$M$9,2),B2093&lt;'112'!$N$8,$L2093='112'!$I$6)),"x",""))</f>
        <v/>
      </c>
      <c r="T2093" s="39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39" t="str">
        <f>IF(OR(TH!L2093=TH!$V$7,M2093=TH!$V$7),"x","")</f>
        <v/>
      </c>
      <c r="W2093" s="39" t="str">
        <f>IF(AND(B2093&gt;='IN-NX'!$P$3,B2093&lt;='IN-NX'!$Q$3,'IN-NX'!$D$7=D2093,OR(LEFT(L2093,2)="15",AND(LEFT(M2093,2)&lt;&gt;"15",LEFT(M2093,2)&lt;&gt;"33"))),"x","")</f>
        <v/>
      </c>
      <c r="X2093" s="39" t="str">
        <f>IF(AND(OR(LEFT(TH!L2093,2)="15",LEFT(TH!M2093,2)="15"),'152-CT'!$J$8=TH!F2093),"x","")</f>
        <v/>
      </c>
      <c r="Y2093" s="39" t="str">
        <f>IF(AND(OR(LEFT(TH!L2093,2)="15",LEFT(TH!M2093,2)="15"),TK!$E$7=TH!F2093),"x","")</f>
        <v/>
      </c>
      <c r="Z2093" s="39" t="str">
        <f>IF(AND(B2093&lt;=NKC!$N$8,B2093&gt;=NKC!$M$8),"x","")</f>
        <v/>
      </c>
      <c r="AA2093" s="883"/>
    </row>
    <row r="2094" spans="1:27" s="211" customFormat="1" ht="15.75" customHeight="1">
      <c r="A2094" s="204" t="str">
        <f>IF(B2094&lt;&gt;"",IF(AND(B2094&gt;=_TM1,B2094&lt;=_TM2,OR(TH!L2094="1111",TH!M2094="1111")),TH!D2094,""),"")</f>
        <v/>
      </c>
      <c r="B2094" s="36">
        <f t="shared" si="482"/>
        <v>12</v>
      </c>
      <c r="C2094" s="191">
        <f t="shared" si="481"/>
        <v>41628</v>
      </c>
      <c r="D2094" s="37" t="s">
        <v>487</v>
      </c>
      <c r="E2094" s="37">
        <v>41628</v>
      </c>
      <c r="F2094" s="40" t="s">
        <v>1132</v>
      </c>
      <c r="G2094" s="40" t="s">
        <v>1035</v>
      </c>
      <c r="H2094" s="7" t="s">
        <v>1290</v>
      </c>
      <c r="I2094" s="256">
        <v>203</v>
      </c>
      <c r="J2094" s="256">
        <v>11744.490192092693</v>
      </c>
      <c r="K2094" s="602">
        <f t="shared" si="483"/>
        <v>2384132</v>
      </c>
      <c r="L2094" s="39" t="s">
        <v>173</v>
      </c>
      <c r="M2094" s="39" t="s">
        <v>167</v>
      </c>
      <c r="N2094" s="39" t="str">
        <f>IF(AND('331-CT'!$E$7=TH!H2094,OR(L2094="331",M2094="331")),"331",IF(AND(OR(L2094="131",M2094="131"),H2094='131-CT'!$E$7),"131",""))</f>
        <v/>
      </c>
      <c r="O2094" s="39" t="str">
        <f>IF(AND($B2094&gt;='111'!$N$11,$B2094&lt;='111'!$O$11,OR($L2094=$O$7,$M2094=$O$7)),"x","")</f>
        <v/>
      </c>
      <c r="P2094" s="39" t="str">
        <f>IF(AND($L2094=$O$7,$B2094&lt;'111'!$N$11),"x","")</f>
        <v/>
      </c>
      <c r="Q2094" s="39" t="str">
        <f>IF(AND($M2094=$O$7,$B2094&lt;'111'!$N$11),"x","")</f>
        <v/>
      </c>
      <c r="R2094" s="39" t="str">
        <f>IF(ISERROR(FIND('112'!$M$9,G2094,1)),"",IF((AND(FIND('112'!$M$9,G2094,1)&gt;=1,$B2094&gt;='112'!$N$8,$B2094&lt;='112'!$O$8,OR($L2094='112'!$I$6,$M2094='112'!$I$6))),"x",""))</f>
        <v/>
      </c>
      <c r="S2094" s="39" t="str">
        <f>IF(ISERROR(FIND('112'!$M$9,G2094,1)),"",IF((AND(LEFT(G2094,2)=LEFT('112'!$M$9,2),B2094&lt;'112'!$N$8,$L2094='112'!$I$6)),"x",""))</f>
        <v/>
      </c>
      <c r="T2094" s="39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39" t="str">
        <f>IF(OR(TH!L2094=TH!$V$7,M2094=TH!$V$7),"x","")</f>
        <v/>
      </c>
      <c r="W2094" s="39" t="str">
        <f>IF(AND(B2094&gt;='IN-NX'!$P$3,B2094&lt;='IN-NX'!$Q$3,'IN-NX'!$D$7=D2094,OR(LEFT(L2094,2)="15",AND(LEFT(M2094,2)&lt;&gt;"15",LEFT(M2094,2)&lt;&gt;"33"))),"x","")</f>
        <v/>
      </c>
      <c r="X2094" s="39" t="str">
        <f>IF(AND(OR(LEFT(TH!L2094,2)="15",LEFT(TH!M2094,2)="15"),'152-CT'!$J$8=TH!F2094),"x","")</f>
        <v/>
      </c>
      <c r="Y2094" s="39" t="str">
        <f>IF(AND(OR(LEFT(TH!L2094,2)="15",LEFT(TH!M2094,2)="15"),TK!$E$7=TH!F2094),"x","")</f>
        <v/>
      </c>
      <c r="Z2094" s="39" t="str">
        <f>IF(AND(B2094&lt;=NKC!$N$8,B2094&gt;=NKC!$M$8),"x","")</f>
        <v/>
      </c>
      <c r="AA2094" s="883"/>
    </row>
    <row r="2095" spans="1:27" s="211" customFormat="1" ht="15.75" customHeight="1">
      <c r="A2095" s="204" t="str">
        <f>IF(B2095&lt;&gt;"",IF(AND(B2095&gt;=_TM1,B2095&lt;=_TM2,OR(TH!L2095="1111",TH!M2095="1111")),TH!D2095,""),"")</f>
        <v/>
      </c>
      <c r="B2095" s="36">
        <f t="shared" si="482"/>
        <v>12</v>
      </c>
      <c r="C2095" s="191">
        <f t="shared" si="481"/>
        <v>41628</v>
      </c>
      <c r="D2095" s="37" t="s">
        <v>487</v>
      </c>
      <c r="E2095" s="37">
        <v>41628</v>
      </c>
      <c r="F2095" s="40" t="s">
        <v>1133</v>
      </c>
      <c r="G2095" s="40" t="s">
        <v>1035</v>
      </c>
      <c r="H2095" s="7" t="s">
        <v>1290</v>
      </c>
      <c r="I2095" s="256">
        <v>238</v>
      </c>
      <c r="J2095" s="256">
        <v>6565.5910324288261</v>
      </c>
      <c r="K2095" s="602">
        <f t="shared" si="483"/>
        <v>1562611</v>
      </c>
      <c r="L2095" s="39" t="s">
        <v>173</v>
      </c>
      <c r="M2095" s="39" t="s">
        <v>167</v>
      </c>
      <c r="N2095" s="39" t="str">
        <f>IF(AND('331-CT'!$E$7=TH!H2095,OR(L2095="331",M2095="331")),"331",IF(AND(OR(L2095="131",M2095="131"),H2095='131-CT'!$E$7),"131",""))</f>
        <v/>
      </c>
      <c r="O2095" s="39" t="str">
        <f>IF(AND($B2095&gt;='111'!$N$11,$B2095&lt;='111'!$O$11,OR($L2095=$O$7,$M2095=$O$7)),"x","")</f>
        <v/>
      </c>
      <c r="P2095" s="39" t="str">
        <f>IF(AND($L2095=$O$7,$B2095&lt;'111'!$N$11),"x","")</f>
        <v/>
      </c>
      <c r="Q2095" s="39" t="str">
        <f>IF(AND($M2095=$O$7,$B2095&lt;'111'!$N$11),"x","")</f>
        <v/>
      </c>
      <c r="R2095" s="39" t="str">
        <f>IF(ISERROR(FIND('112'!$M$9,G2095,1)),"",IF((AND(FIND('112'!$M$9,G2095,1)&gt;=1,$B2095&gt;='112'!$N$8,$B2095&lt;='112'!$O$8,OR($L2095='112'!$I$6,$M2095='112'!$I$6))),"x",""))</f>
        <v/>
      </c>
      <c r="S2095" s="39" t="str">
        <f>IF(ISERROR(FIND('112'!$M$9,G2095,1)),"",IF((AND(LEFT(G2095,2)=LEFT('112'!$M$9,2),B2095&lt;'112'!$N$8,$L2095='112'!$I$6)),"x",""))</f>
        <v/>
      </c>
      <c r="T2095" s="39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39" t="str">
        <f>IF(OR(TH!L2095=TH!$V$7,M2095=TH!$V$7),"x","")</f>
        <v/>
      </c>
      <c r="W2095" s="39" t="str">
        <f>IF(AND(B2095&gt;='IN-NX'!$P$3,B2095&lt;='IN-NX'!$Q$3,'IN-NX'!$D$7=D2095,OR(LEFT(L2095,2)="15",AND(LEFT(M2095,2)&lt;&gt;"15",LEFT(M2095,2)&lt;&gt;"33"))),"x","")</f>
        <v/>
      </c>
      <c r="X2095" s="39" t="str">
        <f>IF(AND(OR(LEFT(TH!L2095,2)="15",LEFT(TH!M2095,2)="15"),'152-CT'!$J$8=TH!F2095),"x","")</f>
        <v/>
      </c>
      <c r="Y2095" s="39" t="str">
        <f>IF(AND(OR(LEFT(TH!L2095,2)="15",LEFT(TH!M2095,2)="15"),TK!$E$7=TH!F2095),"x","")</f>
        <v/>
      </c>
      <c r="Z2095" s="39" t="str">
        <f>IF(AND(B2095&lt;=NKC!$N$8,B2095&gt;=NKC!$M$8),"x","")</f>
        <v/>
      </c>
      <c r="AA2095" s="883"/>
    </row>
    <row r="2096" spans="1:27" s="211" customFormat="1" ht="15.75" customHeight="1">
      <c r="A2096" s="204" t="str">
        <f>IF(B2096&lt;&gt;"",IF(AND(B2096&gt;=_TM1,B2096&lt;=_TM2,OR(TH!L2096="1111",TH!M2096="1111")),TH!D2096,""),"")</f>
        <v/>
      </c>
      <c r="B2096" s="36">
        <f t="shared" si="482"/>
        <v>12</v>
      </c>
      <c r="C2096" s="191">
        <f t="shared" si="481"/>
        <v>41628</v>
      </c>
      <c r="D2096" s="37" t="s">
        <v>487</v>
      </c>
      <c r="E2096" s="37">
        <v>41628</v>
      </c>
      <c r="F2096" s="40" t="s">
        <v>883</v>
      </c>
      <c r="G2096" s="40" t="s">
        <v>1035</v>
      </c>
      <c r="H2096" s="7" t="s">
        <v>1290</v>
      </c>
      <c r="I2096" s="256">
        <v>441</v>
      </c>
      <c r="J2096" s="256">
        <v>7764.8053848364552</v>
      </c>
      <c r="K2096" s="602">
        <f t="shared" si="483"/>
        <v>3424279</v>
      </c>
      <c r="L2096" s="39" t="s">
        <v>173</v>
      </c>
      <c r="M2096" s="39" t="s">
        <v>167</v>
      </c>
      <c r="N2096" s="39" t="str">
        <f>IF(AND('331-CT'!$E$7=TH!H2096,OR(L2096="331",M2096="331")),"331",IF(AND(OR(L2096="131",M2096="131"),H2096='131-CT'!$E$7),"131",""))</f>
        <v/>
      </c>
      <c r="O2096" s="39" t="str">
        <f>IF(AND($B2096&gt;='111'!$N$11,$B2096&lt;='111'!$O$11,OR($L2096=$O$7,$M2096=$O$7)),"x","")</f>
        <v/>
      </c>
      <c r="P2096" s="39" t="str">
        <f>IF(AND($L2096=$O$7,$B2096&lt;'111'!$N$11),"x","")</f>
        <v/>
      </c>
      <c r="Q2096" s="39" t="str">
        <f>IF(AND($M2096=$O$7,$B2096&lt;'111'!$N$11),"x","")</f>
        <v/>
      </c>
      <c r="R2096" s="39" t="str">
        <f>IF(ISERROR(FIND('112'!$M$9,G2096,1)),"",IF((AND(FIND('112'!$M$9,G2096,1)&gt;=1,$B2096&gt;='112'!$N$8,$B2096&lt;='112'!$O$8,OR($L2096='112'!$I$6,$M2096='112'!$I$6))),"x",""))</f>
        <v/>
      </c>
      <c r="S2096" s="39" t="str">
        <f>IF(ISERROR(FIND('112'!$M$9,G2096,1)),"",IF((AND(LEFT(G2096,2)=LEFT('112'!$M$9,2),B2096&lt;'112'!$N$8,$L2096='112'!$I$6)),"x",""))</f>
        <v/>
      </c>
      <c r="T2096" s="39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39" t="str">
        <f>IF(OR(TH!L2096=TH!$V$7,M2096=TH!$V$7),"x","")</f>
        <v/>
      </c>
      <c r="W2096" s="39" t="str">
        <f>IF(AND(B2096&gt;='IN-NX'!$P$3,B2096&lt;='IN-NX'!$Q$3,'IN-NX'!$D$7=D2096,OR(LEFT(L2096,2)="15",AND(LEFT(M2096,2)&lt;&gt;"15",LEFT(M2096,2)&lt;&gt;"33"))),"x","")</f>
        <v/>
      </c>
      <c r="X2096" s="39" t="str">
        <f>IF(AND(OR(LEFT(TH!L2096,2)="15",LEFT(TH!M2096,2)="15"),'152-CT'!$J$8=TH!F2096),"x","")</f>
        <v/>
      </c>
      <c r="Y2096" s="39" t="str">
        <f>IF(AND(OR(LEFT(TH!L2096,2)="15",LEFT(TH!M2096,2)="15"),TK!$E$7=TH!F2096),"x","")</f>
        <v/>
      </c>
      <c r="Z2096" s="39" t="str">
        <f>IF(AND(B2096&lt;=NKC!$N$8,B2096&gt;=NKC!$M$8),"x","")</f>
        <v/>
      </c>
      <c r="AA2096" s="883"/>
    </row>
    <row r="2097" spans="1:27" s="211" customFormat="1" ht="15.75" customHeight="1">
      <c r="A2097" s="204" t="str">
        <f>IF(B2097&lt;&gt;"",IF(AND(B2097&gt;=_TM1,B2097&lt;=_TM2,OR(TH!L2097="1111",TH!M2097="1111")),TH!D2097,""),"")</f>
        <v/>
      </c>
      <c r="B2097" s="36">
        <f t="shared" si="482"/>
        <v>12</v>
      </c>
      <c r="C2097" s="191">
        <f t="shared" si="481"/>
        <v>41628</v>
      </c>
      <c r="D2097" s="37" t="s">
        <v>487</v>
      </c>
      <c r="E2097" s="37">
        <v>41628</v>
      </c>
      <c r="F2097" s="40" t="s">
        <v>1036</v>
      </c>
      <c r="G2097" s="40" t="s">
        <v>1035</v>
      </c>
      <c r="H2097" s="7" t="s">
        <v>1290</v>
      </c>
      <c r="I2097" s="256">
        <v>104</v>
      </c>
      <c r="J2097" s="256">
        <v>7599.4901920926932</v>
      </c>
      <c r="K2097" s="602">
        <f t="shared" si="483"/>
        <v>790347</v>
      </c>
      <c r="L2097" s="39" t="s">
        <v>173</v>
      </c>
      <c r="M2097" s="39" t="s">
        <v>167</v>
      </c>
      <c r="N2097" s="39" t="str">
        <f>IF(AND('331-CT'!$E$7=TH!H2097,OR(L2097="331",M2097="331")),"331",IF(AND(OR(L2097="131",M2097="131"),H2097='131-CT'!$E$7),"131",""))</f>
        <v/>
      </c>
      <c r="O2097" s="39" t="str">
        <f>IF(AND($B2097&gt;='111'!$N$11,$B2097&lt;='111'!$O$11,OR($L2097=$O$7,$M2097=$O$7)),"x","")</f>
        <v/>
      </c>
      <c r="P2097" s="39" t="str">
        <f>IF(AND($L2097=$O$7,$B2097&lt;'111'!$N$11),"x","")</f>
        <v/>
      </c>
      <c r="Q2097" s="39" t="str">
        <f>IF(AND($M2097=$O$7,$B2097&lt;'111'!$N$11),"x","")</f>
        <v/>
      </c>
      <c r="R2097" s="39" t="str">
        <f>IF(ISERROR(FIND('112'!$M$9,G2097,1)),"",IF((AND(FIND('112'!$M$9,G2097,1)&gt;=1,$B2097&gt;='112'!$N$8,$B2097&lt;='112'!$O$8,OR($L2097='112'!$I$6,$M2097='112'!$I$6))),"x",""))</f>
        <v/>
      </c>
      <c r="S2097" s="39" t="str">
        <f>IF(ISERROR(FIND('112'!$M$9,G2097,1)),"",IF((AND(LEFT(G2097,2)=LEFT('112'!$M$9,2),B2097&lt;'112'!$N$8,$L2097='112'!$I$6)),"x",""))</f>
        <v/>
      </c>
      <c r="T2097" s="39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39" t="str">
        <f>IF(OR(TH!L2097=TH!$V$7,M2097=TH!$V$7),"x","")</f>
        <v/>
      </c>
      <c r="W2097" s="39" t="str">
        <f>IF(AND(B2097&gt;='IN-NX'!$P$3,B2097&lt;='IN-NX'!$Q$3,'IN-NX'!$D$7=D2097,OR(LEFT(L2097,2)="15",AND(LEFT(M2097,2)&lt;&gt;"15",LEFT(M2097,2)&lt;&gt;"33"))),"x","")</f>
        <v/>
      </c>
      <c r="X2097" s="39" t="str">
        <f>IF(AND(OR(LEFT(TH!L2097,2)="15",LEFT(TH!M2097,2)="15"),'152-CT'!$J$8=TH!F2097),"x","")</f>
        <v/>
      </c>
      <c r="Y2097" s="39" t="str">
        <f>IF(AND(OR(LEFT(TH!L2097,2)="15",LEFT(TH!M2097,2)="15"),TK!$E$7=TH!F2097),"x","")</f>
        <v/>
      </c>
      <c r="Z2097" s="39" t="str">
        <f>IF(AND(B2097&lt;=NKC!$N$8,B2097&gt;=NKC!$M$8),"x","")</f>
        <v/>
      </c>
      <c r="AA2097" s="883"/>
    </row>
    <row r="2098" spans="1:27" s="211" customFormat="1" ht="15.75" customHeight="1">
      <c r="A2098" s="204" t="str">
        <f>IF(B2098&lt;&gt;"",IF(AND(B2098&gt;=_TM1,B2098&lt;=_TM2,OR(TH!L2098="1111",TH!M2098="1111")),TH!D2098,""),"")</f>
        <v/>
      </c>
      <c r="B2098" s="36">
        <f t="shared" si="482"/>
        <v>12</v>
      </c>
      <c r="C2098" s="191">
        <f t="shared" si="481"/>
        <v>41628</v>
      </c>
      <c r="D2098" s="37" t="s">
        <v>487</v>
      </c>
      <c r="E2098" s="37">
        <v>41628</v>
      </c>
      <c r="F2098" s="40" t="s">
        <v>842</v>
      </c>
      <c r="G2098" s="40" t="s">
        <v>1035</v>
      </c>
      <c r="H2098" s="7" t="s">
        <v>1290</v>
      </c>
      <c r="I2098" s="256">
        <v>102</v>
      </c>
      <c r="J2098" s="256">
        <v>9178.7843097397508</v>
      </c>
      <c r="K2098" s="602">
        <f t="shared" si="483"/>
        <v>936236</v>
      </c>
      <c r="L2098" s="39" t="s">
        <v>173</v>
      </c>
      <c r="M2098" s="39" t="s">
        <v>167</v>
      </c>
      <c r="N2098" s="39" t="str">
        <f>IF(AND('331-CT'!$E$7=TH!H2098,OR(L2098="331",M2098="331")),"331",IF(AND(OR(L2098="131",M2098="131"),H2098='131-CT'!$E$7),"131",""))</f>
        <v/>
      </c>
      <c r="O2098" s="39" t="str">
        <f>IF(AND($B2098&gt;='111'!$N$11,$B2098&lt;='111'!$O$11,OR($L2098=$O$7,$M2098=$O$7)),"x","")</f>
        <v/>
      </c>
      <c r="P2098" s="39" t="str">
        <f>IF(AND($L2098=$O$7,$B2098&lt;'111'!$N$11),"x","")</f>
        <v/>
      </c>
      <c r="Q2098" s="39" t="str">
        <f>IF(AND($M2098=$O$7,$B2098&lt;'111'!$N$11),"x","")</f>
        <v/>
      </c>
      <c r="R2098" s="39" t="str">
        <f>IF(ISERROR(FIND('112'!$M$9,G2098,1)),"",IF((AND(FIND('112'!$M$9,G2098,1)&gt;=1,$B2098&gt;='112'!$N$8,$B2098&lt;='112'!$O$8,OR($L2098='112'!$I$6,$M2098='112'!$I$6))),"x",""))</f>
        <v/>
      </c>
      <c r="S2098" s="39" t="str">
        <f>IF(ISERROR(FIND('112'!$M$9,G2098,1)),"",IF((AND(LEFT(G2098,2)=LEFT('112'!$M$9,2),B2098&lt;'112'!$N$8,$L2098='112'!$I$6)),"x",""))</f>
        <v/>
      </c>
      <c r="T2098" s="39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39" t="str">
        <f>IF(OR(TH!L2098=TH!$V$7,M2098=TH!$V$7),"x","")</f>
        <v/>
      </c>
      <c r="W2098" s="39" t="str">
        <f>IF(AND(B2098&gt;='IN-NX'!$P$3,B2098&lt;='IN-NX'!$Q$3,'IN-NX'!$D$7=D2098,OR(LEFT(L2098,2)="15",AND(LEFT(M2098,2)&lt;&gt;"15",LEFT(M2098,2)&lt;&gt;"33"))),"x","")</f>
        <v/>
      </c>
      <c r="X2098" s="39" t="str">
        <f>IF(AND(OR(LEFT(TH!L2098,2)="15",LEFT(TH!M2098,2)="15"),'152-CT'!$J$8=TH!F2098),"x","")</f>
        <v/>
      </c>
      <c r="Y2098" s="39" t="str">
        <f>IF(AND(OR(LEFT(TH!L2098,2)="15",LEFT(TH!M2098,2)="15"),TK!$E$7=TH!F2098),"x","")</f>
        <v/>
      </c>
      <c r="Z2098" s="39" t="str">
        <f>IF(AND(B2098&lt;=NKC!$N$8,B2098&gt;=NKC!$M$8),"x","")</f>
        <v/>
      </c>
      <c r="AA2098" s="883"/>
    </row>
    <row r="2099" spans="1:27" s="211" customFormat="1" ht="15.75" customHeight="1">
      <c r="A2099" s="204" t="str">
        <f>IF(B2099&lt;&gt;"",IF(AND(B2099&gt;=_TM1,B2099&lt;=_TM2,OR(TH!L2099="1111",TH!M2099="1111")),TH!D2099,""),"")</f>
        <v/>
      </c>
      <c r="B2099" s="36">
        <f t="shared" si="482"/>
        <v>12</v>
      </c>
      <c r="C2099" s="191">
        <f t="shared" si="481"/>
        <v>41631</v>
      </c>
      <c r="D2099" s="37" t="s">
        <v>487</v>
      </c>
      <c r="E2099" s="37">
        <v>41631</v>
      </c>
      <c r="F2099" s="40" t="s">
        <v>1154</v>
      </c>
      <c r="G2099" s="40" t="s">
        <v>1037</v>
      </c>
      <c r="H2099" s="7" t="s">
        <v>1290</v>
      </c>
      <c r="I2099" s="256">
        <v>1520</v>
      </c>
      <c r="J2099" s="256">
        <v>4320.5744026190087</v>
      </c>
      <c r="K2099" s="602">
        <f t="shared" si="483"/>
        <v>6567273</v>
      </c>
      <c r="L2099" s="39" t="s">
        <v>173</v>
      </c>
      <c r="M2099" s="39" t="s">
        <v>167</v>
      </c>
      <c r="N2099" s="39" t="str">
        <f>IF(AND('331-CT'!$E$7=TH!H2099,OR(L2099="331",M2099="331")),"331",IF(AND(OR(L2099="131",M2099="131"),H2099='131-CT'!$E$7),"131",""))</f>
        <v/>
      </c>
      <c r="O2099" s="39" t="str">
        <f>IF(AND($B2099&gt;='111'!$N$11,$B2099&lt;='111'!$O$11,OR($L2099=$O$7,$M2099=$O$7)),"x","")</f>
        <v/>
      </c>
      <c r="P2099" s="39" t="str">
        <f>IF(AND($L2099=$O$7,$B2099&lt;'111'!$N$11),"x","")</f>
        <v/>
      </c>
      <c r="Q2099" s="39" t="str">
        <f>IF(AND($M2099=$O$7,$B2099&lt;'111'!$N$11),"x","")</f>
        <v/>
      </c>
      <c r="R2099" s="39" t="str">
        <f>IF(ISERROR(FIND('112'!$M$9,G2099,1)),"",IF((AND(FIND('112'!$M$9,G2099,1)&gt;=1,$B2099&gt;='112'!$N$8,$B2099&lt;='112'!$O$8,OR($L2099='112'!$I$6,$M2099='112'!$I$6))),"x",""))</f>
        <v/>
      </c>
      <c r="S2099" s="39" t="str">
        <f>IF(ISERROR(FIND('112'!$M$9,G2099,1)),"",IF((AND(LEFT(G2099,2)=LEFT('112'!$M$9,2),B2099&lt;'112'!$N$8,$L2099='112'!$I$6)),"x",""))</f>
        <v/>
      </c>
      <c r="T2099" s="39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39" t="str">
        <f>IF(OR(TH!L2099=TH!$V$7,M2099=TH!$V$7),"x","")</f>
        <v/>
      </c>
      <c r="W2099" s="39" t="str">
        <f>IF(AND(B2099&gt;='IN-NX'!$P$3,B2099&lt;='IN-NX'!$Q$3,'IN-NX'!$D$7=D2099,OR(LEFT(L2099,2)="15",AND(LEFT(M2099,2)&lt;&gt;"15",LEFT(M2099,2)&lt;&gt;"33"))),"x","")</f>
        <v/>
      </c>
      <c r="X2099" s="39" t="str">
        <f>IF(AND(OR(LEFT(TH!L2099,2)="15",LEFT(TH!M2099,2)="15"),'152-CT'!$J$8=TH!F2099),"x","")</f>
        <v/>
      </c>
      <c r="Y2099" s="39" t="str">
        <f>IF(AND(OR(LEFT(TH!L2099,2)="15",LEFT(TH!M2099,2)="15"),TK!$E$7=TH!F2099),"x","")</f>
        <v/>
      </c>
      <c r="Z2099" s="39" t="str">
        <f>IF(AND(B2099&lt;=NKC!$N$8,B2099&gt;=NKC!$M$8),"x","")</f>
        <v/>
      </c>
      <c r="AA2099" s="883"/>
    </row>
    <row r="2100" spans="1:27" s="211" customFormat="1" ht="15.75" customHeight="1">
      <c r="A2100" s="204" t="str">
        <f>IF(B2100&lt;&gt;"",IF(AND(B2100&gt;=_TM1,B2100&lt;=_TM2,OR(TH!L2100="1111",TH!M2100="1111")),TH!D2100,""),"")</f>
        <v/>
      </c>
      <c r="B2100" s="36">
        <f t="shared" si="482"/>
        <v>12</v>
      </c>
      <c r="C2100" s="191">
        <f t="shared" si="481"/>
        <v>41633</v>
      </c>
      <c r="D2100" s="37" t="s">
        <v>487</v>
      </c>
      <c r="E2100" s="37">
        <v>41633</v>
      </c>
      <c r="F2100" s="40" t="s">
        <v>729</v>
      </c>
      <c r="G2100" s="40" t="s">
        <v>1038</v>
      </c>
      <c r="H2100" s="7" t="s">
        <v>1290</v>
      </c>
      <c r="I2100" s="256">
        <v>980</v>
      </c>
      <c r="J2100" s="256">
        <v>7841.449375766163</v>
      </c>
      <c r="K2100" s="602">
        <f t="shared" si="483"/>
        <v>7684620</v>
      </c>
      <c r="L2100" s="39" t="s">
        <v>173</v>
      </c>
      <c r="M2100" s="39" t="s">
        <v>167</v>
      </c>
      <c r="N2100" s="39" t="str">
        <f>IF(AND('331-CT'!$E$7=TH!H2100,OR(L2100="331",M2100="331")),"331",IF(AND(OR(L2100="131",M2100="131"),H2100='131-CT'!$E$7),"131",""))</f>
        <v/>
      </c>
      <c r="O2100" s="39" t="str">
        <f>IF(AND($B2100&gt;='111'!$N$11,$B2100&lt;='111'!$O$11,OR($L2100=$O$7,$M2100=$O$7)),"x","")</f>
        <v/>
      </c>
      <c r="P2100" s="39" t="str">
        <f>IF(AND($L2100=$O$7,$B2100&lt;'111'!$N$11),"x","")</f>
        <v/>
      </c>
      <c r="Q2100" s="39" t="str">
        <f>IF(AND($M2100=$O$7,$B2100&lt;'111'!$N$11),"x","")</f>
        <v/>
      </c>
      <c r="R2100" s="39" t="str">
        <f>IF(ISERROR(FIND('112'!$M$9,G2100,1)),"",IF((AND(FIND('112'!$M$9,G2100,1)&gt;=1,$B2100&gt;='112'!$N$8,$B2100&lt;='112'!$O$8,OR($L2100='112'!$I$6,$M2100='112'!$I$6))),"x",""))</f>
        <v/>
      </c>
      <c r="S2100" s="39" t="str">
        <f>IF(ISERROR(FIND('112'!$M$9,G2100,1)),"",IF((AND(LEFT(G2100,2)=LEFT('112'!$M$9,2),B2100&lt;'112'!$N$8,$L2100='112'!$I$6)),"x",""))</f>
        <v/>
      </c>
      <c r="T2100" s="39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39" t="str">
        <f>IF(OR(TH!L2100=TH!$V$7,M2100=TH!$V$7),"x","")</f>
        <v/>
      </c>
      <c r="W2100" s="39" t="str">
        <f>IF(AND(B2100&gt;='IN-NX'!$P$3,B2100&lt;='IN-NX'!$Q$3,'IN-NX'!$D$7=D2100,OR(LEFT(L2100,2)="15",AND(LEFT(M2100,2)&lt;&gt;"15",LEFT(M2100,2)&lt;&gt;"33"))),"x","")</f>
        <v/>
      </c>
      <c r="X2100" s="39" t="str">
        <f>IF(AND(OR(LEFT(TH!L2100,2)="15",LEFT(TH!M2100,2)="15"),'152-CT'!$J$8=TH!F2100),"x","")</f>
        <v/>
      </c>
      <c r="Y2100" s="39" t="str">
        <f>IF(AND(OR(LEFT(TH!L2100,2)="15",LEFT(TH!M2100,2)="15"),TK!$E$7=TH!F2100),"x","")</f>
        <v/>
      </c>
      <c r="Z2100" s="39" t="str">
        <f>IF(AND(B2100&lt;=NKC!$N$8,B2100&gt;=NKC!$M$8),"x","")</f>
        <v/>
      </c>
      <c r="AA2100" s="883"/>
    </row>
    <row r="2101" spans="1:27" s="211" customFormat="1" ht="15.75" customHeight="1">
      <c r="A2101" s="204" t="str">
        <f>IF(B2101&lt;&gt;"",IF(AND(B2101&gt;=_TM1,B2101&lt;=_TM2,OR(TH!L2101="1111",TH!M2101="1111")),TH!D2101,""),"")</f>
        <v/>
      </c>
      <c r="B2101" s="36">
        <f t="shared" si="482"/>
        <v>12</v>
      </c>
      <c r="C2101" s="191">
        <f t="shared" si="481"/>
        <v>41635</v>
      </c>
      <c r="D2101" s="37" t="s">
        <v>487</v>
      </c>
      <c r="E2101" s="37">
        <v>41635</v>
      </c>
      <c r="F2101" s="40" t="s">
        <v>875</v>
      </c>
      <c r="G2101" s="40" t="s">
        <v>1039</v>
      </c>
      <c r="H2101" s="7" t="s">
        <v>1290</v>
      </c>
      <c r="I2101" s="256">
        <v>60</v>
      </c>
      <c r="J2101" s="256">
        <v>37446.156858759357</v>
      </c>
      <c r="K2101" s="602">
        <f t="shared" si="483"/>
        <v>2246769</v>
      </c>
      <c r="L2101" s="39" t="s">
        <v>173</v>
      </c>
      <c r="M2101" s="39" t="s">
        <v>167</v>
      </c>
      <c r="N2101" s="39" t="str">
        <f>IF(AND('331-CT'!$E$7=TH!H2101,OR(L2101="331",M2101="331")),"331",IF(AND(OR(L2101="131",M2101="131"),H2101='131-CT'!$E$7),"131",""))</f>
        <v/>
      </c>
      <c r="O2101" s="39" t="str">
        <f>IF(AND($B2101&gt;='111'!$N$11,$B2101&lt;='111'!$O$11,OR($L2101=$O$7,$M2101=$O$7)),"x","")</f>
        <v/>
      </c>
      <c r="P2101" s="39" t="str">
        <f>IF(AND($L2101=$O$7,$B2101&lt;'111'!$N$11),"x","")</f>
        <v/>
      </c>
      <c r="Q2101" s="39" t="str">
        <f>IF(AND($M2101=$O$7,$B2101&lt;'111'!$N$11),"x","")</f>
        <v/>
      </c>
      <c r="R2101" s="39" t="str">
        <f>IF(ISERROR(FIND('112'!$M$9,G2101,1)),"",IF((AND(FIND('112'!$M$9,G2101,1)&gt;=1,$B2101&gt;='112'!$N$8,$B2101&lt;='112'!$O$8,OR($L2101='112'!$I$6,$M2101='112'!$I$6))),"x",""))</f>
        <v/>
      </c>
      <c r="S2101" s="39" t="str">
        <f>IF(ISERROR(FIND('112'!$M$9,G2101,1)),"",IF((AND(LEFT(G2101,2)=LEFT('112'!$M$9,2),B2101&lt;'112'!$N$8,$L2101='112'!$I$6)),"x",""))</f>
        <v/>
      </c>
      <c r="T2101" s="39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39" t="str">
        <f>IF(OR(TH!L2101=TH!$V$7,M2101=TH!$V$7),"x","")</f>
        <v/>
      </c>
      <c r="W2101" s="39" t="str">
        <f>IF(AND(B2101&gt;='IN-NX'!$P$3,B2101&lt;='IN-NX'!$Q$3,'IN-NX'!$D$7=D2101,OR(LEFT(L2101,2)="15",AND(LEFT(M2101,2)&lt;&gt;"15",LEFT(M2101,2)&lt;&gt;"33"))),"x","")</f>
        <v/>
      </c>
      <c r="X2101" s="39" t="str">
        <f>IF(AND(OR(LEFT(TH!L2101,2)="15",LEFT(TH!M2101,2)="15"),'152-CT'!$J$8=TH!F2101),"x","")</f>
        <v/>
      </c>
      <c r="Y2101" s="39" t="str">
        <f>IF(AND(OR(LEFT(TH!L2101,2)="15",LEFT(TH!M2101,2)="15"),TK!$E$7=TH!F2101),"x","")</f>
        <v/>
      </c>
      <c r="Z2101" s="39" t="str">
        <f>IF(AND(B2101&lt;=NKC!$N$8,B2101&gt;=NKC!$M$8),"x","")</f>
        <v/>
      </c>
      <c r="AA2101" s="883"/>
    </row>
    <row r="2102" spans="1:27" s="211" customFormat="1" ht="15.75" customHeight="1">
      <c r="A2102" s="204" t="str">
        <f>IF(B2102&lt;&gt;"",IF(AND(B2102&gt;=_TM1,B2102&lt;=_TM2,OR(TH!L2102="1111",TH!M2102="1111")),TH!D2102,""),"")</f>
        <v/>
      </c>
      <c r="B2102" s="36">
        <f t="shared" si="482"/>
        <v>12</v>
      </c>
      <c r="C2102" s="191">
        <f t="shared" si="481"/>
        <v>41635</v>
      </c>
      <c r="D2102" s="37" t="s">
        <v>487</v>
      </c>
      <c r="E2102" s="37">
        <v>41635</v>
      </c>
      <c r="F2102" s="40" t="s">
        <v>878</v>
      </c>
      <c r="G2102" s="40" t="s">
        <v>1039</v>
      </c>
      <c r="H2102" s="7" t="s">
        <v>1290</v>
      </c>
      <c r="I2102" s="256">
        <v>10</v>
      </c>
      <c r="J2102" s="256">
        <v>39909.490192092693</v>
      </c>
      <c r="K2102" s="602">
        <f t="shared" si="483"/>
        <v>399095</v>
      </c>
      <c r="L2102" s="39" t="s">
        <v>173</v>
      </c>
      <c r="M2102" s="39" t="s">
        <v>167</v>
      </c>
      <c r="N2102" s="39" t="str">
        <f>IF(AND('331-CT'!$E$7=TH!H2102,OR(L2102="331",M2102="331")),"331",IF(AND(OR(L2102="131",M2102="131"),H2102='131-CT'!$E$7),"131",""))</f>
        <v/>
      </c>
      <c r="O2102" s="39" t="str">
        <f>IF(AND($B2102&gt;='111'!$N$11,$B2102&lt;='111'!$O$11,OR($L2102=$O$7,$M2102=$O$7)),"x","")</f>
        <v/>
      </c>
      <c r="P2102" s="39" t="str">
        <f>IF(AND($L2102=$O$7,$B2102&lt;'111'!$N$11),"x","")</f>
        <v/>
      </c>
      <c r="Q2102" s="39" t="str">
        <f>IF(AND($M2102=$O$7,$B2102&lt;'111'!$N$11),"x","")</f>
        <v/>
      </c>
      <c r="R2102" s="39" t="str">
        <f>IF(ISERROR(FIND('112'!$M$9,G2102,1)),"",IF((AND(FIND('112'!$M$9,G2102,1)&gt;=1,$B2102&gt;='112'!$N$8,$B2102&lt;='112'!$O$8,OR($L2102='112'!$I$6,$M2102='112'!$I$6))),"x",""))</f>
        <v/>
      </c>
      <c r="S2102" s="39" t="str">
        <f>IF(ISERROR(FIND('112'!$M$9,G2102,1)),"",IF((AND(LEFT(G2102,2)=LEFT('112'!$M$9,2),B2102&lt;'112'!$N$8,$L2102='112'!$I$6)),"x",""))</f>
        <v/>
      </c>
      <c r="T2102" s="39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39" t="str">
        <f>IF(OR(TH!L2102=TH!$V$7,M2102=TH!$V$7),"x","")</f>
        <v/>
      </c>
      <c r="W2102" s="39" t="str">
        <f>IF(AND(B2102&gt;='IN-NX'!$P$3,B2102&lt;='IN-NX'!$Q$3,'IN-NX'!$D$7=D2102,OR(LEFT(L2102,2)="15",AND(LEFT(M2102,2)&lt;&gt;"15",LEFT(M2102,2)&lt;&gt;"33"))),"x","")</f>
        <v/>
      </c>
      <c r="X2102" s="39" t="str">
        <f>IF(AND(OR(LEFT(TH!L2102,2)="15",LEFT(TH!M2102,2)="15"),'152-CT'!$J$8=TH!F2102),"x","")</f>
        <v/>
      </c>
      <c r="Y2102" s="39" t="str">
        <f>IF(AND(OR(LEFT(TH!L2102,2)="15",LEFT(TH!M2102,2)="15"),TK!$E$7=TH!F2102),"x","")</f>
        <v/>
      </c>
      <c r="Z2102" s="39" t="str">
        <f>IF(AND(B2102&lt;=NKC!$N$8,B2102&gt;=NKC!$M$8),"x","")</f>
        <v/>
      </c>
      <c r="AA2102" s="883"/>
    </row>
    <row r="2103" spans="1:27" s="211" customFormat="1" ht="15.75" customHeight="1">
      <c r="A2103" s="204" t="str">
        <f>IF(B2103&lt;&gt;"",IF(AND(B2103&gt;=_TM1,B2103&lt;=_TM2,OR(TH!L2103="1111",TH!M2103="1111")),TH!D2103,""),"")</f>
        <v/>
      </c>
      <c r="B2103" s="36">
        <f t="shared" si="482"/>
        <v>12</v>
      </c>
      <c r="C2103" s="191">
        <f t="shared" si="481"/>
        <v>41635</v>
      </c>
      <c r="D2103" s="37" t="s">
        <v>487</v>
      </c>
      <c r="E2103" s="37">
        <v>41635</v>
      </c>
      <c r="F2103" s="40" t="s">
        <v>1018</v>
      </c>
      <c r="G2103" s="40" t="s">
        <v>1039</v>
      </c>
      <c r="H2103" s="7" t="s">
        <v>1290</v>
      </c>
      <c r="I2103" s="256">
        <v>20</v>
      </c>
      <c r="J2103" s="256">
        <v>39909.490192092693</v>
      </c>
      <c r="K2103" s="602">
        <f t="shared" si="483"/>
        <v>798190</v>
      </c>
      <c r="L2103" s="39" t="s">
        <v>173</v>
      </c>
      <c r="M2103" s="39" t="s">
        <v>167</v>
      </c>
      <c r="N2103" s="39" t="str">
        <f>IF(AND('331-CT'!$E$7=TH!H2103,OR(L2103="331",M2103="331")),"331",IF(AND(OR(L2103="131",M2103="131"),H2103='131-CT'!$E$7),"131",""))</f>
        <v/>
      </c>
      <c r="O2103" s="39" t="str">
        <f>IF(AND($B2103&gt;='111'!$N$11,$B2103&lt;='111'!$O$11,OR($L2103=$O$7,$M2103=$O$7)),"x","")</f>
        <v/>
      </c>
      <c r="P2103" s="39" t="str">
        <f>IF(AND($L2103=$O$7,$B2103&lt;'111'!$N$11),"x","")</f>
        <v/>
      </c>
      <c r="Q2103" s="39" t="str">
        <f>IF(AND($M2103=$O$7,$B2103&lt;'111'!$N$11),"x","")</f>
        <v/>
      </c>
      <c r="R2103" s="39" t="str">
        <f>IF(ISERROR(FIND('112'!$M$9,G2103,1)),"",IF((AND(FIND('112'!$M$9,G2103,1)&gt;=1,$B2103&gt;='112'!$N$8,$B2103&lt;='112'!$O$8,OR($L2103='112'!$I$6,$M2103='112'!$I$6))),"x",""))</f>
        <v/>
      </c>
      <c r="S2103" s="39" t="str">
        <f>IF(ISERROR(FIND('112'!$M$9,G2103,1)),"",IF((AND(LEFT(G2103,2)=LEFT('112'!$M$9,2),B2103&lt;'112'!$N$8,$L2103='112'!$I$6)),"x",""))</f>
        <v/>
      </c>
      <c r="T2103" s="39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39" t="str">
        <f>IF(OR(TH!L2103=TH!$V$7,M2103=TH!$V$7),"x","")</f>
        <v/>
      </c>
      <c r="W2103" s="39" t="str">
        <f>IF(AND(B2103&gt;='IN-NX'!$P$3,B2103&lt;='IN-NX'!$Q$3,'IN-NX'!$D$7=D2103,OR(LEFT(L2103,2)="15",AND(LEFT(M2103,2)&lt;&gt;"15",LEFT(M2103,2)&lt;&gt;"33"))),"x","")</f>
        <v/>
      </c>
      <c r="X2103" s="39" t="str">
        <f>IF(AND(OR(LEFT(TH!L2103,2)="15",LEFT(TH!M2103,2)="15"),'152-CT'!$J$8=TH!F2103),"x","")</f>
        <v/>
      </c>
      <c r="Y2103" s="39" t="str">
        <f>IF(AND(OR(LEFT(TH!L2103,2)="15",LEFT(TH!M2103,2)="15"),TK!$E$7=TH!F2103),"x","")</f>
        <v/>
      </c>
      <c r="Z2103" s="39" t="str">
        <f>IF(AND(B2103&lt;=NKC!$N$8,B2103&gt;=NKC!$M$8),"x","")</f>
        <v/>
      </c>
      <c r="AA2103" s="883"/>
    </row>
    <row r="2104" spans="1:27" s="211" customFormat="1" ht="15.75" customHeight="1">
      <c r="A2104" s="204" t="str">
        <f>IF(B2104&lt;&gt;"",IF(AND(B2104&gt;=_TM1,B2104&lt;=_TM2,OR(TH!L2104="1111",TH!M2104="1111")),TH!D2104,""),"")</f>
        <v/>
      </c>
      <c r="B2104" s="36">
        <f t="shared" si="482"/>
        <v>12</v>
      </c>
      <c r="C2104" s="191">
        <f t="shared" si="481"/>
        <v>41635</v>
      </c>
      <c r="D2104" s="37" t="s">
        <v>487</v>
      </c>
      <c r="E2104" s="37">
        <v>41635</v>
      </c>
      <c r="F2104" s="40" t="s">
        <v>1150</v>
      </c>
      <c r="G2104" s="40" t="s">
        <v>1040</v>
      </c>
      <c r="H2104" s="7" t="s">
        <v>1290</v>
      </c>
      <c r="I2104" s="256">
        <v>2295</v>
      </c>
      <c r="J2104" s="256">
        <v>4037.8257040752628</v>
      </c>
      <c r="K2104" s="602">
        <f t="shared" si="483"/>
        <v>9266810</v>
      </c>
      <c r="L2104" s="39" t="s">
        <v>173</v>
      </c>
      <c r="M2104" s="39" t="s">
        <v>167</v>
      </c>
      <c r="N2104" s="39" t="str">
        <f>IF(AND('331-CT'!$E$7=TH!H2104,OR(L2104="331",M2104="331")),"331",IF(AND(OR(L2104="131",M2104="131"),H2104='131-CT'!$E$7),"131",""))</f>
        <v/>
      </c>
      <c r="O2104" s="39" t="str">
        <f>IF(AND($B2104&gt;='111'!$N$11,$B2104&lt;='111'!$O$11,OR($L2104=$O$7,$M2104=$O$7)),"x","")</f>
        <v/>
      </c>
      <c r="P2104" s="39" t="str">
        <f>IF(AND($L2104=$O$7,$B2104&lt;'111'!$N$11),"x","")</f>
        <v/>
      </c>
      <c r="Q2104" s="39" t="str">
        <f>IF(AND($M2104=$O$7,$B2104&lt;'111'!$N$11),"x","")</f>
        <v/>
      </c>
      <c r="R2104" s="39" t="str">
        <f>IF(ISERROR(FIND('112'!$M$9,G2104,1)),"",IF((AND(FIND('112'!$M$9,G2104,1)&gt;=1,$B2104&gt;='112'!$N$8,$B2104&lt;='112'!$O$8,OR($L2104='112'!$I$6,$M2104='112'!$I$6))),"x",""))</f>
        <v/>
      </c>
      <c r="S2104" s="39" t="str">
        <f>IF(ISERROR(FIND('112'!$M$9,G2104,1)),"",IF((AND(LEFT(G2104,2)=LEFT('112'!$M$9,2),B2104&lt;'112'!$N$8,$L2104='112'!$I$6)),"x",""))</f>
        <v/>
      </c>
      <c r="T2104" s="39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39" t="str">
        <f>IF(OR(TH!L2104=TH!$V$7,M2104=TH!$V$7),"x","")</f>
        <v/>
      </c>
      <c r="W2104" s="39" t="str">
        <f>IF(AND(B2104&gt;='IN-NX'!$P$3,B2104&lt;='IN-NX'!$Q$3,'IN-NX'!$D$7=D2104,OR(LEFT(L2104,2)="15",AND(LEFT(M2104,2)&lt;&gt;"15",LEFT(M2104,2)&lt;&gt;"33"))),"x","")</f>
        <v/>
      </c>
      <c r="X2104" s="39" t="str">
        <f>IF(AND(OR(LEFT(TH!L2104,2)="15",LEFT(TH!M2104,2)="15"),'152-CT'!$J$8=TH!F2104),"x","")</f>
        <v/>
      </c>
      <c r="Y2104" s="39" t="str">
        <f>IF(AND(OR(LEFT(TH!L2104,2)="15",LEFT(TH!M2104,2)="15"),TK!$E$7=TH!F2104),"x","")</f>
        <v/>
      </c>
      <c r="Z2104" s="39" t="str">
        <f>IF(AND(B2104&lt;=NKC!$N$8,B2104&gt;=NKC!$M$8),"x","")</f>
        <v/>
      </c>
      <c r="AA2104" s="883"/>
    </row>
    <row r="2105" spans="1:27" s="211" customFormat="1" ht="15.75" customHeight="1">
      <c r="A2105" s="204" t="str">
        <f>IF(B2105&lt;&gt;"",IF(AND(B2105&gt;=_TM1,B2105&lt;=_TM2,OR(TH!L2105="1111",TH!M2105="1111")),TH!D2105,""),"")</f>
        <v/>
      </c>
      <c r="B2105" s="36">
        <f t="shared" si="482"/>
        <v>12</v>
      </c>
      <c r="C2105" s="191">
        <f t="shared" si="481"/>
        <v>41636</v>
      </c>
      <c r="D2105" s="37" t="s">
        <v>487</v>
      </c>
      <c r="E2105" s="37">
        <v>41636</v>
      </c>
      <c r="F2105" s="40" t="s">
        <v>1139</v>
      </c>
      <c r="G2105" s="40" t="s">
        <v>1041</v>
      </c>
      <c r="H2105" s="7" t="s">
        <v>1290</v>
      </c>
      <c r="I2105" s="256">
        <v>112</v>
      </c>
      <c r="J2105" s="256">
        <v>14719.168763521264</v>
      </c>
      <c r="K2105" s="602">
        <f t="shared" si="483"/>
        <v>1648547</v>
      </c>
      <c r="L2105" s="39" t="s">
        <v>173</v>
      </c>
      <c r="M2105" s="39" t="s">
        <v>167</v>
      </c>
      <c r="N2105" s="39" t="str">
        <f>IF(AND('331-CT'!$E$7=TH!H2105,OR(L2105="331",M2105="331")),"331",IF(AND(OR(L2105="131",M2105="131"),H2105='131-CT'!$E$7),"131",""))</f>
        <v/>
      </c>
      <c r="O2105" s="39" t="str">
        <f>IF(AND($B2105&gt;='111'!$N$11,$B2105&lt;='111'!$O$11,OR($L2105=$O$7,$M2105=$O$7)),"x","")</f>
        <v/>
      </c>
      <c r="P2105" s="39" t="str">
        <f>IF(AND($L2105=$O$7,$B2105&lt;'111'!$N$11),"x","")</f>
        <v/>
      </c>
      <c r="Q2105" s="39" t="str">
        <f>IF(AND($M2105=$O$7,$B2105&lt;'111'!$N$11),"x","")</f>
        <v/>
      </c>
      <c r="R2105" s="39" t="str">
        <f>IF(ISERROR(FIND('112'!$M$9,G2105,1)),"",IF((AND(FIND('112'!$M$9,G2105,1)&gt;=1,$B2105&gt;='112'!$N$8,$B2105&lt;='112'!$O$8,OR($L2105='112'!$I$6,$M2105='112'!$I$6))),"x",""))</f>
        <v/>
      </c>
      <c r="S2105" s="39" t="str">
        <f>IF(ISERROR(FIND('112'!$M$9,G2105,1)),"",IF((AND(LEFT(G2105,2)=LEFT('112'!$M$9,2),B2105&lt;'112'!$N$8,$L2105='112'!$I$6)),"x",""))</f>
        <v/>
      </c>
      <c r="T2105" s="39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39" t="str">
        <f>IF(OR(TH!L2105=TH!$V$7,M2105=TH!$V$7),"x","")</f>
        <v/>
      </c>
      <c r="W2105" s="39" t="str">
        <f>IF(AND(B2105&gt;='IN-NX'!$P$3,B2105&lt;='IN-NX'!$Q$3,'IN-NX'!$D$7=D2105,OR(LEFT(L2105,2)="15",AND(LEFT(M2105,2)&lt;&gt;"15",LEFT(M2105,2)&lt;&gt;"33"))),"x","")</f>
        <v/>
      </c>
      <c r="X2105" s="39" t="str">
        <f>IF(AND(OR(LEFT(TH!L2105,2)="15",LEFT(TH!M2105,2)="15"),'152-CT'!$J$8=TH!F2105),"x","")</f>
        <v/>
      </c>
      <c r="Y2105" s="39" t="str">
        <f>IF(AND(OR(LEFT(TH!L2105,2)="15",LEFT(TH!M2105,2)="15"),TK!$E$7=TH!F2105),"x","")</f>
        <v/>
      </c>
      <c r="Z2105" s="39" t="str">
        <f>IF(AND(B2105&lt;=NKC!$N$8,B2105&gt;=NKC!$M$8),"x","")</f>
        <v/>
      </c>
      <c r="AA2105" s="883"/>
    </row>
    <row r="2106" spans="1:27" ht="15.75" customHeight="1">
      <c r="A2106" s="204" t="str">
        <f>IF(B2106&lt;&gt;"",IF(AND(B2106&gt;=_TM1,B2106&lt;=_TM2,OR(TH!L2106="1111",TH!M2106="1111")),TH!D2106,""),"")</f>
        <v/>
      </c>
      <c r="B2106" s="36" t="str">
        <f t="shared" ref="B2106:B2111" si="484">IF(C2106&lt;&gt;"",MONTH(C2106),"")</f>
        <v/>
      </c>
      <c r="C2106" s="191"/>
      <c r="D2106" s="37"/>
      <c r="E2106" s="191"/>
      <c r="F2106" s="852"/>
      <c r="G2106" s="40"/>
      <c r="H2106" s="44"/>
      <c r="I2106" s="256"/>
      <c r="J2106" s="256"/>
      <c r="K2106" s="38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50"/>
    </row>
    <row r="2107" spans="1:27" ht="15.75" customHeight="1">
      <c r="A2107" s="204" t="str">
        <f>IF(B2107&lt;&gt;"",IF(AND(B2107&gt;=_TM1,B2107&lt;=_TM2,OR(TH!L2107="1111",TH!M2107="1111")),TH!D2107,""),"")</f>
        <v/>
      </c>
      <c r="B2107" s="36" t="str">
        <f t="shared" si="484"/>
        <v/>
      </c>
      <c r="C2107" s="37"/>
      <c r="D2107" s="37"/>
      <c r="E2107" s="37"/>
      <c r="F2107" s="40"/>
      <c r="G2107" s="40"/>
      <c r="H2107" s="44"/>
      <c r="I2107" s="256"/>
      <c r="J2107" s="256"/>
      <c r="K2107" s="38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50"/>
    </row>
    <row r="2108" spans="1:27" ht="15.75" customHeight="1">
      <c r="A2108" s="204" t="str">
        <f>IF(B2108&lt;&gt;"",IF(AND(B2108&gt;=_TM1,B2108&lt;=_TM2,OR(TH!L2108="1111",TH!M2108="1111")),TH!D2108,""),"")</f>
        <v/>
      </c>
      <c r="B2108" s="36" t="str">
        <f t="shared" si="484"/>
        <v/>
      </c>
      <c r="C2108" s="37"/>
      <c r="D2108" s="37"/>
      <c r="E2108" s="37"/>
      <c r="F2108" s="40"/>
      <c r="G2108" s="40"/>
      <c r="H2108" s="44"/>
      <c r="I2108" s="256"/>
      <c r="J2108" s="256"/>
      <c r="K2108" s="38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50"/>
    </row>
    <row r="2109" spans="1:27" ht="15.75" customHeight="1">
      <c r="A2109" s="204" t="str">
        <f>IF(B2109&lt;&gt;"",IF(AND(B2109&gt;=_TM1,B2109&lt;=_TM2,OR(TH!L2109="1111",TH!M2109="1111")),TH!D2109,""),"")</f>
        <v/>
      </c>
      <c r="B2109" s="36" t="str">
        <f t="shared" si="484"/>
        <v/>
      </c>
      <c r="C2109" s="37"/>
      <c r="D2109" s="37"/>
      <c r="E2109" s="37"/>
      <c r="F2109" s="40"/>
      <c r="G2109" s="40"/>
      <c r="H2109" s="44"/>
      <c r="I2109" s="256"/>
      <c r="J2109" s="256"/>
      <c r="K2109" s="38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50"/>
    </row>
    <row r="2110" spans="1:27" ht="15.75" customHeight="1">
      <c r="A2110" s="204" t="str">
        <f>IF(B2110&lt;&gt;"",IF(AND(B2110&gt;=_TM1,B2110&lt;=_TM2,OR(TH!L2110="1111",TH!M2110="1111")),TH!D2110,""),"")</f>
        <v/>
      </c>
      <c r="B2110" s="36" t="str">
        <f t="shared" si="484"/>
        <v/>
      </c>
      <c r="C2110" s="37"/>
      <c r="D2110" s="37"/>
      <c r="E2110" s="37"/>
      <c r="F2110" s="40"/>
      <c r="G2110" s="40"/>
      <c r="H2110" s="44"/>
      <c r="I2110" s="256"/>
      <c r="J2110" s="256"/>
      <c r="K2110" s="38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50"/>
    </row>
    <row r="2111" spans="1:27" ht="15.75" customHeight="1">
      <c r="A2111" s="204" t="str">
        <f>IF(B2111&lt;&gt;"",IF(AND(B2111&gt;=_TM1,B2111&lt;=_TM2,OR(TH!L2111="1111",TH!M2111="1111")),TH!D2111,""),"")</f>
        <v/>
      </c>
      <c r="B2111" s="36" t="str">
        <f t="shared" si="484"/>
        <v/>
      </c>
      <c r="C2111" s="37"/>
      <c r="D2111" s="37"/>
      <c r="E2111" s="37"/>
      <c r="F2111" s="40"/>
      <c r="G2111" s="40"/>
      <c r="H2111" s="44"/>
      <c r="I2111" s="256"/>
      <c r="J2111" s="256"/>
      <c r="K2111" s="38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50"/>
    </row>
    <row r="2113" spans="8:11">
      <c r="J2113" s="831"/>
    </row>
    <row r="2120" spans="8:11">
      <c r="H2120" s="830"/>
    </row>
    <row r="2121" spans="8:11">
      <c r="K2121" s="483">
        <f>SUBTOTAL(9,K10:K2111)</f>
        <v>15657922742</v>
      </c>
    </row>
  </sheetData>
  <autoFilter ref="A9:AD2111"/>
  <sortState ref="A24:AD2823">
    <sortCondition ref="C24:C2823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26" customWidth="1"/>
    <col min="2" max="2" width="9.28515625" style="626" customWidth="1"/>
    <col min="3" max="3" width="10" style="626" customWidth="1"/>
    <col min="4" max="4" width="41.42578125" style="626" customWidth="1"/>
    <col min="5" max="5" width="6" style="626" customWidth="1"/>
    <col min="6" max="6" width="7.85546875" style="626" customWidth="1"/>
    <col min="7" max="7" width="8.5703125" style="626" customWidth="1"/>
    <col min="8" max="8" width="13.85546875" style="626" customWidth="1"/>
    <col min="9" max="9" width="14.140625" style="626" customWidth="1"/>
    <col min="10" max="11" width="9.140625" style="626"/>
    <col min="12" max="12" width="3.5703125" style="626" customWidth="1"/>
    <col min="13" max="256" width="9.140625" style="626"/>
    <col min="257" max="257" width="13" style="626" customWidth="1"/>
    <col min="258" max="258" width="9.140625" style="626"/>
    <col min="259" max="259" width="13" style="626" customWidth="1"/>
    <col min="260" max="260" width="29.7109375" style="626" customWidth="1"/>
    <col min="261" max="261" width="7.7109375" style="626" customWidth="1"/>
    <col min="262" max="262" width="6" style="626" customWidth="1"/>
    <col min="263" max="263" width="11.5703125" style="626" customWidth="1"/>
    <col min="264" max="264" width="13.42578125" style="626" customWidth="1"/>
    <col min="265" max="265" width="13.85546875" style="626" customWidth="1"/>
    <col min="266" max="512" width="9.140625" style="626"/>
    <col min="513" max="513" width="13" style="626" customWidth="1"/>
    <col min="514" max="514" width="9.140625" style="626"/>
    <col min="515" max="515" width="13" style="626" customWidth="1"/>
    <col min="516" max="516" width="29.7109375" style="626" customWidth="1"/>
    <col min="517" max="517" width="7.7109375" style="626" customWidth="1"/>
    <col min="518" max="518" width="6" style="626" customWidth="1"/>
    <col min="519" max="519" width="11.5703125" style="626" customWidth="1"/>
    <col min="520" max="520" width="13.42578125" style="626" customWidth="1"/>
    <col min="521" max="521" width="13.85546875" style="626" customWidth="1"/>
    <col min="522" max="768" width="9.140625" style="626"/>
    <col min="769" max="769" width="13" style="626" customWidth="1"/>
    <col min="770" max="770" width="9.140625" style="626"/>
    <col min="771" max="771" width="13" style="626" customWidth="1"/>
    <col min="772" max="772" width="29.7109375" style="626" customWidth="1"/>
    <col min="773" max="773" width="7.7109375" style="626" customWidth="1"/>
    <col min="774" max="774" width="6" style="626" customWidth="1"/>
    <col min="775" max="775" width="11.5703125" style="626" customWidth="1"/>
    <col min="776" max="776" width="13.42578125" style="626" customWidth="1"/>
    <col min="777" max="777" width="13.85546875" style="626" customWidth="1"/>
    <col min="778" max="1024" width="9.140625" style="626"/>
    <col min="1025" max="1025" width="13" style="626" customWidth="1"/>
    <col min="1026" max="1026" width="9.140625" style="626"/>
    <col min="1027" max="1027" width="13" style="626" customWidth="1"/>
    <col min="1028" max="1028" width="29.7109375" style="626" customWidth="1"/>
    <col min="1029" max="1029" width="7.7109375" style="626" customWidth="1"/>
    <col min="1030" max="1030" width="6" style="626" customWidth="1"/>
    <col min="1031" max="1031" width="11.5703125" style="626" customWidth="1"/>
    <col min="1032" max="1032" width="13.42578125" style="626" customWidth="1"/>
    <col min="1033" max="1033" width="13.85546875" style="626" customWidth="1"/>
    <col min="1034" max="1280" width="9.140625" style="626"/>
    <col min="1281" max="1281" width="13" style="626" customWidth="1"/>
    <col min="1282" max="1282" width="9.140625" style="626"/>
    <col min="1283" max="1283" width="13" style="626" customWidth="1"/>
    <col min="1284" max="1284" width="29.7109375" style="626" customWidth="1"/>
    <col min="1285" max="1285" width="7.7109375" style="626" customWidth="1"/>
    <col min="1286" max="1286" width="6" style="626" customWidth="1"/>
    <col min="1287" max="1287" width="11.5703125" style="626" customWidth="1"/>
    <col min="1288" max="1288" width="13.42578125" style="626" customWidth="1"/>
    <col min="1289" max="1289" width="13.85546875" style="626" customWidth="1"/>
    <col min="1290" max="1536" width="9.140625" style="626"/>
    <col min="1537" max="1537" width="13" style="626" customWidth="1"/>
    <col min="1538" max="1538" width="9.140625" style="626"/>
    <col min="1539" max="1539" width="13" style="626" customWidth="1"/>
    <col min="1540" max="1540" width="29.7109375" style="626" customWidth="1"/>
    <col min="1541" max="1541" width="7.7109375" style="626" customWidth="1"/>
    <col min="1542" max="1542" width="6" style="626" customWidth="1"/>
    <col min="1543" max="1543" width="11.5703125" style="626" customWidth="1"/>
    <col min="1544" max="1544" width="13.42578125" style="626" customWidth="1"/>
    <col min="1545" max="1545" width="13.85546875" style="626" customWidth="1"/>
    <col min="1546" max="1792" width="9.140625" style="626"/>
    <col min="1793" max="1793" width="13" style="626" customWidth="1"/>
    <col min="1794" max="1794" width="9.140625" style="626"/>
    <col min="1795" max="1795" width="13" style="626" customWidth="1"/>
    <col min="1796" max="1796" width="29.7109375" style="626" customWidth="1"/>
    <col min="1797" max="1797" width="7.7109375" style="626" customWidth="1"/>
    <col min="1798" max="1798" width="6" style="626" customWidth="1"/>
    <col min="1799" max="1799" width="11.5703125" style="626" customWidth="1"/>
    <col min="1800" max="1800" width="13.42578125" style="626" customWidth="1"/>
    <col min="1801" max="1801" width="13.85546875" style="626" customWidth="1"/>
    <col min="1802" max="2048" width="9.140625" style="626"/>
    <col min="2049" max="2049" width="13" style="626" customWidth="1"/>
    <col min="2050" max="2050" width="9.140625" style="626"/>
    <col min="2051" max="2051" width="13" style="626" customWidth="1"/>
    <col min="2052" max="2052" width="29.7109375" style="626" customWidth="1"/>
    <col min="2053" max="2053" width="7.7109375" style="626" customWidth="1"/>
    <col min="2054" max="2054" width="6" style="626" customWidth="1"/>
    <col min="2055" max="2055" width="11.5703125" style="626" customWidth="1"/>
    <col min="2056" max="2056" width="13.42578125" style="626" customWidth="1"/>
    <col min="2057" max="2057" width="13.85546875" style="626" customWidth="1"/>
    <col min="2058" max="2304" width="9.140625" style="626"/>
    <col min="2305" max="2305" width="13" style="626" customWidth="1"/>
    <col min="2306" max="2306" width="9.140625" style="626"/>
    <col min="2307" max="2307" width="13" style="626" customWidth="1"/>
    <col min="2308" max="2308" width="29.7109375" style="626" customWidth="1"/>
    <col min="2309" max="2309" width="7.7109375" style="626" customWidth="1"/>
    <col min="2310" max="2310" width="6" style="626" customWidth="1"/>
    <col min="2311" max="2311" width="11.5703125" style="626" customWidth="1"/>
    <col min="2312" max="2312" width="13.42578125" style="626" customWidth="1"/>
    <col min="2313" max="2313" width="13.85546875" style="626" customWidth="1"/>
    <col min="2314" max="2560" width="9.140625" style="626"/>
    <col min="2561" max="2561" width="13" style="626" customWidth="1"/>
    <col min="2562" max="2562" width="9.140625" style="626"/>
    <col min="2563" max="2563" width="13" style="626" customWidth="1"/>
    <col min="2564" max="2564" width="29.7109375" style="626" customWidth="1"/>
    <col min="2565" max="2565" width="7.7109375" style="626" customWidth="1"/>
    <col min="2566" max="2566" width="6" style="626" customWidth="1"/>
    <col min="2567" max="2567" width="11.5703125" style="626" customWidth="1"/>
    <col min="2568" max="2568" width="13.42578125" style="626" customWidth="1"/>
    <col min="2569" max="2569" width="13.85546875" style="626" customWidth="1"/>
    <col min="2570" max="2816" width="9.140625" style="626"/>
    <col min="2817" max="2817" width="13" style="626" customWidth="1"/>
    <col min="2818" max="2818" width="9.140625" style="626"/>
    <col min="2819" max="2819" width="13" style="626" customWidth="1"/>
    <col min="2820" max="2820" width="29.7109375" style="626" customWidth="1"/>
    <col min="2821" max="2821" width="7.7109375" style="626" customWidth="1"/>
    <col min="2822" max="2822" width="6" style="626" customWidth="1"/>
    <col min="2823" max="2823" width="11.5703125" style="626" customWidth="1"/>
    <col min="2824" max="2824" width="13.42578125" style="626" customWidth="1"/>
    <col min="2825" max="2825" width="13.85546875" style="626" customWidth="1"/>
    <col min="2826" max="3072" width="9.140625" style="626"/>
    <col min="3073" max="3073" width="13" style="626" customWidth="1"/>
    <col min="3074" max="3074" width="9.140625" style="626"/>
    <col min="3075" max="3075" width="13" style="626" customWidth="1"/>
    <col min="3076" max="3076" width="29.7109375" style="626" customWidth="1"/>
    <col min="3077" max="3077" width="7.7109375" style="626" customWidth="1"/>
    <col min="3078" max="3078" width="6" style="626" customWidth="1"/>
    <col min="3079" max="3079" width="11.5703125" style="626" customWidth="1"/>
    <col min="3080" max="3080" width="13.42578125" style="626" customWidth="1"/>
    <col min="3081" max="3081" width="13.85546875" style="626" customWidth="1"/>
    <col min="3082" max="3328" width="9.140625" style="626"/>
    <col min="3329" max="3329" width="13" style="626" customWidth="1"/>
    <col min="3330" max="3330" width="9.140625" style="626"/>
    <col min="3331" max="3331" width="13" style="626" customWidth="1"/>
    <col min="3332" max="3332" width="29.7109375" style="626" customWidth="1"/>
    <col min="3333" max="3333" width="7.7109375" style="626" customWidth="1"/>
    <col min="3334" max="3334" width="6" style="626" customWidth="1"/>
    <col min="3335" max="3335" width="11.5703125" style="626" customWidth="1"/>
    <col min="3336" max="3336" width="13.42578125" style="626" customWidth="1"/>
    <col min="3337" max="3337" width="13.85546875" style="626" customWidth="1"/>
    <col min="3338" max="3584" width="9.140625" style="626"/>
    <col min="3585" max="3585" width="13" style="626" customWidth="1"/>
    <col min="3586" max="3586" width="9.140625" style="626"/>
    <col min="3587" max="3587" width="13" style="626" customWidth="1"/>
    <col min="3588" max="3588" width="29.7109375" style="626" customWidth="1"/>
    <col min="3589" max="3589" width="7.7109375" style="626" customWidth="1"/>
    <col min="3590" max="3590" width="6" style="626" customWidth="1"/>
    <col min="3591" max="3591" width="11.5703125" style="626" customWidth="1"/>
    <col min="3592" max="3592" width="13.42578125" style="626" customWidth="1"/>
    <col min="3593" max="3593" width="13.85546875" style="626" customWidth="1"/>
    <col min="3594" max="3840" width="9.140625" style="626"/>
    <col min="3841" max="3841" width="13" style="626" customWidth="1"/>
    <col min="3842" max="3842" width="9.140625" style="626"/>
    <col min="3843" max="3843" width="13" style="626" customWidth="1"/>
    <col min="3844" max="3844" width="29.7109375" style="626" customWidth="1"/>
    <col min="3845" max="3845" width="7.7109375" style="626" customWidth="1"/>
    <col min="3846" max="3846" width="6" style="626" customWidth="1"/>
    <col min="3847" max="3847" width="11.5703125" style="626" customWidth="1"/>
    <col min="3848" max="3848" width="13.42578125" style="626" customWidth="1"/>
    <col min="3849" max="3849" width="13.85546875" style="626" customWidth="1"/>
    <col min="3850" max="4096" width="9.140625" style="626"/>
    <col min="4097" max="4097" width="13" style="626" customWidth="1"/>
    <col min="4098" max="4098" width="9.140625" style="626"/>
    <col min="4099" max="4099" width="13" style="626" customWidth="1"/>
    <col min="4100" max="4100" width="29.7109375" style="626" customWidth="1"/>
    <col min="4101" max="4101" width="7.7109375" style="626" customWidth="1"/>
    <col min="4102" max="4102" width="6" style="626" customWidth="1"/>
    <col min="4103" max="4103" width="11.5703125" style="626" customWidth="1"/>
    <col min="4104" max="4104" width="13.42578125" style="626" customWidth="1"/>
    <col min="4105" max="4105" width="13.85546875" style="626" customWidth="1"/>
    <col min="4106" max="4352" width="9.140625" style="626"/>
    <col min="4353" max="4353" width="13" style="626" customWidth="1"/>
    <col min="4354" max="4354" width="9.140625" style="626"/>
    <col min="4355" max="4355" width="13" style="626" customWidth="1"/>
    <col min="4356" max="4356" width="29.7109375" style="626" customWidth="1"/>
    <col min="4357" max="4357" width="7.7109375" style="626" customWidth="1"/>
    <col min="4358" max="4358" width="6" style="626" customWidth="1"/>
    <col min="4359" max="4359" width="11.5703125" style="626" customWidth="1"/>
    <col min="4360" max="4360" width="13.42578125" style="626" customWidth="1"/>
    <col min="4361" max="4361" width="13.85546875" style="626" customWidth="1"/>
    <col min="4362" max="4608" width="9.140625" style="626"/>
    <col min="4609" max="4609" width="13" style="626" customWidth="1"/>
    <col min="4610" max="4610" width="9.140625" style="626"/>
    <col min="4611" max="4611" width="13" style="626" customWidth="1"/>
    <col min="4612" max="4612" width="29.7109375" style="626" customWidth="1"/>
    <col min="4613" max="4613" width="7.7109375" style="626" customWidth="1"/>
    <col min="4614" max="4614" width="6" style="626" customWidth="1"/>
    <col min="4615" max="4615" width="11.5703125" style="626" customWidth="1"/>
    <col min="4616" max="4616" width="13.42578125" style="626" customWidth="1"/>
    <col min="4617" max="4617" width="13.85546875" style="626" customWidth="1"/>
    <col min="4618" max="4864" width="9.140625" style="626"/>
    <col min="4865" max="4865" width="13" style="626" customWidth="1"/>
    <col min="4866" max="4866" width="9.140625" style="626"/>
    <col min="4867" max="4867" width="13" style="626" customWidth="1"/>
    <col min="4868" max="4868" width="29.7109375" style="626" customWidth="1"/>
    <col min="4869" max="4869" width="7.7109375" style="626" customWidth="1"/>
    <col min="4870" max="4870" width="6" style="626" customWidth="1"/>
    <col min="4871" max="4871" width="11.5703125" style="626" customWidth="1"/>
    <col min="4872" max="4872" width="13.42578125" style="626" customWidth="1"/>
    <col min="4873" max="4873" width="13.85546875" style="626" customWidth="1"/>
    <col min="4874" max="5120" width="9.140625" style="626"/>
    <col min="5121" max="5121" width="13" style="626" customWidth="1"/>
    <col min="5122" max="5122" width="9.140625" style="626"/>
    <col min="5123" max="5123" width="13" style="626" customWidth="1"/>
    <col min="5124" max="5124" width="29.7109375" style="626" customWidth="1"/>
    <col min="5125" max="5125" width="7.7109375" style="626" customWidth="1"/>
    <col min="5126" max="5126" width="6" style="626" customWidth="1"/>
    <col min="5127" max="5127" width="11.5703125" style="626" customWidth="1"/>
    <col min="5128" max="5128" width="13.42578125" style="626" customWidth="1"/>
    <col min="5129" max="5129" width="13.85546875" style="626" customWidth="1"/>
    <col min="5130" max="5376" width="9.140625" style="626"/>
    <col min="5377" max="5377" width="13" style="626" customWidth="1"/>
    <col min="5378" max="5378" width="9.140625" style="626"/>
    <col min="5379" max="5379" width="13" style="626" customWidth="1"/>
    <col min="5380" max="5380" width="29.7109375" style="626" customWidth="1"/>
    <col min="5381" max="5381" width="7.7109375" style="626" customWidth="1"/>
    <col min="5382" max="5382" width="6" style="626" customWidth="1"/>
    <col min="5383" max="5383" width="11.5703125" style="626" customWidth="1"/>
    <col min="5384" max="5384" width="13.42578125" style="626" customWidth="1"/>
    <col min="5385" max="5385" width="13.85546875" style="626" customWidth="1"/>
    <col min="5386" max="5632" width="9.140625" style="626"/>
    <col min="5633" max="5633" width="13" style="626" customWidth="1"/>
    <col min="5634" max="5634" width="9.140625" style="626"/>
    <col min="5635" max="5635" width="13" style="626" customWidth="1"/>
    <col min="5636" max="5636" width="29.7109375" style="626" customWidth="1"/>
    <col min="5637" max="5637" width="7.7109375" style="626" customWidth="1"/>
    <col min="5638" max="5638" width="6" style="626" customWidth="1"/>
    <col min="5639" max="5639" width="11.5703125" style="626" customWidth="1"/>
    <col min="5640" max="5640" width="13.42578125" style="626" customWidth="1"/>
    <col min="5641" max="5641" width="13.85546875" style="626" customWidth="1"/>
    <col min="5642" max="5888" width="9.140625" style="626"/>
    <col min="5889" max="5889" width="13" style="626" customWidth="1"/>
    <col min="5890" max="5890" width="9.140625" style="626"/>
    <col min="5891" max="5891" width="13" style="626" customWidth="1"/>
    <col min="5892" max="5892" width="29.7109375" style="626" customWidth="1"/>
    <col min="5893" max="5893" width="7.7109375" style="626" customWidth="1"/>
    <col min="5894" max="5894" width="6" style="626" customWidth="1"/>
    <col min="5895" max="5895" width="11.5703125" style="626" customWidth="1"/>
    <col min="5896" max="5896" width="13.42578125" style="626" customWidth="1"/>
    <col min="5897" max="5897" width="13.85546875" style="626" customWidth="1"/>
    <col min="5898" max="6144" width="9.140625" style="626"/>
    <col min="6145" max="6145" width="13" style="626" customWidth="1"/>
    <col min="6146" max="6146" width="9.140625" style="626"/>
    <col min="6147" max="6147" width="13" style="626" customWidth="1"/>
    <col min="6148" max="6148" width="29.7109375" style="626" customWidth="1"/>
    <col min="6149" max="6149" width="7.7109375" style="626" customWidth="1"/>
    <col min="6150" max="6150" width="6" style="626" customWidth="1"/>
    <col min="6151" max="6151" width="11.5703125" style="626" customWidth="1"/>
    <col min="6152" max="6152" width="13.42578125" style="626" customWidth="1"/>
    <col min="6153" max="6153" width="13.85546875" style="626" customWidth="1"/>
    <col min="6154" max="6400" width="9.140625" style="626"/>
    <col min="6401" max="6401" width="13" style="626" customWidth="1"/>
    <col min="6402" max="6402" width="9.140625" style="626"/>
    <col min="6403" max="6403" width="13" style="626" customWidth="1"/>
    <col min="6404" max="6404" width="29.7109375" style="626" customWidth="1"/>
    <col min="6405" max="6405" width="7.7109375" style="626" customWidth="1"/>
    <col min="6406" max="6406" width="6" style="626" customWidth="1"/>
    <col min="6407" max="6407" width="11.5703125" style="626" customWidth="1"/>
    <col min="6408" max="6408" width="13.42578125" style="626" customWidth="1"/>
    <col min="6409" max="6409" width="13.85546875" style="626" customWidth="1"/>
    <col min="6410" max="6656" width="9.140625" style="626"/>
    <col min="6657" max="6657" width="13" style="626" customWidth="1"/>
    <col min="6658" max="6658" width="9.140625" style="626"/>
    <col min="6659" max="6659" width="13" style="626" customWidth="1"/>
    <col min="6660" max="6660" width="29.7109375" style="626" customWidth="1"/>
    <col min="6661" max="6661" width="7.7109375" style="626" customWidth="1"/>
    <col min="6662" max="6662" width="6" style="626" customWidth="1"/>
    <col min="6663" max="6663" width="11.5703125" style="626" customWidth="1"/>
    <col min="6664" max="6664" width="13.42578125" style="626" customWidth="1"/>
    <col min="6665" max="6665" width="13.85546875" style="626" customWidth="1"/>
    <col min="6666" max="6912" width="9.140625" style="626"/>
    <col min="6913" max="6913" width="13" style="626" customWidth="1"/>
    <col min="6914" max="6914" width="9.140625" style="626"/>
    <col min="6915" max="6915" width="13" style="626" customWidth="1"/>
    <col min="6916" max="6916" width="29.7109375" style="626" customWidth="1"/>
    <col min="6917" max="6917" width="7.7109375" style="626" customWidth="1"/>
    <col min="6918" max="6918" width="6" style="626" customWidth="1"/>
    <col min="6919" max="6919" width="11.5703125" style="626" customWidth="1"/>
    <col min="6920" max="6920" width="13.42578125" style="626" customWidth="1"/>
    <col min="6921" max="6921" width="13.85546875" style="626" customWidth="1"/>
    <col min="6922" max="7168" width="9.140625" style="626"/>
    <col min="7169" max="7169" width="13" style="626" customWidth="1"/>
    <col min="7170" max="7170" width="9.140625" style="626"/>
    <col min="7171" max="7171" width="13" style="626" customWidth="1"/>
    <col min="7172" max="7172" width="29.7109375" style="626" customWidth="1"/>
    <col min="7173" max="7173" width="7.7109375" style="626" customWidth="1"/>
    <col min="7174" max="7174" width="6" style="626" customWidth="1"/>
    <col min="7175" max="7175" width="11.5703125" style="626" customWidth="1"/>
    <col min="7176" max="7176" width="13.42578125" style="626" customWidth="1"/>
    <col min="7177" max="7177" width="13.85546875" style="626" customWidth="1"/>
    <col min="7178" max="7424" width="9.140625" style="626"/>
    <col min="7425" max="7425" width="13" style="626" customWidth="1"/>
    <col min="7426" max="7426" width="9.140625" style="626"/>
    <col min="7427" max="7427" width="13" style="626" customWidth="1"/>
    <col min="7428" max="7428" width="29.7109375" style="626" customWidth="1"/>
    <col min="7429" max="7429" width="7.7109375" style="626" customWidth="1"/>
    <col min="7430" max="7430" width="6" style="626" customWidth="1"/>
    <col min="7431" max="7431" width="11.5703125" style="626" customWidth="1"/>
    <col min="7432" max="7432" width="13.42578125" style="626" customWidth="1"/>
    <col min="7433" max="7433" width="13.85546875" style="626" customWidth="1"/>
    <col min="7434" max="7680" width="9.140625" style="626"/>
    <col min="7681" max="7681" width="13" style="626" customWidth="1"/>
    <col min="7682" max="7682" width="9.140625" style="626"/>
    <col min="7683" max="7683" width="13" style="626" customWidth="1"/>
    <col min="7684" max="7684" width="29.7109375" style="626" customWidth="1"/>
    <col min="7685" max="7685" width="7.7109375" style="626" customWidth="1"/>
    <col min="7686" max="7686" width="6" style="626" customWidth="1"/>
    <col min="7687" max="7687" width="11.5703125" style="626" customWidth="1"/>
    <col min="7688" max="7688" width="13.42578125" style="626" customWidth="1"/>
    <col min="7689" max="7689" width="13.85546875" style="626" customWidth="1"/>
    <col min="7690" max="7936" width="9.140625" style="626"/>
    <col min="7937" max="7937" width="13" style="626" customWidth="1"/>
    <col min="7938" max="7938" width="9.140625" style="626"/>
    <col min="7939" max="7939" width="13" style="626" customWidth="1"/>
    <col min="7940" max="7940" width="29.7109375" style="626" customWidth="1"/>
    <col min="7941" max="7941" width="7.7109375" style="626" customWidth="1"/>
    <col min="7942" max="7942" width="6" style="626" customWidth="1"/>
    <col min="7943" max="7943" width="11.5703125" style="626" customWidth="1"/>
    <col min="7944" max="7944" width="13.42578125" style="626" customWidth="1"/>
    <col min="7945" max="7945" width="13.85546875" style="626" customWidth="1"/>
    <col min="7946" max="8192" width="9.140625" style="626"/>
    <col min="8193" max="8193" width="13" style="626" customWidth="1"/>
    <col min="8194" max="8194" width="9.140625" style="626"/>
    <col min="8195" max="8195" width="13" style="626" customWidth="1"/>
    <col min="8196" max="8196" width="29.7109375" style="626" customWidth="1"/>
    <col min="8197" max="8197" width="7.7109375" style="626" customWidth="1"/>
    <col min="8198" max="8198" width="6" style="626" customWidth="1"/>
    <col min="8199" max="8199" width="11.5703125" style="626" customWidth="1"/>
    <col min="8200" max="8200" width="13.42578125" style="626" customWidth="1"/>
    <col min="8201" max="8201" width="13.85546875" style="626" customWidth="1"/>
    <col min="8202" max="8448" width="9.140625" style="626"/>
    <col min="8449" max="8449" width="13" style="626" customWidth="1"/>
    <col min="8450" max="8450" width="9.140625" style="626"/>
    <col min="8451" max="8451" width="13" style="626" customWidth="1"/>
    <col min="8452" max="8452" width="29.7109375" style="626" customWidth="1"/>
    <col min="8453" max="8453" width="7.7109375" style="626" customWidth="1"/>
    <col min="8454" max="8454" width="6" style="626" customWidth="1"/>
    <col min="8455" max="8455" width="11.5703125" style="626" customWidth="1"/>
    <col min="8456" max="8456" width="13.42578125" style="626" customWidth="1"/>
    <col min="8457" max="8457" width="13.85546875" style="626" customWidth="1"/>
    <col min="8458" max="8704" width="9.140625" style="626"/>
    <col min="8705" max="8705" width="13" style="626" customWidth="1"/>
    <col min="8706" max="8706" width="9.140625" style="626"/>
    <col min="8707" max="8707" width="13" style="626" customWidth="1"/>
    <col min="8708" max="8708" width="29.7109375" style="626" customWidth="1"/>
    <col min="8709" max="8709" width="7.7109375" style="626" customWidth="1"/>
    <col min="8710" max="8710" width="6" style="626" customWidth="1"/>
    <col min="8711" max="8711" width="11.5703125" style="626" customWidth="1"/>
    <col min="8712" max="8712" width="13.42578125" style="626" customWidth="1"/>
    <col min="8713" max="8713" width="13.85546875" style="626" customWidth="1"/>
    <col min="8714" max="8960" width="9.140625" style="626"/>
    <col min="8961" max="8961" width="13" style="626" customWidth="1"/>
    <col min="8962" max="8962" width="9.140625" style="626"/>
    <col min="8963" max="8963" width="13" style="626" customWidth="1"/>
    <col min="8964" max="8964" width="29.7109375" style="626" customWidth="1"/>
    <col min="8965" max="8965" width="7.7109375" style="626" customWidth="1"/>
    <col min="8966" max="8966" width="6" style="626" customWidth="1"/>
    <col min="8967" max="8967" width="11.5703125" style="626" customWidth="1"/>
    <col min="8968" max="8968" width="13.42578125" style="626" customWidth="1"/>
    <col min="8969" max="8969" width="13.85546875" style="626" customWidth="1"/>
    <col min="8970" max="9216" width="9.140625" style="626"/>
    <col min="9217" max="9217" width="13" style="626" customWidth="1"/>
    <col min="9218" max="9218" width="9.140625" style="626"/>
    <col min="9219" max="9219" width="13" style="626" customWidth="1"/>
    <col min="9220" max="9220" width="29.7109375" style="626" customWidth="1"/>
    <col min="9221" max="9221" width="7.7109375" style="626" customWidth="1"/>
    <col min="9222" max="9222" width="6" style="626" customWidth="1"/>
    <col min="9223" max="9223" width="11.5703125" style="626" customWidth="1"/>
    <col min="9224" max="9224" width="13.42578125" style="626" customWidth="1"/>
    <col min="9225" max="9225" width="13.85546875" style="626" customWidth="1"/>
    <col min="9226" max="9472" width="9.140625" style="626"/>
    <col min="9473" max="9473" width="13" style="626" customWidth="1"/>
    <col min="9474" max="9474" width="9.140625" style="626"/>
    <col min="9475" max="9475" width="13" style="626" customWidth="1"/>
    <col min="9476" max="9476" width="29.7109375" style="626" customWidth="1"/>
    <col min="9477" max="9477" width="7.7109375" style="626" customWidth="1"/>
    <col min="9478" max="9478" width="6" style="626" customWidth="1"/>
    <col min="9479" max="9479" width="11.5703125" style="626" customWidth="1"/>
    <col min="9480" max="9480" width="13.42578125" style="626" customWidth="1"/>
    <col min="9481" max="9481" width="13.85546875" style="626" customWidth="1"/>
    <col min="9482" max="9728" width="9.140625" style="626"/>
    <col min="9729" max="9729" width="13" style="626" customWidth="1"/>
    <col min="9730" max="9730" width="9.140625" style="626"/>
    <col min="9731" max="9731" width="13" style="626" customWidth="1"/>
    <col min="9732" max="9732" width="29.7109375" style="626" customWidth="1"/>
    <col min="9733" max="9733" width="7.7109375" style="626" customWidth="1"/>
    <col min="9734" max="9734" width="6" style="626" customWidth="1"/>
    <col min="9735" max="9735" width="11.5703125" style="626" customWidth="1"/>
    <col min="9736" max="9736" width="13.42578125" style="626" customWidth="1"/>
    <col min="9737" max="9737" width="13.85546875" style="626" customWidth="1"/>
    <col min="9738" max="9984" width="9.140625" style="626"/>
    <col min="9985" max="9985" width="13" style="626" customWidth="1"/>
    <col min="9986" max="9986" width="9.140625" style="626"/>
    <col min="9987" max="9987" width="13" style="626" customWidth="1"/>
    <col min="9988" max="9988" width="29.7109375" style="626" customWidth="1"/>
    <col min="9989" max="9989" width="7.7109375" style="626" customWidth="1"/>
    <col min="9990" max="9990" width="6" style="626" customWidth="1"/>
    <col min="9991" max="9991" width="11.5703125" style="626" customWidth="1"/>
    <col min="9992" max="9992" width="13.42578125" style="626" customWidth="1"/>
    <col min="9993" max="9993" width="13.85546875" style="626" customWidth="1"/>
    <col min="9994" max="10240" width="9.140625" style="626"/>
    <col min="10241" max="10241" width="13" style="626" customWidth="1"/>
    <col min="10242" max="10242" width="9.140625" style="626"/>
    <col min="10243" max="10243" width="13" style="626" customWidth="1"/>
    <col min="10244" max="10244" width="29.7109375" style="626" customWidth="1"/>
    <col min="10245" max="10245" width="7.7109375" style="626" customWidth="1"/>
    <col min="10246" max="10246" width="6" style="626" customWidth="1"/>
    <col min="10247" max="10247" width="11.5703125" style="626" customWidth="1"/>
    <col min="10248" max="10248" width="13.42578125" style="626" customWidth="1"/>
    <col min="10249" max="10249" width="13.85546875" style="626" customWidth="1"/>
    <col min="10250" max="10496" width="9.140625" style="626"/>
    <col min="10497" max="10497" width="13" style="626" customWidth="1"/>
    <col min="10498" max="10498" width="9.140625" style="626"/>
    <col min="10499" max="10499" width="13" style="626" customWidth="1"/>
    <col min="10500" max="10500" width="29.7109375" style="626" customWidth="1"/>
    <col min="10501" max="10501" width="7.7109375" style="626" customWidth="1"/>
    <col min="10502" max="10502" width="6" style="626" customWidth="1"/>
    <col min="10503" max="10503" width="11.5703125" style="626" customWidth="1"/>
    <col min="10504" max="10504" width="13.42578125" style="626" customWidth="1"/>
    <col min="10505" max="10505" width="13.85546875" style="626" customWidth="1"/>
    <col min="10506" max="10752" width="9.140625" style="626"/>
    <col min="10753" max="10753" width="13" style="626" customWidth="1"/>
    <col min="10754" max="10754" width="9.140625" style="626"/>
    <col min="10755" max="10755" width="13" style="626" customWidth="1"/>
    <col min="10756" max="10756" width="29.7109375" style="626" customWidth="1"/>
    <col min="10757" max="10757" width="7.7109375" style="626" customWidth="1"/>
    <col min="10758" max="10758" width="6" style="626" customWidth="1"/>
    <col min="10759" max="10759" width="11.5703125" style="626" customWidth="1"/>
    <col min="10760" max="10760" width="13.42578125" style="626" customWidth="1"/>
    <col min="10761" max="10761" width="13.85546875" style="626" customWidth="1"/>
    <col min="10762" max="11008" width="9.140625" style="626"/>
    <col min="11009" max="11009" width="13" style="626" customWidth="1"/>
    <col min="11010" max="11010" width="9.140625" style="626"/>
    <col min="11011" max="11011" width="13" style="626" customWidth="1"/>
    <col min="11012" max="11012" width="29.7109375" style="626" customWidth="1"/>
    <col min="11013" max="11013" width="7.7109375" style="626" customWidth="1"/>
    <col min="11014" max="11014" width="6" style="626" customWidth="1"/>
    <col min="11015" max="11015" width="11.5703125" style="626" customWidth="1"/>
    <col min="11016" max="11016" width="13.42578125" style="626" customWidth="1"/>
    <col min="11017" max="11017" width="13.85546875" style="626" customWidth="1"/>
    <col min="11018" max="11264" width="9.140625" style="626"/>
    <col min="11265" max="11265" width="13" style="626" customWidth="1"/>
    <col min="11266" max="11266" width="9.140625" style="626"/>
    <col min="11267" max="11267" width="13" style="626" customWidth="1"/>
    <col min="11268" max="11268" width="29.7109375" style="626" customWidth="1"/>
    <col min="11269" max="11269" width="7.7109375" style="626" customWidth="1"/>
    <col min="11270" max="11270" width="6" style="626" customWidth="1"/>
    <col min="11271" max="11271" width="11.5703125" style="626" customWidth="1"/>
    <col min="11272" max="11272" width="13.42578125" style="626" customWidth="1"/>
    <col min="11273" max="11273" width="13.85546875" style="626" customWidth="1"/>
    <col min="11274" max="11520" width="9.140625" style="626"/>
    <col min="11521" max="11521" width="13" style="626" customWidth="1"/>
    <col min="11522" max="11522" width="9.140625" style="626"/>
    <col min="11523" max="11523" width="13" style="626" customWidth="1"/>
    <col min="11524" max="11524" width="29.7109375" style="626" customWidth="1"/>
    <col min="11525" max="11525" width="7.7109375" style="626" customWidth="1"/>
    <col min="11526" max="11526" width="6" style="626" customWidth="1"/>
    <col min="11527" max="11527" width="11.5703125" style="626" customWidth="1"/>
    <col min="11528" max="11528" width="13.42578125" style="626" customWidth="1"/>
    <col min="11529" max="11529" width="13.85546875" style="626" customWidth="1"/>
    <col min="11530" max="11776" width="9.140625" style="626"/>
    <col min="11777" max="11777" width="13" style="626" customWidth="1"/>
    <col min="11778" max="11778" width="9.140625" style="626"/>
    <col min="11779" max="11779" width="13" style="626" customWidth="1"/>
    <col min="11780" max="11780" width="29.7109375" style="626" customWidth="1"/>
    <col min="11781" max="11781" width="7.7109375" style="626" customWidth="1"/>
    <col min="11782" max="11782" width="6" style="626" customWidth="1"/>
    <col min="11783" max="11783" width="11.5703125" style="626" customWidth="1"/>
    <col min="11784" max="11784" width="13.42578125" style="626" customWidth="1"/>
    <col min="11785" max="11785" width="13.85546875" style="626" customWidth="1"/>
    <col min="11786" max="12032" width="9.140625" style="626"/>
    <col min="12033" max="12033" width="13" style="626" customWidth="1"/>
    <col min="12034" max="12034" width="9.140625" style="626"/>
    <col min="12035" max="12035" width="13" style="626" customWidth="1"/>
    <col min="12036" max="12036" width="29.7109375" style="626" customWidth="1"/>
    <col min="12037" max="12037" width="7.7109375" style="626" customWidth="1"/>
    <col min="12038" max="12038" width="6" style="626" customWidth="1"/>
    <col min="12039" max="12039" width="11.5703125" style="626" customWidth="1"/>
    <col min="12040" max="12040" width="13.42578125" style="626" customWidth="1"/>
    <col min="12041" max="12041" width="13.85546875" style="626" customWidth="1"/>
    <col min="12042" max="12288" width="9.140625" style="626"/>
    <col min="12289" max="12289" width="13" style="626" customWidth="1"/>
    <col min="12290" max="12290" width="9.140625" style="626"/>
    <col min="12291" max="12291" width="13" style="626" customWidth="1"/>
    <col min="12292" max="12292" width="29.7109375" style="626" customWidth="1"/>
    <col min="12293" max="12293" width="7.7109375" style="626" customWidth="1"/>
    <col min="12294" max="12294" width="6" style="626" customWidth="1"/>
    <col min="12295" max="12295" width="11.5703125" style="626" customWidth="1"/>
    <col min="12296" max="12296" width="13.42578125" style="626" customWidth="1"/>
    <col min="12297" max="12297" width="13.85546875" style="626" customWidth="1"/>
    <col min="12298" max="12544" width="9.140625" style="626"/>
    <col min="12545" max="12545" width="13" style="626" customWidth="1"/>
    <col min="12546" max="12546" width="9.140625" style="626"/>
    <col min="12547" max="12547" width="13" style="626" customWidth="1"/>
    <col min="12548" max="12548" width="29.7109375" style="626" customWidth="1"/>
    <col min="12549" max="12549" width="7.7109375" style="626" customWidth="1"/>
    <col min="12550" max="12550" width="6" style="626" customWidth="1"/>
    <col min="12551" max="12551" width="11.5703125" style="626" customWidth="1"/>
    <col min="12552" max="12552" width="13.42578125" style="626" customWidth="1"/>
    <col min="12553" max="12553" width="13.85546875" style="626" customWidth="1"/>
    <col min="12554" max="12800" width="9.140625" style="626"/>
    <col min="12801" max="12801" width="13" style="626" customWidth="1"/>
    <col min="12802" max="12802" width="9.140625" style="626"/>
    <col min="12803" max="12803" width="13" style="626" customWidth="1"/>
    <col min="12804" max="12804" width="29.7109375" style="626" customWidth="1"/>
    <col min="12805" max="12805" width="7.7109375" style="626" customWidth="1"/>
    <col min="12806" max="12806" width="6" style="626" customWidth="1"/>
    <col min="12807" max="12807" width="11.5703125" style="626" customWidth="1"/>
    <col min="12808" max="12808" width="13.42578125" style="626" customWidth="1"/>
    <col min="12809" max="12809" width="13.85546875" style="626" customWidth="1"/>
    <col min="12810" max="13056" width="9.140625" style="626"/>
    <col min="13057" max="13057" width="13" style="626" customWidth="1"/>
    <col min="13058" max="13058" width="9.140625" style="626"/>
    <col min="13059" max="13059" width="13" style="626" customWidth="1"/>
    <col min="13060" max="13060" width="29.7109375" style="626" customWidth="1"/>
    <col min="13061" max="13061" width="7.7109375" style="626" customWidth="1"/>
    <col min="13062" max="13062" width="6" style="626" customWidth="1"/>
    <col min="13063" max="13063" width="11.5703125" style="626" customWidth="1"/>
    <col min="13064" max="13064" width="13.42578125" style="626" customWidth="1"/>
    <col min="13065" max="13065" width="13.85546875" style="626" customWidth="1"/>
    <col min="13066" max="13312" width="9.140625" style="626"/>
    <col min="13313" max="13313" width="13" style="626" customWidth="1"/>
    <col min="13314" max="13314" width="9.140625" style="626"/>
    <col min="13315" max="13315" width="13" style="626" customWidth="1"/>
    <col min="13316" max="13316" width="29.7109375" style="626" customWidth="1"/>
    <col min="13317" max="13317" width="7.7109375" style="626" customWidth="1"/>
    <col min="13318" max="13318" width="6" style="626" customWidth="1"/>
    <col min="13319" max="13319" width="11.5703125" style="626" customWidth="1"/>
    <col min="13320" max="13320" width="13.42578125" style="626" customWidth="1"/>
    <col min="13321" max="13321" width="13.85546875" style="626" customWidth="1"/>
    <col min="13322" max="13568" width="9.140625" style="626"/>
    <col min="13569" max="13569" width="13" style="626" customWidth="1"/>
    <col min="13570" max="13570" width="9.140625" style="626"/>
    <col min="13571" max="13571" width="13" style="626" customWidth="1"/>
    <col min="13572" max="13572" width="29.7109375" style="626" customWidth="1"/>
    <col min="13573" max="13573" width="7.7109375" style="626" customWidth="1"/>
    <col min="13574" max="13574" width="6" style="626" customWidth="1"/>
    <col min="13575" max="13575" width="11.5703125" style="626" customWidth="1"/>
    <col min="13576" max="13576" width="13.42578125" style="626" customWidth="1"/>
    <col min="13577" max="13577" width="13.85546875" style="626" customWidth="1"/>
    <col min="13578" max="13824" width="9.140625" style="626"/>
    <col min="13825" max="13825" width="13" style="626" customWidth="1"/>
    <col min="13826" max="13826" width="9.140625" style="626"/>
    <col min="13827" max="13827" width="13" style="626" customWidth="1"/>
    <col min="13828" max="13828" width="29.7109375" style="626" customWidth="1"/>
    <col min="13829" max="13829" width="7.7109375" style="626" customWidth="1"/>
    <col min="13830" max="13830" width="6" style="626" customWidth="1"/>
    <col min="13831" max="13831" width="11.5703125" style="626" customWidth="1"/>
    <col min="13832" max="13832" width="13.42578125" style="626" customWidth="1"/>
    <col min="13833" max="13833" width="13.85546875" style="626" customWidth="1"/>
    <col min="13834" max="14080" width="9.140625" style="626"/>
    <col min="14081" max="14081" width="13" style="626" customWidth="1"/>
    <col min="14082" max="14082" width="9.140625" style="626"/>
    <col min="14083" max="14083" width="13" style="626" customWidth="1"/>
    <col min="14084" max="14084" width="29.7109375" style="626" customWidth="1"/>
    <col min="14085" max="14085" width="7.7109375" style="626" customWidth="1"/>
    <col min="14086" max="14086" width="6" style="626" customWidth="1"/>
    <col min="14087" max="14087" width="11.5703125" style="626" customWidth="1"/>
    <col min="14088" max="14088" width="13.42578125" style="626" customWidth="1"/>
    <col min="14089" max="14089" width="13.85546875" style="626" customWidth="1"/>
    <col min="14090" max="14336" width="9.140625" style="626"/>
    <col min="14337" max="14337" width="13" style="626" customWidth="1"/>
    <col min="14338" max="14338" width="9.140625" style="626"/>
    <col min="14339" max="14339" width="13" style="626" customWidth="1"/>
    <col min="14340" max="14340" width="29.7109375" style="626" customWidth="1"/>
    <col min="14341" max="14341" width="7.7109375" style="626" customWidth="1"/>
    <col min="14342" max="14342" width="6" style="626" customWidth="1"/>
    <col min="14343" max="14343" width="11.5703125" style="626" customWidth="1"/>
    <col min="14344" max="14344" width="13.42578125" style="626" customWidth="1"/>
    <col min="14345" max="14345" width="13.85546875" style="626" customWidth="1"/>
    <col min="14346" max="14592" width="9.140625" style="626"/>
    <col min="14593" max="14593" width="13" style="626" customWidth="1"/>
    <col min="14594" max="14594" width="9.140625" style="626"/>
    <col min="14595" max="14595" width="13" style="626" customWidth="1"/>
    <col min="14596" max="14596" width="29.7109375" style="626" customWidth="1"/>
    <col min="14597" max="14597" width="7.7109375" style="626" customWidth="1"/>
    <col min="14598" max="14598" width="6" style="626" customWidth="1"/>
    <col min="14599" max="14599" width="11.5703125" style="626" customWidth="1"/>
    <col min="14600" max="14600" width="13.42578125" style="626" customWidth="1"/>
    <col min="14601" max="14601" width="13.85546875" style="626" customWidth="1"/>
    <col min="14602" max="14848" width="9.140625" style="626"/>
    <col min="14849" max="14849" width="13" style="626" customWidth="1"/>
    <col min="14850" max="14850" width="9.140625" style="626"/>
    <col min="14851" max="14851" width="13" style="626" customWidth="1"/>
    <col min="14852" max="14852" width="29.7109375" style="626" customWidth="1"/>
    <col min="14853" max="14853" width="7.7109375" style="626" customWidth="1"/>
    <col min="14854" max="14854" width="6" style="626" customWidth="1"/>
    <col min="14855" max="14855" width="11.5703125" style="626" customWidth="1"/>
    <col min="14856" max="14856" width="13.42578125" style="626" customWidth="1"/>
    <col min="14857" max="14857" width="13.85546875" style="626" customWidth="1"/>
    <col min="14858" max="15104" width="9.140625" style="626"/>
    <col min="15105" max="15105" width="13" style="626" customWidth="1"/>
    <col min="15106" max="15106" width="9.140625" style="626"/>
    <col min="15107" max="15107" width="13" style="626" customWidth="1"/>
    <col min="15108" max="15108" width="29.7109375" style="626" customWidth="1"/>
    <col min="15109" max="15109" width="7.7109375" style="626" customWidth="1"/>
    <col min="15110" max="15110" width="6" style="626" customWidth="1"/>
    <col min="15111" max="15111" width="11.5703125" style="626" customWidth="1"/>
    <col min="15112" max="15112" width="13.42578125" style="626" customWidth="1"/>
    <col min="15113" max="15113" width="13.85546875" style="626" customWidth="1"/>
    <col min="15114" max="15360" width="9.140625" style="626"/>
    <col min="15361" max="15361" width="13" style="626" customWidth="1"/>
    <col min="15362" max="15362" width="9.140625" style="626"/>
    <col min="15363" max="15363" width="13" style="626" customWidth="1"/>
    <col min="15364" max="15364" width="29.7109375" style="626" customWidth="1"/>
    <col min="15365" max="15365" width="7.7109375" style="626" customWidth="1"/>
    <col min="15366" max="15366" width="6" style="626" customWidth="1"/>
    <col min="15367" max="15367" width="11.5703125" style="626" customWidth="1"/>
    <col min="15368" max="15368" width="13.42578125" style="626" customWidth="1"/>
    <col min="15369" max="15369" width="13.85546875" style="626" customWidth="1"/>
    <col min="15370" max="15616" width="9.140625" style="626"/>
    <col min="15617" max="15617" width="13" style="626" customWidth="1"/>
    <col min="15618" max="15618" width="9.140625" style="626"/>
    <col min="15619" max="15619" width="13" style="626" customWidth="1"/>
    <col min="15620" max="15620" width="29.7109375" style="626" customWidth="1"/>
    <col min="15621" max="15621" width="7.7109375" style="626" customWidth="1"/>
    <col min="15622" max="15622" width="6" style="626" customWidth="1"/>
    <col min="15623" max="15623" width="11.5703125" style="626" customWidth="1"/>
    <col min="15624" max="15624" width="13.42578125" style="626" customWidth="1"/>
    <col min="15625" max="15625" width="13.85546875" style="626" customWidth="1"/>
    <col min="15626" max="15872" width="9.140625" style="626"/>
    <col min="15873" max="15873" width="13" style="626" customWidth="1"/>
    <col min="15874" max="15874" width="9.140625" style="626"/>
    <col min="15875" max="15875" width="13" style="626" customWidth="1"/>
    <col min="15876" max="15876" width="29.7109375" style="626" customWidth="1"/>
    <col min="15877" max="15877" width="7.7109375" style="626" customWidth="1"/>
    <col min="15878" max="15878" width="6" style="626" customWidth="1"/>
    <col min="15879" max="15879" width="11.5703125" style="626" customWidth="1"/>
    <col min="15880" max="15880" width="13.42578125" style="626" customWidth="1"/>
    <col min="15881" max="15881" width="13.85546875" style="626" customWidth="1"/>
    <col min="15882" max="16128" width="9.140625" style="626"/>
    <col min="16129" max="16129" width="13" style="626" customWidth="1"/>
    <col min="16130" max="16130" width="9.140625" style="626"/>
    <col min="16131" max="16131" width="13" style="626" customWidth="1"/>
    <col min="16132" max="16132" width="29.7109375" style="626" customWidth="1"/>
    <col min="16133" max="16133" width="7.7109375" style="626" customWidth="1"/>
    <col min="16134" max="16134" width="6" style="626" customWidth="1"/>
    <col min="16135" max="16135" width="11.5703125" style="626" customWidth="1"/>
    <col min="16136" max="16136" width="13.42578125" style="626" customWidth="1"/>
    <col min="16137" max="16137" width="13.85546875" style="626" customWidth="1"/>
    <col min="16138" max="16384" width="9.140625" style="626"/>
  </cols>
  <sheetData>
    <row r="1" spans="1:14">
      <c r="A1" s="625" t="str">
        <f>TH!A1</f>
        <v>Đơn vị: CÔNG TY TNHH SX TM KIM DUNG PHÁT</v>
      </c>
      <c r="F1" s="961" t="s">
        <v>354</v>
      </c>
      <c r="G1" s="961"/>
      <c r="H1" s="961"/>
      <c r="I1" s="961"/>
    </row>
    <row r="2" spans="1:14">
      <c r="A2" s="626" t="str">
        <f>TH!A2</f>
        <v>Địa chỉ: 1A227/1 Ấp 1, Phạm Văn Hai, Bình Chánh, TPHCM</v>
      </c>
      <c r="F2" s="960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60"/>
      <c r="H2" s="960"/>
      <c r="I2" s="960"/>
    </row>
    <row r="3" spans="1:14">
      <c r="F3" s="960"/>
      <c r="G3" s="960"/>
      <c r="H3" s="960"/>
      <c r="I3" s="960"/>
    </row>
    <row r="4" spans="1:14">
      <c r="H4" s="627"/>
      <c r="I4" s="627"/>
    </row>
    <row r="5" spans="1:14" ht="26.25" customHeight="1">
      <c r="B5" s="628"/>
      <c r="C5" s="628"/>
      <c r="D5" s="629" t="s">
        <v>355</v>
      </c>
      <c r="E5" s="628"/>
      <c r="F5" s="628"/>
      <c r="G5" s="628"/>
      <c r="H5" s="628"/>
      <c r="I5" s="628"/>
      <c r="J5" s="628"/>
      <c r="K5" s="628"/>
    </row>
    <row r="6" spans="1:14">
      <c r="B6" s="630"/>
      <c r="C6" s="630"/>
      <c r="D6" s="631" t="str">
        <f ca="1">$K$9&amp;"   -   Năm:  " &amp;YEAR(A11)</f>
        <v>Quý III   -   Năm:  2013</v>
      </c>
      <c r="E6" s="630"/>
      <c r="F6" s="630"/>
      <c r="G6" s="630"/>
      <c r="H6" s="630"/>
      <c r="I6" s="630"/>
      <c r="J6" s="630"/>
      <c r="K6" s="630"/>
    </row>
    <row r="7" spans="1:14">
      <c r="A7" s="632"/>
      <c r="B7" s="632"/>
      <c r="C7" s="632"/>
      <c r="D7" s="632"/>
      <c r="E7" s="632"/>
      <c r="F7" s="632"/>
      <c r="G7" s="632"/>
      <c r="H7" s="964" t="s">
        <v>123</v>
      </c>
      <c r="I7" s="964"/>
      <c r="J7" s="632"/>
      <c r="K7" s="632"/>
      <c r="M7" s="963" t="s">
        <v>335</v>
      </c>
      <c r="N7" s="963"/>
    </row>
    <row r="8" spans="1:14" s="854" customFormat="1" ht="23.25" customHeight="1" thickBot="1">
      <c r="A8" s="965" t="s">
        <v>356</v>
      </c>
      <c r="B8" s="967" t="s">
        <v>1</v>
      </c>
      <c r="C8" s="968"/>
      <c r="D8" s="969" t="s">
        <v>0</v>
      </c>
      <c r="E8" s="965" t="s">
        <v>357</v>
      </c>
      <c r="F8" s="962" t="s">
        <v>94</v>
      </c>
      <c r="G8" s="962"/>
      <c r="H8" s="967" t="s">
        <v>21</v>
      </c>
      <c r="I8" s="968"/>
      <c r="J8" s="853"/>
      <c r="K8" s="853"/>
      <c r="M8" s="855">
        <f>IF(K9="Quý I",1,IF(K9="Quý II",4,IF(K9="Quý III",7,IF(K9="Quý IV",10,""))))</f>
        <v>7</v>
      </c>
      <c r="N8" s="855">
        <f>IF(K9="Quý I",3,IF(K9="Quý II",6,IF(K9="Quý III",9,IF(K9="Quý IV",12,""))))</f>
        <v>9</v>
      </c>
    </row>
    <row r="9" spans="1:14" s="854" customFormat="1" ht="28.5" customHeight="1" thickBot="1">
      <c r="A9" s="966"/>
      <c r="B9" s="856" t="s">
        <v>15</v>
      </c>
      <c r="C9" s="856" t="s">
        <v>32</v>
      </c>
      <c r="D9" s="970"/>
      <c r="E9" s="966"/>
      <c r="F9" s="857" t="s">
        <v>22</v>
      </c>
      <c r="G9" s="857" t="s">
        <v>23</v>
      </c>
      <c r="H9" s="856" t="s">
        <v>358</v>
      </c>
      <c r="I9" s="856" t="s">
        <v>23</v>
      </c>
      <c r="K9" s="737" t="s">
        <v>480</v>
      </c>
    </row>
    <row r="10" spans="1:14" s="854" customFormat="1" ht="21" customHeight="1">
      <c r="A10" s="858"/>
      <c r="B10" s="858"/>
      <c r="C10" s="858"/>
      <c r="D10" s="859" t="s">
        <v>361</v>
      </c>
      <c r="E10" s="860"/>
      <c r="F10" s="858"/>
      <c r="G10" s="858"/>
      <c r="H10" s="861">
        <f>SUMIF(_M,"&lt;"&amp;$M$8,TH)</f>
        <v>4738815079</v>
      </c>
      <c r="I10" s="861">
        <f>SUMIF(_M,"&lt;"&amp;$M$8,TH)</f>
        <v>4738815079</v>
      </c>
    </row>
    <row r="11" spans="1:14" s="854" customFormat="1" ht="21" customHeight="1">
      <c r="A11" s="862">
        <f ca="1">IF(ROWS($1:1)&gt;COUNT(Dong6),"",OFFSET(TH!C$1,SMALL(Dong6,ROWS($1:1)),))</f>
        <v>41456</v>
      </c>
      <c r="B11" s="863" t="str">
        <f ca="1">IF(ROWS($1:1)&gt;COUNT(Dong6),"",OFFSET(TH!D$1,SMALL(Dong6,ROWS($1:1)),))</f>
        <v>CTGS</v>
      </c>
      <c r="C11" s="862">
        <f ca="1">IF(ROWS($1:1)&gt;COUNT(Dong6),"",OFFSET(TH!E$1,SMALL(Dong6,ROWS($1:1)),))</f>
        <v>41456</v>
      </c>
      <c r="D11" s="864" t="str">
        <f ca="1">IF(ROWS($1:1)&gt;COUNT(Dong6),"",OFFSET(TH!F$1,SMALL(Dong6,ROWS($1:1)),))</f>
        <v>Trích khấu hao TSCĐ Hữu hình</v>
      </c>
      <c r="E11" s="863">
        <f t="shared" ref="E11:E40" ca="1" si="0">IF(D11&lt;&gt;"",ROW()-10,"")</f>
        <v>1</v>
      </c>
      <c r="F11" s="865" t="str">
        <f ca="1">IF(ROWS($1:1)&gt;COUNT(Dong6),"",OFFSET(TH!L$1,SMALL(Dong6,ROWS($1:1)),))</f>
        <v>154</v>
      </c>
      <c r="G11" s="865" t="str">
        <f ca="1">IF(ROWS($1:1)&gt;COUNT(Dong6),"",OFFSET(TH!M$1,SMALL(Dong6,ROWS($1:1)),))</f>
        <v>2141</v>
      </c>
      <c r="H11" s="722">
        <f ca="1">IF(ROWS($1:1)&gt;COUNT(Dong6),"",OFFSET(TH!K$1,SMALL(Dong6,ROWS($1:1)),))</f>
        <v>18250000</v>
      </c>
      <c r="I11" s="722">
        <f ca="1">IF(ROWS($1:1)&gt;COUNT(Dong6),"",OFFSET(TH!K$1,SMALL(Dong6,ROWS($1:1)),))</f>
        <v>18250000</v>
      </c>
    </row>
    <row r="12" spans="1:14" s="854" customFormat="1" ht="21" customHeight="1">
      <c r="A12" s="862">
        <f ca="1">IF(ROWS($1:2)&gt;COUNT(Dong6),"",OFFSET(TH!C$1,SMALL(Dong6,ROWS($1:2)),))</f>
        <v>41486</v>
      </c>
      <c r="B12" s="863" t="str">
        <f ca="1">IF(ROWS($1:2)&gt;COUNT(Dong6),"",OFFSET(TH!D$1,SMALL(Dong6,ROWS($1:2)),))</f>
        <v>CTGS</v>
      </c>
      <c r="C12" s="862">
        <f ca="1">IF(ROWS($1:2)&gt;COUNT(Dong6),"",OFFSET(TH!E$1,SMALL(Dong6,ROWS($1:2)),))</f>
        <v>41486</v>
      </c>
      <c r="D12" s="864" t="str">
        <f ca="1">IF(ROWS($1:2)&gt;COUNT(Dong6),"",OFFSET(TH!F$1,SMALL(Dong6,ROWS($1:2)),))</f>
        <v>Tiền lương BP Văn phòng</v>
      </c>
      <c r="E12" s="863">
        <f t="shared" ca="1" si="0"/>
        <v>2</v>
      </c>
      <c r="F12" s="865" t="str">
        <f ca="1">IF(ROWS($1:2)&gt;COUNT(Dong6),"",OFFSET(TH!L$1,SMALL(Dong6,ROWS($1:2)),))</f>
        <v>642</v>
      </c>
      <c r="G12" s="865" t="str">
        <f ca="1">IF(ROWS($1:2)&gt;COUNT(Dong6),"",OFFSET(TH!M$1,SMALL(Dong6,ROWS($1:2)),))</f>
        <v>3341</v>
      </c>
      <c r="H12" s="722">
        <f ca="1">IF(ROWS($1:2)&gt;COUNT(Dong6),"",OFFSET(TH!K$1,SMALL(Dong6,ROWS($1:2)),))</f>
        <v>5910000</v>
      </c>
      <c r="I12" s="722">
        <f ca="1">IF(ROWS($1:2)&gt;COUNT(Dong6),"",OFFSET(TH!K$1,SMALL(Dong6,ROWS($1:2)),))</f>
        <v>5910000</v>
      </c>
    </row>
    <row r="13" spans="1:14" s="854" customFormat="1" ht="21" customHeight="1">
      <c r="A13" s="862">
        <f ca="1">IF(ROWS($1:3)&gt;COUNT(Dong6),"",OFFSET(TH!C$1,SMALL(Dong6,ROWS($1:3)),))</f>
        <v>41486</v>
      </c>
      <c r="B13" s="863" t="str">
        <f ca="1">IF(ROWS($1:3)&gt;COUNT(Dong6),"",OFFSET(TH!D$1,SMALL(Dong6,ROWS($1:3)),))</f>
        <v>CTGS</v>
      </c>
      <c r="C13" s="862">
        <f ca="1">IF(ROWS($1:3)&gt;COUNT(Dong6),"",OFFSET(TH!E$1,SMALL(Dong6,ROWS($1:3)),))</f>
        <v>41486</v>
      </c>
      <c r="D13" s="864" t="str">
        <f ca="1">IF(ROWS($1:3)&gt;COUNT(Dong6),"",OFFSET(TH!F$1,SMALL(Dong6,ROWS($1:3)),))</f>
        <v>Tiền lương BP Phân Xưởng &amp; CN</v>
      </c>
      <c r="E13" s="863">
        <f t="shared" ca="1" si="0"/>
        <v>3</v>
      </c>
      <c r="F13" s="865" t="str">
        <f ca="1">IF(ROWS($1:3)&gt;COUNT(Dong6),"",OFFSET(TH!L$1,SMALL(Dong6,ROWS($1:3)),))</f>
        <v>154</v>
      </c>
      <c r="G13" s="865" t="str">
        <f ca="1">IF(ROWS($1:3)&gt;COUNT(Dong6),"",OFFSET(TH!M$1,SMALL(Dong6,ROWS($1:3)),))</f>
        <v>3341</v>
      </c>
      <c r="H13" s="722">
        <f ca="1">IF(ROWS($1:3)&gt;COUNT(Dong6),"",OFFSET(TH!K$1,SMALL(Dong6,ROWS($1:3)),))</f>
        <v>7615000</v>
      </c>
      <c r="I13" s="722">
        <f ca="1">IF(ROWS($1:3)&gt;COUNT(Dong6),"",OFFSET(TH!K$1,SMALL(Dong6,ROWS($1:3)),))</f>
        <v>7615000</v>
      </c>
    </row>
    <row r="14" spans="1:14" s="854" customFormat="1" ht="21" customHeight="1">
      <c r="A14" s="862">
        <f ca="1">IF(ROWS($1:4)&gt;COUNT(Dong6),"",OFFSET(TH!C$1,SMALL(Dong6,ROWS($1:4)),))</f>
        <v>41486</v>
      </c>
      <c r="B14" s="863" t="str">
        <f ca="1">IF(ROWS($1:4)&gt;COUNT(Dong6),"",OFFSET(TH!D$1,SMALL(Dong6,ROWS($1:4)),))</f>
        <v>CTGS</v>
      </c>
      <c r="C14" s="862">
        <f ca="1">IF(ROWS($1:4)&gt;COUNT(Dong6),"",OFFSET(TH!E$1,SMALL(Dong6,ROWS($1:4)),))</f>
        <v>41486</v>
      </c>
      <c r="D14" s="864" t="str">
        <f ca="1">IF(ROWS($1:4)&gt;COUNT(Dong6),"",OFFSET(TH!F$1,SMALL(Dong6,ROWS($1:4)),))</f>
        <v>Thanh toán tiền lương tháng 7/2013</v>
      </c>
      <c r="E14" s="863">
        <f t="shared" ca="1" si="0"/>
        <v>4</v>
      </c>
      <c r="F14" s="865" t="str">
        <f ca="1">IF(ROWS($1:4)&gt;COUNT(Dong6),"",OFFSET(TH!L$1,SMALL(Dong6,ROWS($1:4)),))</f>
        <v>3341</v>
      </c>
      <c r="G14" s="865" t="str">
        <f ca="1">IF(ROWS($1:4)&gt;COUNT(Dong6),"",OFFSET(TH!M$1,SMALL(Dong6,ROWS($1:4)),))</f>
        <v>1111</v>
      </c>
      <c r="H14" s="722">
        <f ca="1">IF(ROWS($1:4)&gt;COUNT(Dong6),"",OFFSET(TH!K$1,SMALL(Dong6,ROWS($1:4)),))</f>
        <v>13525000</v>
      </c>
      <c r="I14" s="722">
        <f ca="1">IF(ROWS($1:4)&gt;COUNT(Dong6),"",OFFSET(TH!K$1,SMALL(Dong6,ROWS($1:4)),))</f>
        <v>13525000</v>
      </c>
    </row>
    <row r="15" spans="1:14" s="854" customFormat="1" ht="21" customHeight="1">
      <c r="A15" s="862">
        <f ca="1">IF(ROWS($1:5)&gt;COUNT(Dong6),"",OFFSET(TH!C$1,SMALL(Dong6,ROWS($1:5)),))</f>
        <v>41517</v>
      </c>
      <c r="B15" s="863" t="str">
        <f ca="1">IF(ROWS($1:5)&gt;COUNT(Dong6),"",OFFSET(TH!D$1,SMALL(Dong6,ROWS($1:5)),))</f>
        <v>CTGS</v>
      </c>
      <c r="C15" s="862">
        <f ca="1">IF(ROWS($1:5)&gt;COUNT(Dong6),"",OFFSET(TH!E$1,SMALL(Dong6,ROWS($1:5)),))</f>
        <v>41517</v>
      </c>
      <c r="D15" s="864" t="str">
        <f ca="1">IF(ROWS($1:5)&gt;COUNT(Dong6),"",OFFSET(TH!F$1,SMALL(Dong6,ROWS($1:5)),))</f>
        <v>Tiền lương BP Văn phòng</v>
      </c>
      <c r="E15" s="863">
        <f t="shared" ca="1" si="0"/>
        <v>5</v>
      </c>
      <c r="F15" s="865" t="str">
        <f ca="1">IF(ROWS($1:5)&gt;COUNT(Dong6),"",OFFSET(TH!L$1,SMALL(Dong6,ROWS($1:5)),))</f>
        <v>642</v>
      </c>
      <c r="G15" s="865" t="str">
        <f ca="1">IF(ROWS($1:5)&gt;COUNT(Dong6),"",OFFSET(TH!M$1,SMALL(Dong6,ROWS($1:5)),))</f>
        <v>3341</v>
      </c>
      <c r="H15" s="722">
        <f ca="1">IF(ROWS($1:5)&gt;COUNT(Dong6),"",OFFSET(TH!K$1,SMALL(Dong6,ROWS($1:5)),))</f>
        <v>5910000</v>
      </c>
      <c r="I15" s="722">
        <f ca="1">IF(ROWS($1:5)&gt;COUNT(Dong6),"",OFFSET(TH!K$1,SMALL(Dong6,ROWS($1:5)),))</f>
        <v>5910000</v>
      </c>
    </row>
    <row r="16" spans="1:14" s="854" customFormat="1" ht="21" customHeight="1">
      <c r="A16" s="862">
        <f ca="1">IF(ROWS($1:6)&gt;COUNT(Dong6),"",OFFSET(TH!C$1,SMALL(Dong6,ROWS($1:6)),))</f>
        <v>41517</v>
      </c>
      <c r="B16" s="863" t="str">
        <f ca="1">IF(ROWS($1:6)&gt;COUNT(Dong6),"",OFFSET(TH!D$1,SMALL(Dong6,ROWS($1:6)),))</f>
        <v>CTGS</v>
      </c>
      <c r="C16" s="862">
        <f ca="1">IF(ROWS($1:6)&gt;COUNT(Dong6),"",OFFSET(TH!E$1,SMALL(Dong6,ROWS($1:6)),))</f>
        <v>41517</v>
      </c>
      <c r="D16" s="864" t="str">
        <f ca="1">IF(ROWS($1:6)&gt;COUNT(Dong6),"",OFFSET(TH!F$1,SMALL(Dong6,ROWS($1:6)),))</f>
        <v>Tiền lương BP Phân Xưởng &amp; CN</v>
      </c>
      <c r="E16" s="863">
        <f t="shared" ca="1" si="0"/>
        <v>6</v>
      </c>
      <c r="F16" s="865" t="str">
        <f ca="1">IF(ROWS($1:6)&gt;COUNT(Dong6),"",OFFSET(TH!L$1,SMALL(Dong6,ROWS($1:6)),))</f>
        <v>154</v>
      </c>
      <c r="G16" s="865" t="str">
        <f ca="1">IF(ROWS($1:6)&gt;COUNT(Dong6),"",OFFSET(TH!M$1,SMALL(Dong6,ROWS($1:6)),))</f>
        <v>3341</v>
      </c>
      <c r="H16" s="722">
        <f ca="1">IF(ROWS($1:6)&gt;COUNT(Dong6),"",OFFSET(TH!K$1,SMALL(Dong6,ROWS($1:6)),))</f>
        <v>7615000</v>
      </c>
      <c r="I16" s="722">
        <f ca="1">IF(ROWS($1:6)&gt;COUNT(Dong6),"",OFFSET(TH!K$1,SMALL(Dong6,ROWS($1:6)),))</f>
        <v>7615000</v>
      </c>
    </row>
    <row r="17" spans="1:9" s="854" customFormat="1" ht="21" customHeight="1">
      <c r="A17" s="862">
        <f ca="1">IF(ROWS($1:7)&gt;COUNT(Dong6),"",OFFSET(TH!C$1,SMALL(Dong6,ROWS($1:7)),))</f>
        <v>41517</v>
      </c>
      <c r="B17" s="863" t="str">
        <f ca="1">IF(ROWS($1:7)&gt;COUNT(Dong6),"",OFFSET(TH!D$1,SMALL(Dong6,ROWS($1:7)),))</f>
        <v>CTGS</v>
      </c>
      <c r="C17" s="862">
        <f ca="1">IF(ROWS($1:7)&gt;COUNT(Dong6),"",OFFSET(TH!E$1,SMALL(Dong6,ROWS($1:7)),))</f>
        <v>41517</v>
      </c>
      <c r="D17" s="864" t="str">
        <f ca="1">IF(ROWS($1:7)&gt;COUNT(Dong6),"",OFFSET(TH!F$1,SMALL(Dong6,ROWS($1:7)),))</f>
        <v>Thanh toán tiền lương tháng 8/2013</v>
      </c>
      <c r="E17" s="863">
        <f t="shared" ca="1" si="0"/>
        <v>7</v>
      </c>
      <c r="F17" s="865" t="str">
        <f ca="1">IF(ROWS($1:7)&gt;COUNT(Dong6),"",OFFSET(TH!L$1,SMALL(Dong6,ROWS($1:7)),))</f>
        <v>3341</v>
      </c>
      <c r="G17" s="865" t="str">
        <f ca="1">IF(ROWS($1:7)&gt;COUNT(Dong6),"",OFFSET(TH!M$1,SMALL(Dong6,ROWS($1:7)),))</f>
        <v>1111</v>
      </c>
      <c r="H17" s="722">
        <f ca="1">IF(ROWS($1:7)&gt;COUNT(Dong6),"",OFFSET(TH!K$1,SMALL(Dong6,ROWS($1:7)),))</f>
        <v>13525000</v>
      </c>
      <c r="I17" s="722">
        <f ca="1">IF(ROWS($1:7)&gt;COUNT(Dong6),"",OFFSET(TH!K$1,SMALL(Dong6,ROWS($1:7)),))</f>
        <v>13525000</v>
      </c>
    </row>
    <row r="18" spans="1:9" s="854" customFormat="1" ht="21" customHeight="1">
      <c r="A18" s="862">
        <f ca="1">IF(ROWS($1:8)&gt;COUNT(Dong6),"",OFFSET(TH!C$1,SMALL(Dong6,ROWS($1:8)),))</f>
        <v>41547</v>
      </c>
      <c r="B18" s="863" t="str">
        <f ca="1">IF(ROWS($1:8)&gt;COUNT(Dong6),"",OFFSET(TH!D$1,SMALL(Dong6,ROWS($1:8)),))</f>
        <v>CTGS</v>
      </c>
      <c r="C18" s="862">
        <f ca="1">IF(ROWS($1:8)&gt;COUNT(Dong6),"",OFFSET(TH!E$1,SMALL(Dong6,ROWS($1:8)),))</f>
        <v>41547</v>
      </c>
      <c r="D18" s="864" t="str">
        <f ca="1">IF(ROWS($1:8)&gt;COUNT(Dong6),"",OFFSET(TH!F$1,SMALL(Dong6,ROWS($1:8)),))</f>
        <v>Tiền lương BP Văn phòng</v>
      </c>
      <c r="E18" s="863">
        <f t="shared" ca="1" si="0"/>
        <v>8</v>
      </c>
      <c r="F18" s="865" t="str">
        <f ca="1">IF(ROWS($1:8)&gt;COUNT(Dong6),"",OFFSET(TH!L$1,SMALL(Dong6,ROWS($1:8)),))</f>
        <v>642</v>
      </c>
      <c r="G18" s="865" t="str">
        <f ca="1">IF(ROWS($1:8)&gt;COUNT(Dong6),"",OFFSET(TH!M$1,SMALL(Dong6,ROWS($1:8)),))</f>
        <v>3341</v>
      </c>
      <c r="H18" s="722">
        <f ca="1">IF(ROWS($1:8)&gt;COUNT(Dong6),"",OFFSET(TH!K$1,SMALL(Dong6,ROWS($1:8)),))</f>
        <v>5820000</v>
      </c>
      <c r="I18" s="722">
        <f ca="1">IF(ROWS($1:8)&gt;COUNT(Dong6),"",OFFSET(TH!K$1,SMALL(Dong6,ROWS($1:8)),))</f>
        <v>5820000</v>
      </c>
    </row>
    <row r="19" spans="1:9" s="854" customFormat="1" ht="21" customHeight="1">
      <c r="A19" s="862">
        <f ca="1">IF(ROWS($1:9)&gt;COUNT(Dong6),"",OFFSET(TH!C$1,SMALL(Dong6,ROWS($1:9)),))</f>
        <v>41547</v>
      </c>
      <c r="B19" s="863" t="str">
        <f ca="1">IF(ROWS($1:9)&gt;COUNT(Dong6),"",OFFSET(TH!D$1,SMALL(Dong6,ROWS($1:9)),))</f>
        <v>CTGS</v>
      </c>
      <c r="C19" s="862">
        <f ca="1">IF(ROWS($1:9)&gt;COUNT(Dong6),"",OFFSET(TH!E$1,SMALL(Dong6,ROWS($1:9)),))</f>
        <v>41547</v>
      </c>
      <c r="D19" s="864" t="str">
        <f ca="1">IF(ROWS($1:9)&gt;COUNT(Dong6),"",OFFSET(TH!F$1,SMALL(Dong6,ROWS($1:9)),))</f>
        <v>Tiền lương BP Phân Xưởng &amp; CN</v>
      </c>
      <c r="E19" s="863">
        <f t="shared" ca="1" si="0"/>
        <v>9</v>
      </c>
      <c r="F19" s="865" t="str">
        <f ca="1">IF(ROWS($1:9)&gt;COUNT(Dong6),"",OFFSET(TH!L$1,SMALL(Dong6,ROWS($1:9)),))</f>
        <v>154</v>
      </c>
      <c r="G19" s="865" t="str">
        <f ca="1">IF(ROWS($1:9)&gt;COUNT(Dong6),"",OFFSET(TH!M$1,SMALL(Dong6,ROWS($1:9)),))</f>
        <v>3341</v>
      </c>
      <c r="H19" s="722">
        <f ca="1">IF(ROWS($1:9)&gt;COUNT(Dong6),"",OFFSET(TH!K$1,SMALL(Dong6,ROWS($1:9)),))</f>
        <v>7480000</v>
      </c>
      <c r="I19" s="722">
        <f ca="1">IF(ROWS($1:9)&gt;COUNT(Dong6),"",OFFSET(TH!K$1,SMALL(Dong6,ROWS($1:9)),))</f>
        <v>7480000</v>
      </c>
    </row>
    <row r="20" spans="1:9" s="854" customFormat="1" ht="21" customHeight="1">
      <c r="A20" s="862">
        <f ca="1">IF(ROWS($1:10)&gt;COUNT(Dong6),"",OFFSET(TH!C$1,SMALL(Dong6,ROWS($1:10)),))</f>
        <v>41547</v>
      </c>
      <c r="B20" s="863" t="str">
        <f ca="1">IF(ROWS($1:10)&gt;COUNT(Dong6),"",OFFSET(TH!D$1,SMALL(Dong6,ROWS($1:10)),))</f>
        <v>CTGS</v>
      </c>
      <c r="C20" s="862">
        <f ca="1">IF(ROWS($1:10)&gt;COUNT(Dong6),"",OFFSET(TH!E$1,SMALL(Dong6,ROWS($1:10)),))</f>
        <v>41547</v>
      </c>
      <c r="D20" s="864" t="str">
        <f ca="1">IF(ROWS($1:10)&gt;COUNT(Dong6),"",OFFSET(TH!F$1,SMALL(Dong6,ROWS($1:10)),))</f>
        <v>Thanh toán tiền lương tháng 9/2013</v>
      </c>
      <c r="E20" s="863">
        <f t="shared" ca="1" si="0"/>
        <v>10</v>
      </c>
      <c r="F20" s="865" t="str">
        <f ca="1">IF(ROWS($1:10)&gt;COUNT(Dong6),"",OFFSET(TH!L$1,SMALL(Dong6,ROWS($1:10)),))</f>
        <v>3341</v>
      </c>
      <c r="G20" s="865" t="str">
        <f ca="1">IF(ROWS($1:10)&gt;COUNT(Dong6),"",OFFSET(TH!M$1,SMALL(Dong6,ROWS($1:10)),))</f>
        <v>1111</v>
      </c>
      <c r="H20" s="722">
        <f ca="1">IF(ROWS($1:10)&gt;COUNT(Dong6),"",OFFSET(TH!K$1,SMALL(Dong6,ROWS($1:10)),))</f>
        <v>13300000</v>
      </c>
      <c r="I20" s="722">
        <f ca="1">IF(ROWS($1:10)&gt;COUNT(Dong6),"",OFFSET(TH!K$1,SMALL(Dong6,ROWS($1:10)),))</f>
        <v>13300000</v>
      </c>
    </row>
    <row r="21" spans="1:9" s="854" customFormat="1" ht="21" customHeight="1">
      <c r="A21" s="862">
        <f ca="1">IF(ROWS($1:11)&gt;COUNT(Dong6),"",OFFSET(TH!C$1,SMALL(Dong6,ROWS($1:11)),))</f>
        <v>41465</v>
      </c>
      <c r="B21" s="863" t="str">
        <f ca="1">IF(ROWS($1:11)&gt;COUNT(Dong6),"",OFFSET(TH!D$1,SMALL(Dong6,ROWS($1:11)),))</f>
        <v>C01</v>
      </c>
      <c r="C21" s="862">
        <f ca="1">IF(ROWS($1:11)&gt;COUNT(Dong6),"",OFFSET(TH!E$1,SMALL(Dong6,ROWS($1:11)),))</f>
        <v>41465</v>
      </c>
      <c r="D21" s="864" t="str">
        <f ca="1">IF(ROWS($1:11)&gt;COUNT(Dong6),"",OFFSET(TH!F$1,SMALL(Dong6,ROWS($1:11)),))</f>
        <v>Cước dịch vụ viễn thông</v>
      </c>
      <c r="E21" s="863">
        <f t="shared" ca="1" si="0"/>
        <v>11</v>
      </c>
      <c r="F21" s="865" t="str">
        <f ca="1">IF(ROWS($1:11)&gt;COUNT(Dong6),"",OFFSET(TH!L$1,SMALL(Dong6,ROWS($1:11)),))</f>
        <v>642</v>
      </c>
      <c r="G21" s="865" t="str">
        <f ca="1">IF(ROWS($1:11)&gt;COUNT(Dong6),"",OFFSET(TH!M$1,SMALL(Dong6,ROWS($1:11)),))</f>
        <v>1111</v>
      </c>
      <c r="H21" s="722">
        <f ca="1">IF(ROWS($1:11)&gt;COUNT(Dong6),"",OFFSET(TH!K$1,SMALL(Dong6,ROWS($1:11)),))</f>
        <v>926339</v>
      </c>
      <c r="I21" s="722">
        <f ca="1">IF(ROWS($1:11)&gt;COUNT(Dong6),"",OFFSET(TH!K$1,SMALL(Dong6,ROWS($1:11)),))</f>
        <v>926339</v>
      </c>
    </row>
    <row r="22" spans="1:9" s="854" customFormat="1" ht="21" customHeight="1">
      <c r="A22" s="862">
        <f ca="1">IF(ROWS($1:12)&gt;COUNT(Dong6),"",OFFSET(TH!C$1,SMALL(Dong6,ROWS($1:12)),))</f>
        <v>41465</v>
      </c>
      <c r="B22" s="863" t="str">
        <f ca="1">IF(ROWS($1:12)&gt;COUNT(Dong6),"",OFFSET(TH!D$1,SMALL(Dong6,ROWS($1:12)),))</f>
        <v>C01</v>
      </c>
      <c r="C22" s="862">
        <f ca="1">IF(ROWS($1:12)&gt;COUNT(Dong6),"",OFFSET(TH!E$1,SMALL(Dong6,ROWS($1:12)),))</f>
        <v>41465</v>
      </c>
      <c r="D22" s="864" t="str">
        <f ca="1">IF(ROWS($1:12)&gt;COUNT(Dong6),"",OFFSET(TH!F$1,SMALL(Dong6,ROWS($1:12)),))</f>
        <v>VAT Cước dịch vụ viễn thông</v>
      </c>
      <c r="E22" s="863">
        <f t="shared" ca="1" si="0"/>
        <v>12</v>
      </c>
      <c r="F22" s="865" t="str">
        <f ca="1">IF(ROWS($1:12)&gt;COUNT(Dong6),"",OFFSET(TH!L$1,SMALL(Dong6,ROWS($1:12)),))</f>
        <v>1331</v>
      </c>
      <c r="G22" s="865" t="str">
        <f ca="1">IF(ROWS($1:12)&gt;COUNT(Dong6),"",OFFSET(TH!M$1,SMALL(Dong6,ROWS($1:12)),))</f>
        <v>1111</v>
      </c>
      <c r="H22" s="722">
        <f ca="1">IF(ROWS($1:12)&gt;COUNT(Dong6),"",OFFSET(TH!K$1,SMALL(Dong6,ROWS($1:12)),))</f>
        <v>92633</v>
      </c>
      <c r="I22" s="722">
        <f ca="1">IF(ROWS($1:12)&gt;COUNT(Dong6),"",OFFSET(TH!K$1,SMALL(Dong6,ROWS($1:12)),))</f>
        <v>92633</v>
      </c>
    </row>
    <row r="23" spans="1:9" s="854" customFormat="1" ht="21" customHeight="1">
      <c r="A23" s="862">
        <f ca="1">IF(ROWS($1:13)&gt;COUNT(Dong6),"",OFFSET(TH!C$1,SMALL(Dong6,ROWS($1:13)),))</f>
        <v>41471</v>
      </c>
      <c r="B23" s="863" t="str">
        <f ca="1">IF(ROWS($1:13)&gt;COUNT(Dong6),"",OFFSET(TH!D$1,SMALL(Dong6,ROWS($1:13)),))</f>
        <v>C02</v>
      </c>
      <c r="C23" s="862">
        <f ca="1">IF(ROWS($1:13)&gt;COUNT(Dong6),"",OFFSET(TH!E$1,SMALL(Dong6,ROWS($1:13)),))</f>
        <v>41471</v>
      </c>
      <c r="D23" s="864" t="str">
        <f ca="1">IF(ROWS($1:13)&gt;COUNT(Dong6),"",OFFSET(TH!F$1,SMALL(Dong6,ROWS($1:13)),))</f>
        <v>Chi phí chứng thư số</v>
      </c>
      <c r="E23" s="863">
        <f t="shared" ca="1" si="0"/>
        <v>13</v>
      </c>
      <c r="F23" s="865" t="str">
        <f ca="1">IF(ROWS($1:13)&gt;COUNT(Dong6),"",OFFSET(TH!L$1,SMALL(Dong6,ROWS($1:13)),))</f>
        <v>642</v>
      </c>
      <c r="G23" s="865" t="str">
        <f ca="1">IF(ROWS($1:13)&gt;COUNT(Dong6),"",OFFSET(TH!M$1,SMALL(Dong6,ROWS($1:13)),))</f>
        <v>1111</v>
      </c>
      <c r="H23" s="722">
        <f ca="1">IF(ROWS($1:13)&gt;COUNT(Dong6),"",OFFSET(TH!K$1,SMALL(Dong6,ROWS($1:13)),))</f>
        <v>850000</v>
      </c>
      <c r="I23" s="722">
        <f ca="1">IF(ROWS($1:13)&gt;COUNT(Dong6),"",OFFSET(TH!K$1,SMALL(Dong6,ROWS($1:13)),))</f>
        <v>850000</v>
      </c>
    </row>
    <row r="24" spans="1:9" s="854" customFormat="1" ht="21" customHeight="1">
      <c r="A24" s="862">
        <f ca="1">IF(ROWS($1:14)&gt;COUNT(Dong6),"",OFFSET(TH!C$1,SMALL(Dong6,ROWS($1:14)),))</f>
        <v>41471</v>
      </c>
      <c r="B24" s="863" t="str">
        <f ca="1">IF(ROWS($1:14)&gt;COUNT(Dong6),"",OFFSET(TH!D$1,SMALL(Dong6,ROWS($1:14)),))</f>
        <v>C02</v>
      </c>
      <c r="C24" s="862">
        <f ca="1">IF(ROWS($1:14)&gt;COUNT(Dong6),"",OFFSET(TH!E$1,SMALL(Dong6,ROWS($1:14)),))</f>
        <v>41471</v>
      </c>
      <c r="D24" s="864" t="str">
        <f ca="1">IF(ROWS($1:14)&gt;COUNT(Dong6),"",OFFSET(TH!F$1,SMALL(Dong6,ROWS($1:14)),))</f>
        <v>VAT Chi phí chứng thư số</v>
      </c>
      <c r="E24" s="863">
        <f t="shared" ca="1" si="0"/>
        <v>14</v>
      </c>
      <c r="F24" s="865" t="str">
        <f ca="1">IF(ROWS($1:14)&gt;COUNT(Dong6),"",OFFSET(TH!L$1,SMALL(Dong6,ROWS($1:14)),))</f>
        <v>1331</v>
      </c>
      <c r="G24" s="865" t="str">
        <f ca="1">IF(ROWS($1:14)&gt;COUNT(Dong6),"",OFFSET(TH!M$1,SMALL(Dong6,ROWS($1:14)),))</f>
        <v>1111</v>
      </c>
      <c r="H24" s="722">
        <f ca="1">IF(ROWS($1:14)&gt;COUNT(Dong6),"",OFFSET(TH!K$1,SMALL(Dong6,ROWS($1:14)),))</f>
        <v>85000</v>
      </c>
      <c r="I24" s="722">
        <f ca="1">IF(ROWS($1:14)&gt;COUNT(Dong6),"",OFFSET(TH!K$1,SMALL(Dong6,ROWS($1:14)),))</f>
        <v>85000</v>
      </c>
    </row>
    <row r="25" spans="1:9" s="854" customFormat="1" ht="21" customHeight="1">
      <c r="A25" s="862">
        <f ca="1">IF(ROWS($1:15)&gt;COUNT(Dong6),"",OFFSET(TH!C$1,SMALL(Dong6,ROWS($1:15)),))</f>
        <v>41478</v>
      </c>
      <c r="B25" s="863" t="str">
        <f ca="1">IF(ROWS($1:15)&gt;COUNT(Dong6),"",OFFSET(TH!D$1,SMALL(Dong6,ROWS($1:15)),))</f>
        <v>GBC</v>
      </c>
      <c r="C25" s="862">
        <f ca="1">IF(ROWS($1:15)&gt;COUNT(Dong6),"",OFFSET(TH!E$1,SMALL(Dong6,ROWS($1:15)),))</f>
        <v>41478</v>
      </c>
      <c r="D25" s="864" t="str">
        <f ca="1">IF(ROWS($1:15)&gt;COUNT(Dong6),"",OFFSET(TH!F$1,SMALL(Dong6,ROWS($1:15)),))</f>
        <v>Thu tiền hàng</v>
      </c>
      <c r="E25" s="863">
        <f t="shared" ca="1" si="0"/>
        <v>15</v>
      </c>
      <c r="F25" s="865" t="str">
        <f ca="1">IF(ROWS($1:15)&gt;COUNT(Dong6),"",OFFSET(TH!L$1,SMALL(Dong6,ROWS($1:15)),))</f>
        <v>1121</v>
      </c>
      <c r="G25" s="865" t="str">
        <f ca="1">IF(ROWS($1:15)&gt;COUNT(Dong6),"",OFFSET(TH!M$1,SMALL(Dong6,ROWS($1:15)),))</f>
        <v>131</v>
      </c>
      <c r="H25" s="722">
        <f ca="1">IF(ROWS($1:15)&gt;COUNT(Dong6),"",OFFSET(TH!K$1,SMALL(Dong6,ROWS($1:15)),))</f>
        <v>9873578</v>
      </c>
      <c r="I25" s="722">
        <f ca="1">IF(ROWS($1:15)&gt;COUNT(Dong6),"",OFFSET(TH!K$1,SMALL(Dong6,ROWS($1:15)),))</f>
        <v>9873578</v>
      </c>
    </row>
    <row r="26" spans="1:9" s="854" customFormat="1" ht="21" customHeight="1">
      <c r="A26" s="862">
        <f ca="1">IF(ROWS($1:16)&gt;COUNT(Dong6),"",OFFSET(TH!C$1,SMALL(Dong6,ROWS($1:16)),))</f>
        <v>41479</v>
      </c>
      <c r="B26" s="863" t="str">
        <f ca="1">IF(ROWS($1:16)&gt;COUNT(Dong6),"",OFFSET(TH!D$1,SMALL(Dong6,ROWS($1:16)),))</f>
        <v>C03</v>
      </c>
      <c r="C26" s="862">
        <f ca="1">IF(ROWS($1:16)&gt;COUNT(Dong6),"",OFFSET(TH!E$1,SMALL(Dong6,ROWS($1:16)),))</f>
        <v>41479</v>
      </c>
      <c r="D26" s="864" t="str">
        <f ca="1">IF(ROWS($1:16)&gt;COUNT(Dong6),"",OFFSET(TH!F$1,SMALL(Dong6,ROWS($1:16)),))</f>
        <v>Mực in</v>
      </c>
      <c r="E26" s="863">
        <f t="shared" ca="1" si="0"/>
        <v>16</v>
      </c>
      <c r="F26" s="865" t="str">
        <f ca="1">IF(ROWS($1:16)&gt;COUNT(Dong6),"",OFFSET(TH!L$1,SMALL(Dong6,ROWS($1:16)),))</f>
        <v>154</v>
      </c>
      <c r="G26" s="865" t="str">
        <f ca="1">IF(ROWS($1:16)&gt;COUNT(Dong6),"",OFFSET(TH!M$1,SMALL(Dong6,ROWS($1:16)),))</f>
        <v>1111</v>
      </c>
      <c r="H26" s="722">
        <f ca="1">IF(ROWS($1:16)&gt;COUNT(Dong6),"",OFFSET(TH!K$1,SMALL(Dong6,ROWS($1:16)),))</f>
        <v>2800000</v>
      </c>
      <c r="I26" s="722">
        <f ca="1">IF(ROWS($1:16)&gt;COUNT(Dong6),"",OFFSET(TH!K$1,SMALL(Dong6,ROWS($1:16)),))</f>
        <v>2800000</v>
      </c>
    </row>
    <row r="27" spans="1:9" s="854" customFormat="1" ht="21" customHeight="1">
      <c r="A27" s="862">
        <f ca="1">IF(ROWS($1:17)&gt;COUNT(Dong6),"",OFFSET(TH!C$1,SMALL(Dong6,ROWS($1:17)),))</f>
        <v>41479</v>
      </c>
      <c r="B27" s="863" t="str">
        <f ca="1">IF(ROWS($1:17)&gt;COUNT(Dong6),"",OFFSET(TH!D$1,SMALL(Dong6,ROWS($1:17)),))</f>
        <v>C03</v>
      </c>
      <c r="C27" s="862">
        <f ca="1">IF(ROWS($1:17)&gt;COUNT(Dong6),"",OFFSET(TH!E$1,SMALL(Dong6,ROWS($1:17)),))</f>
        <v>41479</v>
      </c>
      <c r="D27" s="864" t="str">
        <f ca="1">IF(ROWS($1:17)&gt;COUNT(Dong6),"",OFFSET(TH!F$1,SMALL(Dong6,ROWS($1:17)),))</f>
        <v>VAT Mực in</v>
      </c>
      <c r="E27" s="863">
        <f t="shared" ca="1" si="0"/>
        <v>17</v>
      </c>
      <c r="F27" s="865" t="str">
        <f ca="1">IF(ROWS($1:17)&gt;COUNT(Dong6),"",OFFSET(TH!L$1,SMALL(Dong6,ROWS($1:17)),))</f>
        <v>1331</v>
      </c>
      <c r="G27" s="865" t="str">
        <f ca="1">IF(ROWS($1:17)&gt;COUNT(Dong6),"",OFFSET(TH!M$1,SMALL(Dong6,ROWS($1:17)),))</f>
        <v>1111</v>
      </c>
      <c r="H27" s="722">
        <f ca="1">IF(ROWS($1:17)&gt;COUNT(Dong6),"",OFFSET(TH!K$1,SMALL(Dong6,ROWS($1:17)),))</f>
        <v>280000</v>
      </c>
      <c r="I27" s="722">
        <f ca="1">IF(ROWS($1:17)&gt;COUNT(Dong6),"",OFFSET(TH!K$1,SMALL(Dong6,ROWS($1:17)),))</f>
        <v>280000</v>
      </c>
    </row>
    <row r="28" spans="1:9" s="854" customFormat="1" ht="21" customHeight="1">
      <c r="A28" s="862">
        <f ca="1">IF(ROWS($1:18)&gt;COUNT(Dong6),"",OFFSET(TH!C$1,SMALL(Dong6,ROWS($1:18)),))</f>
        <v>41480</v>
      </c>
      <c r="B28" s="863" t="str">
        <f ca="1">IF(ROWS($1:18)&gt;COUNT(Dong6),"",OFFSET(TH!D$1,SMALL(Dong6,ROWS($1:18)),))</f>
        <v>GBC</v>
      </c>
      <c r="C28" s="862">
        <f ca="1">IF(ROWS($1:18)&gt;COUNT(Dong6),"",OFFSET(TH!E$1,SMALL(Dong6,ROWS($1:18)),))</f>
        <v>41480</v>
      </c>
      <c r="D28" s="864" t="str">
        <f ca="1">IF(ROWS($1:18)&gt;COUNT(Dong6),"",OFFSET(TH!F$1,SMALL(Dong6,ROWS($1:18)),))</f>
        <v>Thu tiền hàng</v>
      </c>
      <c r="E28" s="863">
        <f t="shared" ca="1" si="0"/>
        <v>18</v>
      </c>
      <c r="F28" s="865" t="str">
        <f ca="1">IF(ROWS($1:18)&gt;COUNT(Dong6),"",OFFSET(TH!L$1,SMALL(Dong6,ROWS($1:18)),))</f>
        <v>1121</v>
      </c>
      <c r="G28" s="865" t="str">
        <f ca="1">IF(ROWS($1:18)&gt;COUNT(Dong6),"",OFFSET(TH!M$1,SMALL(Dong6,ROWS($1:18)),))</f>
        <v>131</v>
      </c>
      <c r="H28" s="722">
        <f ca="1">IF(ROWS($1:18)&gt;COUNT(Dong6),"",OFFSET(TH!K$1,SMALL(Dong6,ROWS($1:18)),))</f>
        <v>20754363</v>
      </c>
      <c r="I28" s="722">
        <f ca="1">IF(ROWS($1:18)&gt;COUNT(Dong6),"",OFFSET(TH!K$1,SMALL(Dong6,ROWS($1:18)),))</f>
        <v>20754363</v>
      </c>
    </row>
    <row r="29" spans="1:9" s="854" customFormat="1" ht="21" customHeight="1">
      <c r="A29" s="862">
        <f ca="1">IF(ROWS($1:19)&gt;COUNT(Dong6),"",OFFSET(TH!C$1,SMALL(Dong6,ROWS($1:19)),))</f>
        <v>41480</v>
      </c>
      <c r="B29" s="863" t="str">
        <f ca="1">IF(ROWS($1:19)&gt;COUNT(Dong6),"",OFFSET(TH!D$1,SMALL(Dong6,ROWS($1:19)),))</f>
        <v>GBC</v>
      </c>
      <c r="C29" s="862">
        <f ca="1">IF(ROWS($1:19)&gt;COUNT(Dong6),"",OFFSET(TH!E$1,SMALL(Dong6,ROWS($1:19)),))</f>
        <v>41480</v>
      </c>
      <c r="D29" s="864" t="str">
        <f ca="1">IF(ROWS($1:19)&gt;COUNT(Dong6),"",OFFSET(TH!F$1,SMALL(Dong6,ROWS($1:19)),))</f>
        <v>Lãi tiền gửi</v>
      </c>
      <c r="E29" s="863">
        <f t="shared" ca="1" si="0"/>
        <v>19</v>
      </c>
      <c r="F29" s="865" t="str">
        <f ca="1">IF(ROWS($1:19)&gt;COUNT(Dong6),"",OFFSET(TH!L$1,SMALL(Dong6,ROWS($1:19)),))</f>
        <v>1121</v>
      </c>
      <c r="G29" s="865" t="str">
        <f ca="1">IF(ROWS($1:19)&gt;COUNT(Dong6),"",OFFSET(TH!M$1,SMALL(Dong6,ROWS($1:19)),))</f>
        <v>515</v>
      </c>
      <c r="H29" s="722">
        <f ca="1">IF(ROWS($1:19)&gt;COUNT(Dong6),"",OFFSET(TH!K$1,SMALL(Dong6,ROWS($1:19)),))</f>
        <v>1736</v>
      </c>
      <c r="I29" s="722">
        <f ca="1">IF(ROWS($1:19)&gt;COUNT(Dong6),"",OFFSET(TH!K$1,SMALL(Dong6,ROWS($1:19)),))</f>
        <v>1736</v>
      </c>
    </row>
    <row r="30" spans="1:9" s="854" customFormat="1" ht="21" customHeight="1">
      <c r="A30" s="862">
        <f ca="1">IF(ROWS($1:20)&gt;COUNT(Dong6),"",OFFSET(TH!C$1,SMALL(Dong6,ROWS($1:20)),))</f>
        <v>41480</v>
      </c>
      <c r="B30" s="863" t="str">
        <f ca="1">IF(ROWS($1:20)&gt;COUNT(Dong6),"",OFFSET(TH!D$1,SMALL(Dong6,ROWS($1:20)),))</f>
        <v>C04</v>
      </c>
      <c r="C30" s="862">
        <f ca="1">IF(ROWS($1:20)&gt;COUNT(Dong6),"",OFFSET(TH!E$1,SMALL(Dong6,ROWS($1:20)),))</f>
        <v>41480</v>
      </c>
      <c r="D30" s="864" t="str">
        <f ca="1">IF(ROWS($1:20)&gt;COUNT(Dong6),"",OFFSET(TH!F$1,SMALL(Dong6,ROWS($1:20)),))</f>
        <v>Mực in</v>
      </c>
      <c r="E30" s="863">
        <f t="shared" ca="1" si="0"/>
        <v>20</v>
      </c>
      <c r="F30" s="865" t="str">
        <f ca="1">IF(ROWS($1:20)&gt;COUNT(Dong6),"",OFFSET(TH!L$1,SMALL(Dong6,ROWS($1:20)),))</f>
        <v>154</v>
      </c>
      <c r="G30" s="865" t="str">
        <f ca="1">IF(ROWS($1:20)&gt;COUNT(Dong6),"",OFFSET(TH!M$1,SMALL(Dong6,ROWS($1:20)),))</f>
        <v>1111</v>
      </c>
      <c r="H30" s="722">
        <f ca="1">IF(ROWS($1:20)&gt;COUNT(Dong6),"",OFFSET(TH!K$1,SMALL(Dong6,ROWS($1:20)),))</f>
        <v>660000</v>
      </c>
      <c r="I30" s="722">
        <f ca="1">IF(ROWS($1:20)&gt;COUNT(Dong6),"",OFFSET(TH!K$1,SMALL(Dong6,ROWS($1:20)),))</f>
        <v>660000</v>
      </c>
    </row>
    <row r="31" spans="1:9" s="854" customFormat="1" ht="21" customHeight="1">
      <c r="A31" s="862">
        <f ca="1">IF(ROWS($1:21)&gt;COUNT(Dong6),"",OFFSET(TH!C$1,SMALL(Dong6,ROWS($1:21)),))</f>
        <v>41480</v>
      </c>
      <c r="B31" s="863" t="str">
        <f ca="1">IF(ROWS($1:21)&gt;COUNT(Dong6),"",OFFSET(TH!D$1,SMALL(Dong6,ROWS($1:21)),))</f>
        <v>C04</v>
      </c>
      <c r="C31" s="862">
        <f ca="1">IF(ROWS($1:21)&gt;COUNT(Dong6),"",OFFSET(TH!E$1,SMALL(Dong6,ROWS($1:21)),))</f>
        <v>41480</v>
      </c>
      <c r="D31" s="864" t="str">
        <f ca="1">IF(ROWS($1:21)&gt;COUNT(Dong6),"",OFFSET(TH!F$1,SMALL(Dong6,ROWS($1:21)),))</f>
        <v>VAT Mực in</v>
      </c>
      <c r="E31" s="863">
        <f t="shared" ca="1" si="0"/>
        <v>21</v>
      </c>
      <c r="F31" s="865" t="str">
        <f ca="1">IF(ROWS($1:21)&gt;COUNT(Dong6),"",OFFSET(TH!L$1,SMALL(Dong6,ROWS($1:21)),))</f>
        <v>1331</v>
      </c>
      <c r="G31" s="865" t="str">
        <f ca="1">IF(ROWS($1:21)&gt;COUNT(Dong6),"",OFFSET(TH!M$1,SMALL(Dong6,ROWS($1:21)),))</f>
        <v>1111</v>
      </c>
      <c r="H31" s="722">
        <f ca="1">IF(ROWS($1:21)&gt;COUNT(Dong6),"",OFFSET(TH!K$1,SMALL(Dong6,ROWS($1:21)),))</f>
        <v>66000</v>
      </c>
      <c r="I31" s="722">
        <f ca="1">IF(ROWS($1:21)&gt;COUNT(Dong6),"",OFFSET(TH!K$1,SMALL(Dong6,ROWS($1:21)),))</f>
        <v>66000</v>
      </c>
    </row>
    <row r="32" spans="1:9" s="854" customFormat="1" ht="21" customHeight="1">
      <c r="A32" s="862">
        <f ca="1">IF(ROWS($1:22)&gt;COUNT(Dong6),"",OFFSET(TH!C$1,SMALL(Dong6,ROWS($1:22)),))</f>
        <v>41481</v>
      </c>
      <c r="B32" s="863" t="str">
        <f ca="1">IF(ROWS($1:22)&gt;COUNT(Dong6),"",OFFSET(TH!D$1,SMALL(Dong6,ROWS($1:22)),))</f>
        <v>GBC</v>
      </c>
      <c r="C32" s="862">
        <f ca="1">IF(ROWS($1:22)&gt;COUNT(Dong6),"",OFFSET(TH!E$1,SMALL(Dong6,ROWS($1:22)),))</f>
        <v>41481</v>
      </c>
      <c r="D32" s="864" t="str">
        <f ca="1">IF(ROWS($1:22)&gt;COUNT(Dong6),"",OFFSET(TH!F$1,SMALL(Dong6,ROWS($1:22)),))</f>
        <v>Thu tiền hàng</v>
      </c>
      <c r="E32" s="863">
        <f t="shared" ca="1" si="0"/>
        <v>22</v>
      </c>
      <c r="F32" s="865" t="str">
        <f ca="1">IF(ROWS($1:22)&gt;COUNT(Dong6),"",OFFSET(TH!L$1,SMALL(Dong6,ROWS($1:22)),))</f>
        <v>1121</v>
      </c>
      <c r="G32" s="865" t="str">
        <f ca="1">IF(ROWS($1:22)&gt;COUNT(Dong6),"",OFFSET(TH!M$1,SMALL(Dong6,ROWS($1:22)),))</f>
        <v>131</v>
      </c>
      <c r="H32" s="722">
        <f ca="1">IF(ROWS($1:22)&gt;COUNT(Dong6),"",OFFSET(TH!K$1,SMALL(Dong6,ROWS($1:22)),))</f>
        <v>19948170</v>
      </c>
      <c r="I32" s="722">
        <f ca="1">IF(ROWS($1:22)&gt;COUNT(Dong6),"",OFFSET(TH!K$1,SMALL(Dong6,ROWS($1:22)),))</f>
        <v>19948170</v>
      </c>
    </row>
    <row r="33" spans="1:9" s="854" customFormat="1" ht="21" customHeight="1">
      <c r="A33" s="862">
        <f ca="1">IF(ROWS($1:23)&gt;COUNT(Dong6),"",OFFSET(TH!C$1,SMALL(Dong6,ROWS($1:23)),))</f>
        <v>41481</v>
      </c>
      <c r="B33" s="863" t="str">
        <f ca="1">IF(ROWS($1:23)&gt;COUNT(Dong6),"",OFFSET(TH!D$1,SMALL(Dong6,ROWS($1:23)),))</f>
        <v>T01</v>
      </c>
      <c r="C33" s="862">
        <f ca="1">IF(ROWS($1:23)&gt;COUNT(Dong6),"",OFFSET(TH!E$1,SMALL(Dong6,ROWS($1:23)),))</f>
        <v>41481</v>
      </c>
      <c r="D33" s="864" t="str">
        <f ca="1">IF(ROWS($1:23)&gt;COUNT(Dong6),"",OFFSET(TH!F$1,SMALL(Dong6,ROWS($1:23)),))</f>
        <v>Chi sec nhập quỹ tiền mặt</v>
      </c>
      <c r="E33" s="863">
        <f t="shared" ca="1" si="0"/>
        <v>23</v>
      </c>
      <c r="F33" s="865" t="str">
        <f ca="1">IF(ROWS($1:23)&gt;COUNT(Dong6),"",OFFSET(TH!L$1,SMALL(Dong6,ROWS($1:23)),))</f>
        <v>1111</v>
      </c>
      <c r="G33" s="865" t="str">
        <f ca="1">IF(ROWS($1:23)&gt;COUNT(Dong6),"",OFFSET(TH!M$1,SMALL(Dong6,ROWS($1:23)),))</f>
        <v>1121</v>
      </c>
      <c r="H33" s="722">
        <f ca="1">IF(ROWS($1:23)&gt;COUNT(Dong6),"",OFFSET(TH!K$1,SMALL(Dong6,ROWS($1:23)),))</f>
        <v>31000000</v>
      </c>
      <c r="I33" s="722">
        <f ca="1">IF(ROWS($1:23)&gt;COUNT(Dong6),"",OFFSET(TH!K$1,SMALL(Dong6,ROWS($1:23)),))</f>
        <v>31000000</v>
      </c>
    </row>
    <row r="34" spans="1:9" s="854" customFormat="1" ht="21" customHeight="1">
      <c r="A34" s="862">
        <f ca="1">IF(ROWS($1:24)&gt;COUNT(Dong6),"",OFFSET(TH!C$1,SMALL(Dong6,ROWS($1:24)),))</f>
        <v>41481</v>
      </c>
      <c r="B34" s="863" t="str">
        <f ca="1">IF(ROWS($1:24)&gt;COUNT(Dong6),"",OFFSET(TH!D$1,SMALL(Dong6,ROWS($1:24)),))</f>
        <v>C05</v>
      </c>
      <c r="C34" s="862">
        <f ca="1">IF(ROWS($1:24)&gt;COUNT(Dong6),"",OFFSET(TH!E$1,SMALL(Dong6,ROWS($1:24)),))</f>
        <v>41481</v>
      </c>
      <c r="D34" s="864" t="str">
        <f ca="1">IF(ROWS($1:24)&gt;COUNT(Dong6),"",OFFSET(TH!F$1,SMALL(Dong6,ROWS($1:24)),))</f>
        <v>Phạt vi phạm hành chánh</v>
      </c>
      <c r="E34" s="863">
        <f t="shared" ca="1" si="0"/>
        <v>24</v>
      </c>
      <c r="F34" s="865" t="str">
        <f ca="1">IF(ROWS($1:24)&gt;COUNT(Dong6),"",OFFSET(TH!L$1,SMALL(Dong6,ROWS($1:24)),))</f>
        <v>811</v>
      </c>
      <c r="G34" s="865" t="str">
        <f ca="1">IF(ROWS($1:24)&gt;COUNT(Dong6),"",OFFSET(TH!M$1,SMALL(Dong6,ROWS($1:24)),))</f>
        <v>1111</v>
      </c>
      <c r="H34" s="722">
        <f ca="1">IF(ROWS($1:24)&gt;COUNT(Dong6),"",OFFSET(TH!K$1,SMALL(Dong6,ROWS($1:24)),))</f>
        <v>670000</v>
      </c>
      <c r="I34" s="722">
        <f ca="1">IF(ROWS($1:24)&gt;COUNT(Dong6),"",OFFSET(TH!K$1,SMALL(Dong6,ROWS($1:24)),))</f>
        <v>670000</v>
      </c>
    </row>
    <row r="35" spans="1:9" s="854" customFormat="1" ht="21" customHeight="1">
      <c r="A35" s="862">
        <f ca="1">IF(ROWS($1:25)&gt;COUNT(Dong6),"",OFFSET(TH!C$1,SMALL(Dong6,ROWS($1:25)),))</f>
        <v>41485</v>
      </c>
      <c r="B35" s="863" t="str">
        <f ca="1">IF(ROWS($1:25)&gt;COUNT(Dong6),"",OFFSET(TH!D$1,SMALL(Dong6,ROWS($1:25)),))</f>
        <v>GBN</v>
      </c>
      <c r="C35" s="862">
        <f ca="1">IF(ROWS($1:25)&gt;COUNT(Dong6),"",OFFSET(TH!E$1,SMALL(Dong6,ROWS($1:25)),))</f>
        <v>41485</v>
      </c>
      <c r="D35" s="864" t="str">
        <f ca="1">IF(ROWS($1:25)&gt;COUNT(Dong6),"",OFFSET(TH!F$1,SMALL(Dong6,ROWS($1:25)),))</f>
        <v>Thanh toán tiền hàng</v>
      </c>
      <c r="E35" s="863">
        <f t="shared" ca="1" si="0"/>
        <v>25</v>
      </c>
      <c r="F35" s="865" t="str">
        <f ca="1">IF(ROWS($1:25)&gt;COUNT(Dong6),"",OFFSET(TH!L$1,SMALL(Dong6,ROWS($1:25)),))</f>
        <v>331</v>
      </c>
      <c r="G35" s="865" t="str">
        <f ca="1">IF(ROWS($1:25)&gt;COUNT(Dong6),"",OFFSET(TH!M$1,SMALL(Dong6,ROWS($1:25)),))</f>
        <v>1121</v>
      </c>
      <c r="H35" s="722">
        <f ca="1">IF(ROWS($1:25)&gt;COUNT(Dong6),"",OFFSET(TH!K$1,SMALL(Dong6,ROWS($1:25)),))</f>
        <v>20000000</v>
      </c>
      <c r="I35" s="722">
        <f ca="1">IF(ROWS($1:25)&gt;COUNT(Dong6),"",OFFSET(TH!K$1,SMALL(Dong6,ROWS($1:25)),))</f>
        <v>20000000</v>
      </c>
    </row>
    <row r="36" spans="1:9" s="854" customFormat="1" ht="21" customHeight="1">
      <c r="A36" s="862">
        <f ca="1">IF(ROWS($1:26)&gt;COUNT(Dong6),"",OFFSET(TH!C$1,SMALL(Dong6,ROWS($1:26)),))</f>
        <v>41492</v>
      </c>
      <c r="B36" s="863" t="str">
        <f ca="1">IF(ROWS($1:26)&gt;COUNT(Dong6),"",OFFSET(TH!D$1,SMALL(Dong6,ROWS($1:26)),))</f>
        <v>GBC</v>
      </c>
      <c r="C36" s="862">
        <f ca="1">IF(ROWS($1:26)&gt;COUNT(Dong6),"",OFFSET(TH!E$1,SMALL(Dong6,ROWS($1:26)),))</f>
        <v>41492</v>
      </c>
      <c r="D36" s="864" t="str">
        <f ca="1">IF(ROWS($1:26)&gt;COUNT(Dong6),"",OFFSET(TH!F$1,SMALL(Dong6,ROWS($1:26)),))</f>
        <v>Thu tiền hàng</v>
      </c>
      <c r="E36" s="863">
        <f t="shared" ca="1" si="0"/>
        <v>26</v>
      </c>
      <c r="F36" s="865" t="str">
        <f ca="1">IF(ROWS($1:26)&gt;COUNT(Dong6),"",OFFSET(TH!L$1,SMALL(Dong6,ROWS($1:26)),))</f>
        <v>1121</v>
      </c>
      <c r="G36" s="865" t="str">
        <f ca="1">IF(ROWS($1:26)&gt;COUNT(Dong6),"",OFFSET(TH!M$1,SMALL(Dong6,ROWS($1:26)),))</f>
        <v>131</v>
      </c>
      <c r="H36" s="722">
        <f ca="1">IF(ROWS($1:26)&gt;COUNT(Dong6),"",OFFSET(TH!K$1,SMALL(Dong6,ROWS($1:26)),))</f>
        <v>31257600</v>
      </c>
      <c r="I36" s="722">
        <f ca="1">IF(ROWS($1:26)&gt;COUNT(Dong6),"",OFFSET(TH!K$1,SMALL(Dong6,ROWS($1:26)),))</f>
        <v>31257600</v>
      </c>
    </row>
    <row r="37" spans="1:9" s="854" customFormat="1" ht="21" customHeight="1">
      <c r="A37" s="862">
        <f ca="1">IF(ROWS($1:27)&gt;COUNT(Dong6),"",OFFSET(TH!C$1,SMALL(Dong6,ROWS($1:27)),))</f>
        <v>41493</v>
      </c>
      <c r="B37" s="863" t="str">
        <f ca="1">IF(ROWS($1:27)&gt;COUNT(Dong6),"",OFFSET(TH!D$1,SMALL(Dong6,ROWS($1:27)),))</f>
        <v>GBC</v>
      </c>
      <c r="C37" s="862">
        <f ca="1">IF(ROWS($1:27)&gt;COUNT(Dong6),"",OFFSET(TH!E$1,SMALL(Dong6,ROWS($1:27)),))</f>
        <v>41493</v>
      </c>
      <c r="D37" s="864" t="str">
        <f ca="1">IF(ROWS($1:27)&gt;COUNT(Dong6),"",OFFSET(TH!F$1,SMALL(Dong6,ROWS($1:27)),))</f>
        <v>Thu tiền hàng</v>
      </c>
      <c r="E37" s="863">
        <f t="shared" ca="1" si="0"/>
        <v>27</v>
      </c>
      <c r="F37" s="865" t="str">
        <f ca="1">IF(ROWS($1:27)&gt;COUNT(Dong6),"",OFFSET(TH!L$1,SMALL(Dong6,ROWS($1:27)),))</f>
        <v>1121</v>
      </c>
      <c r="G37" s="865" t="str">
        <f ca="1">IF(ROWS($1:27)&gt;COUNT(Dong6),"",OFFSET(TH!M$1,SMALL(Dong6,ROWS($1:27)),))</f>
        <v>131</v>
      </c>
      <c r="H37" s="722">
        <f ca="1">IF(ROWS($1:27)&gt;COUNT(Dong6),"",OFFSET(TH!K$1,SMALL(Dong6,ROWS($1:27)),))</f>
        <v>7668870</v>
      </c>
      <c r="I37" s="722">
        <f ca="1">IF(ROWS($1:27)&gt;COUNT(Dong6),"",OFFSET(TH!K$1,SMALL(Dong6,ROWS($1:27)),))</f>
        <v>7668870</v>
      </c>
    </row>
    <row r="38" spans="1:9" s="854" customFormat="1" ht="21" customHeight="1">
      <c r="A38" s="862">
        <f ca="1">IF(ROWS($1:28)&gt;COUNT(Dong6),"",OFFSET(TH!C$1,SMALL(Dong6,ROWS($1:28)),))</f>
        <v>41493</v>
      </c>
      <c r="B38" s="863" t="str">
        <f ca="1">IF(ROWS($1:28)&gt;COUNT(Dong6),"",OFFSET(TH!D$1,SMALL(Dong6,ROWS($1:28)),))</f>
        <v>T02</v>
      </c>
      <c r="C38" s="862">
        <f ca="1">IF(ROWS($1:28)&gt;COUNT(Dong6),"",OFFSET(TH!E$1,SMALL(Dong6,ROWS($1:28)),))</f>
        <v>41493</v>
      </c>
      <c r="D38" s="864" t="str">
        <f ca="1">IF(ROWS($1:28)&gt;COUNT(Dong6),"",OFFSET(TH!F$1,SMALL(Dong6,ROWS($1:28)),))</f>
        <v>Chi sec nhập quỹ tiền mặt</v>
      </c>
      <c r="E38" s="863">
        <f t="shared" ca="1" si="0"/>
        <v>28</v>
      </c>
      <c r="F38" s="865" t="str">
        <f ca="1">IF(ROWS($1:28)&gt;COUNT(Dong6),"",OFFSET(TH!L$1,SMALL(Dong6,ROWS($1:28)),))</f>
        <v>1111</v>
      </c>
      <c r="G38" s="865" t="str">
        <f ca="1">IF(ROWS($1:28)&gt;COUNT(Dong6),"",OFFSET(TH!M$1,SMALL(Dong6,ROWS($1:28)),))</f>
        <v>1121</v>
      </c>
      <c r="H38" s="722">
        <f ca="1">IF(ROWS($1:28)&gt;COUNT(Dong6),"",OFFSET(TH!K$1,SMALL(Dong6,ROWS($1:28)),))</f>
        <v>39000000</v>
      </c>
      <c r="I38" s="722">
        <f ca="1">IF(ROWS($1:28)&gt;COUNT(Dong6),"",OFFSET(TH!K$1,SMALL(Dong6,ROWS($1:28)),))</f>
        <v>39000000</v>
      </c>
    </row>
    <row r="39" spans="1:9" s="854" customFormat="1" ht="21" customHeight="1">
      <c r="A39" s="862">
        <f ca="1">IF(ROWS($1:29)&gt;COUNT(Dong6),"",OFFSET(TH!C$1,SMALL(Dong6,ROWS($1:29)),))</f>
        <v>41493</v>
      </c>
      <c r="B39" s="863" t="str">
        <f ca="1">IF(ROWS($1:29)&gt;COUNT(Dong6),"",OFFSET(TH!D$1,SMALL(Dong6,ROWS($1:29)),))</f>
        <v>C06</v>
      </c>
      <c r="C39" s="862">
        <f ca="1">IF(ROWS($1:29)&gt;COUNT(Dong6),"",OFFSET(TH!E$1,SMALL(Dong6,ROWS($1:29)),))</f>
        <v>41493</v>
      </c>
      <c r="D39" s="864" t="str">
        <f ca="1">IF(ROWS($1:29)&gt;COUNT(Dong6),"",OFFSET(TH!F$1,SMALL(Dong6,ROWS($1:29)),))</f>
        <v>Cước dịch vụ viễn thông</v>
      </c>
      <c r="E39" s="863">
        <f t="shared" ca="1" si="0"/>
        <v>29</v>
      </c>
      <c r="F39" s="865" t="str">
        <f ca="1">IF(ROWS($1:29)&gt;COUNT(Dong6),"",OFFSET(TH!L$1,SMALL(Dong6,ROWS($1:29)),))</f>
        <v>642</v>
      </c>
      <c r="G39" s="865" t="str">
        <f ca="1">IF(ROWS($1:29)&gt;COUNT(Dong6),"",OFFSET(TH!M$1,SMALL(Dong6,ROWS($1:29)),))</f>
        <v>1111</v>
      </c>
      <c r="H39" s="722">
        <f ca="1">IF(ROWS($1:29)&gt;COUNT(Dong6),"",OFFSET(TH!K$1,SMALL(Dong6,ROWS($1:29)),))</f>
        <v>299871</v>
      </c>
      <c r="I39" s="722">
        <f ca="1">IF(ROWS($1:29)&gt;COUNT(Dong6),"",OFFSET(TH!K$1,SMALL(Dong6,ROWS($1:29)),))</f>
        <v>299871</v>
      </c>
    </row>
    <row r="40" spans="1:9" s="854" customFormat="1" ht="21" customHeight="1">
      <c r="A40" s="862">
        <f ca="1">IF(ROWS($1:30)&gt;COUNT(Dong6),"",OFFSET(TH!C$1,SMALL(Dong6,ROWS($1:30)),))</f>
        <v>41493</v>
      </c>
      <c r="B40" s="863" t="str">
        <f ca="1">IF(ROWS($1:30)&gt;COUNT(Dong6),"",OFFSET(TH!D$1,SMALL(Dong6,ROWS($1:30)),))</f>
        <v>C06</v>
      </c>
      <c r="C40" s="862">
        <f ca="1">IF(ROWS($1:30)&gt;COUNT(Dong6),"",OFFSET(TH!E$1,SMALL(Dong6,ROWS($1:30)),))</f>
        <v>41493</v>
      </c>
      <c r="D40" s="864" t="str">
        <f ca="1">IF(ROWS($1:30)&gt;COUNT(Dong6),"",OFFSET(TH!F$1,SMALL(Dong6,ROWS($1:30)),))</f>
        <v>VAT Cước dịch vụ viễn thông</v>
      </c>
      <c r="E40" s="863">
        <f t="shared" ca="1" si="0"/>
        <v>30</v>
      </c>
      <c r="F40" s="865" t="str">
        <f ca="1">IF(ROWS($1:30)&gt;COUNT(Dong6),"",OFFSET(TH!L$1,SMALL(Dong6,ROWS($1:30)),))</f>
        <v>1331</v>
      </c>
      <c r="G40" s="865" t="str">
        <f ca="1">IF(ROWS($1:30)&gt;COUNT(Dong6),"",OFFSET(TH!M$1,SMALL(Dong6,ROWS($1:30)),))</f>
        <v>1111</v>
      </c>
      <c r="H40" s="722">
        <f ca="1">IF(ROWS($1:30)&gt;COUNT(Dong6),"",OFFSET(TH!K$1,SMALL(Dong6,ROWS($1:30)),))</f>
        <v>29987</v>
      </c>
      <c r="I40" s="722">
        <f ca="1">IF(ROWS($1:30)&gt;COUNT(Dong6),"",OFFSET(TH!K$1,SMALL(Dong6,ROWS($1:30)),))</f>
        <v>29987</v>
      </c>
    </row>
    <row r="41" spans="1:9" s="854" customFormat="1" ht="21" customHeight="1">
      <c r="A41" s="862">
        <f ca="1">IF(ROWS($1:31)&gt;COUNT(Dong6),"",OFFSET(TH!C$1,SMALL(Dong6,ROWS($1:31)),))</f>
        <v>41496</v>
      </c>
      <c r="B41" s="863" t="str">
        <f ca="1">IF(ROWS($1:31)&gt;COUNT(Dong6),"",OFFSET(TH!D$1,SMALL(Dong6,ROWS($1:31)),))</f>
        <v>C07</v>
      </c>
      <c r="C41" s="862">
        <f ca="1">IF(ROWS($1:31)&gt;COUNT(Dong6),"",OFFSET(TH!E$1,SMALL(Dong6,ROWS($1:31)),))</f>
        <v>41496</v>
      </c>
      <c r="D41" s="864" t="str">
        <f ca="1">IF(ROWS($1:31)&gt;COUNT(Dong6),"",OFFSET(TH!F$1,SMALL(Dong6,ROWS($1:31)),))</f>
        <v>Mực in</v>
      </c>
      <c r="E41" s="863">
        <f t="shared" ref="E41:E50" ca="1" si="1">IF(D41&lt;&gt;"",ROW()-10,"")</f>
        <v>31</v>
      </c>
      <c r="F41" s="865" t="str">
        <f ca="1">IF(ROWS($1:31)&gt;COUNT(Dong6),"",OFFSET(TH!L$1,SMALL(Dong6,ROWS($1:31)),))</f>
        <v>154</v>
      </c>
      <c r="G41" s="865" t="str">
        <f ca="1">IF(ROWS($1:31)&gt;COUNT(Dong6),"",OFFSET(TH!M$1,SMALL(Dong6,ROWS($1:31)),))</f>
        <v>1111</v>
      </c>
      <c r="H41" s="722">
        <f ca="1">IF(ROWS($1:31)&gt;COUNT(Dong6),"",OFFSET(TH!K$1,SMALL(Dong6,ROWS($1:31)),))</f>
        <v>3900000</v>
      </c>
      <c r="I41" s="722">
        <f ca="1">IF(ROWS($1:31)&gt;COUNT(Dong6),"",OFFSET(TH!K$1,SMALL(Dong6,ROWS($1:31)),))</f>
        <v>3900000</v>
      </c>
    </row>
    <row r="42" spans="1:9" s="854" customFormat="1" ht="21" customHeight="1">
      <c r="A42" s="862">
        <f ca="1">IF(ROWS($1:32)&gt;COUNT(Dong6),"",OFFSET(TH!C$1,SMALL(Dong6,ROWS($1:32)),))</f>
        <v>41496</v>
      </c>
      <c r="B42" s="863" t="str">
        <f ca="1">IF(ROWS($1:32)&gt;COUNT(Dong6),"",OFFSET(TH!D$1,SMALL(Dong6,ROWS($1:32)),))</f>
        <v>C07</v>
      </c>
      <c r="C42" s="862">
        <f ca="1">IF(ROWS($1:32)&gt;COUNT(Dong6),"",OFFSET(TH!E$1,SMALL(Dong6,ROWS($1:32)),))</f>
        <v>41496</v>
      </c>
      <c r="D42" s="864" t="str">
        <f ca="1">IF(ROWS($1:32)&gt;COUNT(Dong6),"",OFFSET(TH!F$1,SMALL(Dong6,ROWS($1:32)),))</f>
        <v>VAT Mực in</v>
      </c>
      <c r="E42" s="863">
        <f t="shared" ca="1" si="1"/>
        <v>32</v>
      </c>
      <c r="F42" s="865" t="str">
        <f ca="1">IF(ROWS($1:32)&gt;COUNT(Dong6),"",OFFSET(TH!L$1,SMALL(Dong6,ROWS($1:32)),))</f>
        <v>1331</v>
      </c>
      <c r="G42" s="865" t="str">
        <f ca="1">IF(ROWS($1:32)&gt;COUNT(Dong6),"",OFFSET(TH!M$1,SMALL(Dong6,ROWS($1:32)),))</f>
        <v>1111</v>
      </c>
      <c r="H42" s="722">
        <f ca="1">IF(ROWS($1:32)&gt;COUNT(Dong6),"",OFFSET(TH!K$1,SMALL(Dong6,ROWS($1:32)),))</f>
        <v>390000</v>
      </c>
      <c r="I42" s="722">
        <f ca="1">IF(ROWS($1:32)&gt;COUNT(Dong6),"",OFFSET(TH!K$1,SMALL(Dong6,ROWS($1:32)),))</f>
        <v>390000</v>
      </c>
    </row>
    <row r="43" spans="1:9" s="854" customFormat="1" ht="21" customHeight="1">
      <c r="A43" s="862">
        <f ca="1">IF(ROWS($1:33)&gt;COUNT(Dong6),"",OFFSET(TH!C$1,SMALL(Dong6,ROWS($1:33)),))</f>
        <v>41498</v>
      </c>
      <c r="B43" s="863" t="str">
        <f ca="1">IF(ROWS($1:33)&gt;COUNT(Dong6),"",OFFSET(TH!D$1,SMALL(Dong6,ROWS($1:33)),))</f>
        <v>GBC</v>
      </c>
      <c r="C43" s="862">
        <f ca="1">IF(ROWS($1:33)&gt;COUNT(Dong6),"",OFFSET(TH!E$1,SMALL(Dong6,ROWS($1:33)),))</f>
        <v>41498</v>
      </c>
      <c r="D43" s="864" t="str">
        <f ca="1">IF(ROWS($1:33)&gt;COUNT(Dong6),"",OFFSET(TH!F$1,SMALL(Dong6,ROWS($1:33)),))</f>
        <v>Thu tiền hàng</v>
      </c>
      <c r="E43" s="863">
        <f t="shared" ca="1" si="1"/>
        <v>33</v>
      </c>
      <c r="F43" s="865" t="str">
        <f ca="1">IF(ROWS($1:33)&gt;COUNT(Dong6),"",OFFSET(TH!L$1,SMALL(Dong6,ROWS($1:33)),))</f>
        <v>1121</v>
      </c>
      <c r="G43" s="865" t="str">
        <f ca="1">IF(ROWS($1:33)&gt;COUNT(Dong6),"",OFFSET(TH!M$1,SMALL(Dong6,ROWS($1:33)),))</f>
        <v>131</v>
      </c>
      <c r="H43" s="722">
        <f ca="1">IF(ROWS($1:33)&gt;COUNT(Dong6),"",OFFSET(TH!K$1,SMALL(Dong6,ROWS($1:33)),))</f>
        <v>13769635</v>
      </c>
      <c r="I43" s="722">
        <f ca="1">IF(ROWS($1:33)&gt;COUNT(Dong6),"",OFFSET(TH!K$1,SMALL(Dong6,ROWS($1:33)),))</f>
        <v>13769635</v>
      </c>
    </row>
    <row r="44" spans="1:9" s="854" customFormat="1" ht="21" customHeight="1">
      <c r="A44" s="862">
        <f ca="1">IF(ROWS($1:34)&gt;COUNT(Dong6),"",OFFSET(TH!C$1,SMALL(Dong6,ROWS($1:34)),))</f>
        <v>41500</v>
      </c>
      <c r="B44" s="863" t="str">
        <f ca="1">IF(ROWS($1:34)&gt;COUNT(Dong6),"",OFFSET(TH!D$1,SMALL(Dong6,ROWS($1:34)),))</f>
        <v>GBC</v>
      </c>
      <c r="C44" s="862">
        <f ca="1">IF(ROWS($1:34)&gt;COUNT(Dong6),"",OFFSET(TH!E$1,SMALL(Dong6,ROWS($1:34)),))</f>
        <v>41500</v>
      </c>
      <c r="D44" s="864" t="str">
        <f ca="1">IF(ROWS($1:34)&gt;COUNT(Dong6),"",OFFSET(TH!F$1,SMALL(Dong6,ROWS($1:34)),))</f>
        <v>Thu tiền hàng</v>
      </c>
      <c r="E44" s="863">
        <f t="shared" ca="1" si="1"/>
        <v>34</v>
      </c>
      <c r="F44" s="865" t="str">
        <f ca="1">IF(ROWS($1:34)&gt;COUNT(Dong6),"",OFFSET(TH!L$1,SMALL(Dong6,ROWS($1:34)),))</f>
        <v>1121</v>
      </c>
      <c r="G44" s="865" t="str">
        <f ca="1">IF(ROWS($1:34)&gt;COUNT(Dong6),"",OFFSET(TH!M$1,SMALL(Dong6,ROWS($1:34)),))</f>
        <v>131</v>
      </c>
      <c r="H44" s="722">
        <f ca="1">IF(ROWS($1:34)&gt;COUNT(Dong6),"",OFFSET(TH!K$1,SMALL(Dong6,ROWS($1:34)),))</f>
        <v>13730475</v>
      </c>
      <c r="I44" s="722">
        <f ca="1">IF(ROWS($1:34)&gt;COUNT(Dong6),"",OFFSET(TH!K$1,SMALL(Dong6,ROWS($1:34)),))</f>
        <v>13730475</v>
      </c>
    </row>
    <row r="45" spans="1:9" s="854" customFormat="1" ht="21" customHeight="1">
      <c r="A45" s="862">
        <f ca="1">IF(ROWS($1:35)&gt;COUNT(Dong6),"",OFFSET(TH!C$1,SMALL(Dong6,ROWS($1:35)),))</f>
        <v>41500</v>
      </c>
      <c r="B45" s="863" t="str">
        <f ca="1">IF(ROWS($1:35)&gt;COUNT(Dong6),"",OFFSET(TH!D$1,SMALL(Dong6,ROWS($1:35)),))</f>
        <v>GBC</v>
      </c>
      <c r="C45" s="862">
        <f ca="1">IF(ROWS($1:35)&gt;COUNT(Dong6),"",OFFSET(TH!E$1,SMALL(Dong6,ROWS($1:35)),))</f>
        <v>41500</v>
      </c>
      <c r="D45" s="864" t="str">
        <f ca="1">IF(ROWS($1:35)&gt;COUNT(Dong6),"",OFFSET(TH!F$1,SMALL(Dong6,ROWS($1:35)),))</f>
        <v>Thu tiền hàng</v>
      </c>
      <c r="E45" s="863">
        <f t="shared" ca="1" si="1"/>
        <v>35</v>
      </c>
      <c r="F45" s="865" t="str">
        <f ca="1">IF(ROWS($1:35)&gt;COUNT(Dong6),"",OFFSET(TH!L$1,SMALL(Dong6,ROWS($1:35)),))</f>
        <v>1121</v>
      </c>
      <c r="G45" s="865" t="str">
        <f ca="1">IF(ROWS($1:35)&gt;COUNT(Dong6),"",OFFSET(TH!M$1,SMALL(Dong6,ROWS($1:35)),))</f>
        <v>131</v>
      </c>
      <c r="H45" s="722">
        <f ca="1">IF(ROWS($1:35)&gt;COUNT(Dong6),"",OFFSET(TH!K$1,SMALL(Dong6,ROWS($1:35)),))</f>
        <v>9614000</v>
      </c>
      <c r="I45" s="722">
        <f ca="1">IF(ROWS($1:35)&gt;COUNT(Dong6),"",OFFSET(TH!K$1,SMALL(Dong6,ROWS($1:35)),))</f>
        <v>9614000</v>
      </c>
    </row>
    <row r="46" spans="1:9" s="854" customFormat="1" ht="21" customHeight="1">
      <c r="A46" s="862">
        <f ca="1">IF(ROWS($1:36)&gt;COUNT(Dong6),"",OFFSET(TH!C$1,SMALL(Dong6,ROWS($1:36)),))</f>
        <v>41501</v>
      </c>
      <c r="B46" s="863" t="str">
        <f ca="1">IF(ROWS($1:36)&gt;COUNT(Dong6),"",OFFSET(TH!D$1,SMALL(Dong6,ROWS($1:36)),))</f>
        <v>GBC</v>
      </c>
      <c r="C46" s="862">
        <f ca="1">IF(ROWS($1:36)&gt;COUNT(Dong6),"",OFFSET(TH!E$1,SMALL(Dong6,ROWS($1:36)),))</f>
        <v>41501</v>
      </c>
      <c r="D46" s="864" t="str">
        <f ca="1">IF(ROWS($1:36)&gt;COUNT(Dong6),"",OFFSET(TH!F$1,SMALL(Dong6,ROWS($1:36)),))</f>
        <v>Thu tiền hàng</v>
      </c>
      <c r="E46" s="863">
        <f t="shared" ca="1" si="1"/>
        <v>36</v>
      </c>
      <c r="F46" s="865" t="str">
        <f ca="1">IF(ROWS($1:36)&gt;COUNT(Dong6),"",OFFSET(TH!L$1,SMALL(Dong6,ROWS($1:36)),))</f>
        <v>1121</v>
      </c>
      <c r="G46" s="865" t="str">
        <f ca="1">IF(ROWS($1:36)&gt;COUNT(Dong6),"",OFFSET(TH!M$1,SMALL(Dong6,ROWS($1:36)),))</f>
        <v>131</v>
      </c>
      <c r="H46" s="722">
        <f ca="1">IF(ROWS($1:36)&gt;COUNT(Dong6),"",OFFSET(TH!K$1,SMALL(Dong6,ROWS($1:36)),))</f>
        <v>14048210</v>
      </c>
      <c r="I46" s="722">
        <f ca="1">IF(ROWS($1:36)&gt;COUNT(Dong6),"",OFFSET(TH!K$1,SMALL(Dong6,ROWS($1:36)),))</f>
        <v>14048210</v>
      </c>
    </row>
    <row r="47" spans="1:9" s="854" customFormat="1" ht="21" customHeight="1">
      <c r="A47" s="862">
        <f ca="1">IF(ROWS($1:37)&gt;COUNT(Dong6),"",OFFSET(TH!C$1,SMALL(Dong6,ROWS($1:37)),))</f>
        <v>41502</v>
      </c>
      <c r="B47" s="863" t="str">
        <f ca="1">IF(ROWS($1:37)&gt;COUNT(Dong6),"",OFFSET(TH!D$1,SMALL(Dong6,ROWS($1:37)),))</f>
        <v>T03</v>
      </c>
      <c r="C47" s="862">
        <f ca="1">IF(ROWS($1:37)&gt;COUNT(Dong6),"",OFFSET(TH!E$1,SMALL(Dong6,ROWS($1:37)),))</f>
        <v>41502</v>
      </c>
      <c r="D47" s="864" t="str">
        <f ca="1">IF(ROWS($1:37)&gt;COUNT(Dong6),"",OFFSET(TH!F$1,SMALL(Dong6,ROWS($1:37)),))</f>
        <v>Chi sec nhập quỹ tiền mặt</v>
      </c>
      <c r="E47" s="863">
        <f t="shared" ca="1" si="1"/>
        <v>37</v>
      </c>
      <c r="F47" s="865" t="str">
        <f ca="1">IF(ROWS($1:37)&gt;COUNT(Dong6),"",OFFSET(TH!L$1,SMALL(Dong6,ROWS($1:37)),))</f>
        <v>1111</v>
      </c>
      <c r="G47" s="865" t="str">
        <f ca="1">IF(ROWS($1:37)&gt;COUNT(Dong6),"",OFFSET(TH!M$1,SMALL(Dong6,ROWS($1:37)),))</f>
        <v>1121</v>
      </c>
      <c r="H47" s="722">
        <f ca="1">IF(ROWS($1:37)&gt;COUNT(Dong6),"",OFFSET(TH!K$1,SMALL(Dong6,ROWS($1:37)),))</f>
        <v>35600000</v>
      </c>
      <c r="I47" s="722">
        <f ca="1">IF(ROWS($1:37)&gt;COUNT(Dong6),"",OFFSET(TH!K$1,SMALL(Dong6,ROWS($1:37)),))</f>
        <v>35600000</v>
      </c>
    </row>
    <row r="48" spans="1:9" s="854" customFormat="1" ht="21" customHeight="1">
      <c r="A48" s="862">
        <f ca="1">IF(ROWS($1:38)&gt;COUNT(Dong6),"",OFFSET(TH!C$1,SMALL(Dong6,ROWS($1:38)),))</f>
        <v>41502</v>
      </c>
      <c r="B48" s="863" t="str">
        <f ca="1">IF(ROWS($1:38)&gt;COUNT(Dong6),"",OFFSET(TH!D$1,SMALL(Dong6,ROWS($1:38)),))</f>
        <v>GBN</v>
      </c>
      <c r="C48" s="862">
        <f ca="1">IF(ROWS($1:38)&gt;COUNT(Dong6),"",OFFSET(TH!E$1,SMALL(Dong6,ROWS($1:38)),))</f>
        <v>41502</v>
      </c>
      <c r="D48" s="864" t="str">
        <f ca="1">IF(ROWS($1:38)&gt;COUNT(Dong6),"",OFFSET(TH!F$1,SMALL(Dong6,ROWS($1:38)),))</f>
        <v>Thanh toán tiền hàng</v>
      </c>
      <c r="E48" s="863">
        <f t="shared" ca="1" si="1"/>
        <v>38</v>
      </c>
      <c r="F48" s="865" t="str">
        <f ca="1">IF(ROWS($1:38)&gt;COUNT(Dong6),"",OFFSET(TH!L$1,SMALL(Dong6,ROWS($1:38)),))</f>
        <v>331</v>
      </c>
      <c r="G48" s="865" t="str">
        <f ca="1">IF(ROWS($1:38)&gt;COUNT(Dong6),"",OFFSET(TH!M$1,SMALL(Dong6,ROWS($1:38)),))</f>
        <v>1121</v>
      </c>
      <c r="H48" s="722">
        <f ca="1">IF(ROWS($1:38)&gt;COUNT(Dong6),"",OFFSET(TH!K$1,SMALL(Dong6,ROWS($1:38)),))</f>
        <v>15500000</v>
      </c>
      <c r="I48" s="722">
        <f ca="1">IF(ROWS($1:38)&gt;COUNT(Dong6),"",OFFSET(TH!K$1,SMALL(Dong6,ROWS($1:38)),))</f>
        <v>15500000</v>
      </c>
    </row>
    <row r="49" spans="1:10" s="854" customFormat="1" ht="21" customHeight="1">
      <c r="A49" s="862">
        <f ca="1">IF(ROWS($1:39)&gt;COUNT(Dong6),"",OFFSET(TH!C$1,SMALL(Dong6,ROWS($1:39)),))</f>
        <v>41502</v>
      </c>
      <c r="B49" s="863" t="str">
        <f ca="1">IF(ROWS($1:39)&gt;COUNT(Dong6),"",OFFSET(TH!D$1,SMALL(Dong6,ROWS($1:39)),))</f>
        <v>GBN</v>
      </c>
      <c r="C49" s="862">
        <f ca="1">IF(ROWS($1:39)&gt;COUNT(Dong6),"",OFFSET(TH!E$1,SMALL(Dong6,ROWS($1:39)),))</f>
        <v>41502</v>
      </c>
      <c r="D49" s="864" t="str">
        <f ca="1">IF(ROWS($1:39)&gt;COUNT(Dong6),"",OFFSET(TH!F$1,SMALL(Dong6,ROWS($1:39)),))</f>
        <v>Phí chuyển tiền</v>
      </c>
      <c r="E49" s="863">
        <f t="shared" ca="1" si="1"/>
        <v>39</v>
      </c>
      <c r="F49" s="865" t="str">
        <f ca="1">IF(ROWS($1:39)&gt;COUNT(Dong6),"",OFFSET(TH!L$1,SMALL(Dong6,ROWS($1:39)),))</f>
        <v>642</v>
      </c>
      <c r="G49" s="865" t="str">
        <f ca="1">IF(ROWS($1:39)&gt;COUNT(Dong6),"",OFFSET(TH!M$1,SMALL(Dong6,ROWS($1:39)),))</f>
        <v>1121</v>
      </c>
      <c r="H49" s="722">
        <f ca="1">IF(ROWS($1:39)&gt;COUNT(Dong6),"",OFFSET(TH!K$1,SMALL(Dong6,ROWS($1:39)),))</f>
        <v>15000</v>
      </c>
      <c r="I49" s="722">
        <f ca="1">IF(ROWS($1:39)&gt;COUNT(Dong6),"",OFFSET(TH!K$1,SMALL(Dong6,ROWS($1:39)),))</f>
        <v>15000</v>
      </c>
    </row>
    <row r="50" spans="1:10" s="854" customFormat="1" ht="21" customHeight="1">
      <c r="A50" s="862">
        <f ca="1">IF(ROWS($1:40)&gt;COUNT(Dong6),"",OFFSET(TH!C$1,SMALL(Dong6,ROWS($1:40)),))</f>
        <v>41505</v>
      </c>
      <c r="B50" s="863" t="str">
        <f ca="1">IF(ROWS($1:40)&gt;COUNT(Dong6),"",OFFSET(TH!D$1,SMALL(Dong6,ROWS($1:40)),))</f>
        <v>GBC</v>
      </c>
      <c r="C50" s="862">
        <f ca="1">IF(ROWS($1:40)&gt;COUNT(Dong6),"",OFFSET(TH!E$1,SMALL(Dong6,ROWS($1:40)),))</f>
        <v>41505</v>
      </c>
      <c r="D50" s="864" t="str">
        <f ca="1">IF(ROWS($1:40)&gt;COUNT(Dong6),"",OFFSET(TH!F$1,SMALL(Dong6,ROWS($1:40)),))</f>
        <v>Thu tiền hàng</v>
      </c>
      <c r="E50" s="863">
        <f t="shared" ca="1" si="1"/>
        <v>40</v>
      </c>
      <c r="F50" s="865" t="str">
        <f ca="1">IF(ROWS($1:40)&gt;COUNT(Dong6),"",OFFSET(TH!L$1,SMALL(Dong6,ROWS($1:40)),))</f>
        <v>1121</v>
      </c>
      <c r="G50" s="865" t="str">
        <f ca="1">IF(ROWS($1:40)&gt;COUNT(Dong6),"",OFFSET(TH!M$1,SMALL(Dong6,ROWS($1:40)),))</f>
        <v>131</v>
      </c>
      <c r="H50" s="722">
        <f ca="1">IF(ROWS($1:40)&gt;COUNT(Dong6),"",OFFSET(TH!K$1,SMALL(Dong6,ROWS($1:40)),))</f>
        <v>21154375</v>
      </c>
      <c r="I50" s="722">
        <f ca="1">IF(ROWS($1:40)&gt;COUNT(Dong6),"",OFFSET(TH!K$1,SMALL(Dong6,ROWS($1:40)),))</f>
        <v>21154375</v>
      </c>
    </row>
    <row r="51" spans="1:10" s="854" customFormat="1" ht="21" customHeight="1">
      <c r="A51" s="862"/>
      <c r="B51" s="863"/>
      <c r="C51" s="862"/>
      <c r="D51" s="864"/>
      <c r="E51" s="863"/>
      <c r="F51" s="865"/>
      <c r="G51" s="865"/>
      <c r="H51" s="722"/>
      <c r="I51" s="722"/>
    </row>
    <row r="52" spans="1:10" s="854" customFormat="1" ht="21" customHeight="1">
      <c r="A52" s="866"/>
      <c r="B52" s="866"/>
      <c r="C52" s="866"/>
      <c r="D52" s="867" t="s">
        <v>362</v>
      </c>
      <c r="E52" s="868" t="s">
        <v>19</v>
      </c>
      <c r="F52" s="868"/>
      <c r="G52" s="868" t="s">
        <v>19</v>
      </c>
      <c r="H52" s="869">
        <f ca="1">SUBTOTAL(9,$H$10:$H$51)</f>
        <v>5151750921</v>
      </c>
      <c r="I52" s="869">
        <f ca="1">SUBTOTAL(9,I10:I51)</f>
        <v>5151750921</v>
      </c>
    </row>
    <row r="53" spans="1:10" s="854" customFormat="1" ht="15">
      <c r="A53" s="870" t="s">
        <v>491</v>
      </c>
    </row>
    <row r="54" spans="1:10" s="854" customFormat="1" ht="15">
      <c r="A54" s="870" t="str">
        <f ca="1">"- Ngày mở sổ: "&amp;DAY($A$11)&amp;"/"&amp;MONTH($A$11)&amp;"/ " &amp;YEAR($A$11)</f>
        <v>- Ngày mở sổ: 1/7/ 2013</v>
      </c>
    </row>
    <row r="55" spans="1:10" s="854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871"/>
      <c r="J55" s="871"/>
    </row>
    <row r="56" spans="1:10" s="854" customFormat="1" ht="15">
      <c r="B56" s="871" t="s">
        <v>359</v>
      </c>
      <c r="D56" s="871" t="s">
        <v>12</v>
      </c>
      <c r="H56" s="871" t="s">
        <v>360</v>
      </c>
      <c r="I56" s="871"/>
      <c r="J56" s="871"/>
    </row>
    <row r="57" spans="1:10" s="854" customFormat="1" ht="15">
      <c r="B57" s="871" t="s">
        <v>13</v>
      </c>
      <c r="D57" s="871" t="s">
        <v>13</v>
      </c>
      <c r="H57" s="871" t="s">
        <v>136</v>
      </c>
      <c r="I57" s="871"/>
      <c r="J57" s="871"/>
    </row>
    <row r="58" spans="1:10" s="854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75" t="s">
        <v>145</v>
      </c>
      <c r="H2" s="975"/>
      <c r="I2" s="975"/>
    </row>
    <row r="3" spans="1:9" ht="15.75" customHeight="1">
      <c r="A3" s="1" t="str">
        <f>TH!A2</f>
        <v>Địa chỉ: 1A227/1 Ấp 1, Phạm Văn Hai, Bình Chánh, TPHCM</v>
      </c>
      <c r="G3" s="976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76"/>
      <c r="I3" s="976"/>
    </row>
    <row r="4" spans="1:9">
      <c r="F4" s="17"/>
      <c r="G4" s="976"/>
      <c r="H4" s="976"/>
      <c r="I4" s="976"/>
    </row>
    <row r="5" spans="1:9" ht="17.25" customHeight="1">
      <c r="A5" s="977" t="s">
        <v>146</v>
      </c>
      <c r="B5" s="977"/>
      <c r="C5" s="977"/>
      <c r="D5" s="977"/>
      <c r="E5" s="977"/>
      <c r="F5" s="977"/>
      <c r="G5" s="977"/>
      <c r="H5" s="977"/>
      <c r="I5" s="977"/>
    </row>
    <row r="6" spans="1:9">
      <c r="A6" s="978" t="s">
        <v>147</v>
      </c>
      <c r="B6" s="979"/>
      <c r="C6" s="979"/>
      <c r="D6" s="979"/>
      <c r="E6" s="979"/>
      <c r="F6" s="979"/>
      <c r="G6" s="979"/>
      <c r="H6" s="979"/>
      <c r="I6" s="979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9" t="s">
        <v>29</v>
      </c>
      <c r="B9" s="980"/>
      <c r="C9" s="980"/>
      <c r="D9" s="980"/>
      <c r="E9" s="980"/>
      <c r="F9" s="980"/>
      <c r="G9" s="980"/>
      <c r="H9" s="980"/>
      <c r="I9" s="980"/>
    </row>
    <row r="10" spans="1:9" ht="9.75" customHeight="1">
      <c r="C10" s="981"/>
      <c r="D10" s="982"/>
      <c r="E10" s="982"/>
      <c r="F10" s="982"/>
      <c r="G10" s="982"/>
      <c r="H10" s="982"/>
      <c r="I10" s="982"/>
    </row>
    <row r="11" spans="1:9" s="18" customFormat="1" ht="19.5" customHeight="1">
      <c r="A11" s="983" t="s">
        <v>20</v>
      </c>
      <c r="B11" s="973" t="s">
        <v>1</v>
      </c>
      <c r="C11" s="984"/>
      <c r="D11" s="983" t="s">
        <v>0</v>
      </c>
      <c r="E11" s="983" t="s">
        <v>14</v>
      </c>
      <c r="F11" s="973" t="s">
        <v>21</v>
      </c>
      <c r="G11" s="984"/>
      <c r="H11" s="973" t="s">
        <v>31</v>
      </c>
      <c r="I11" s="974"/>
    </row>
    <row r="12" spans="1:9" s="18" customFormat="1" ht="32.25" customHeight="1">
      <c r="A12" s="983"/>
      <c r="B12" s="242" t="s">
        <v>15</v>
      </c>
      <c r="C12" s="242" t="s">
        <v>32</v>
      </c>
      <c r="D12" s="983"/>
      <c r="E12" s="983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100679402</v>
      </c>
      <c r="H15" s="247">
        <f ca="1">IF(D15&lt;&gt;"",MAX(H14+F15-G15-I14,0),0)</f>
        <v>0</v>
      </c>
      <c r="I15" s="247">
        <f ca="1">IF(D15&lt;&gt;"",MAX(I14+G15-H14-F15,0),0)</f>
        <v>100679402</v>
      </c>
    </row>
    <row r="16" spans="1:9" s="18" customFormat="1" ht="18" customHeight="1">
      <c r="A16" s="199">
        <f ca="1">IF(ROWS($1:2)&gt;COUNT(Dong5),"",OFFSET(TH!C$1,SMALL(Dong5,ROWS($1:2)),))</f>
        <v>41305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41305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5880000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94799402</v>
      </c>
    </row>
    <row r="17" spans="1:9" s="18" customFormat="1" ht="18" customHeight="1">
      <c r="A17" s="199">
        <f ca="1">IF(ROWS($1:3)&gt;COUNT(Dong5),"",OFFSET(TH!C$1,SMALL(Dong5,ROWS($1:3)),))</f>
        <v>41333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41333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5700000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89099402</v>
      </c>
    </row>
    <row r="18" spans="1:9" s="18" customFormat="1" ht="18" customHeight="1">
      <c r="A18" s="199">
        <f ca="1">IF(ROWS($1:4)&gt;COUNT(Dong5),"",OFFSET(TH!C$1,SMALL(Dong5,ROWS($1:4)),))</f>
        <v>41364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41364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5880000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83219402</v>
      </c>
    </row>
    <row r="19" spans="1:9" s="18" customFormat="1" ht="18" customHeight="1">
      <c r="A19" s="199">
        <f ca="1">IF(ROWS($1:5)&gt;COUNT(Dong5),"",OFFSET(TH!C$1,SMALL(Dong5,ROWS($1:5)),))</f>
        <v>41394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41394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5850000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77369402</v>
      </c>
    </row>
    <row r="20" spans="1:9" s="18" customFormat="1" ht="18" customHeight="1">
      <c r="A20" s="199">
        <f ca="1">IF(ROWS($1:6)&gt;COUNT(Dong5),"",OFFSET(TH!C$1,SMALL(Dong5,ROWS($1:6)),))</f>
        <v>41425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41425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5880000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71489402</v>
      </c>
    </row>
    <row r="21" spans="1:9" s="18" customFormat="1" ht="18" customHeight="1">
      <c r="A21" s="199">
        <f ca="1">IF(ROWS($1:7)&gt;COUNT(Dong5),"",OFFSET(TH!C$1,SMALL(Dong5,ROWS($1:7)),))</f>
        <v>41455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41455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5850000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65639402</v>
      </c>
    </row>
    <row r="22" spans="1:9" s="18" customFormat="1" ht="18" customHeight="1">
      <c r="A22" s="199">
        <f ca="1">IF(ROWS($1:8)&gt;COUNT(Dong5),"",OFFSET(TH!C$1,SMALL(Dong5,ROWS($1:8)),))</f>
        <v>41486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41486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5910000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59729402</v>
      </c>
    </row>
    <row r="23" spans="1:9" s="18" customFormat="1" ht="18" customHeight="1">
      <c r="A23" s="199">
        <f ca="1">IF(ROWS($1:9)&gt;COUNT(Dong5),"",OFFSET(TH!C$1,SMALL(Dong5,ROWS($1:9)),))</f>
        <v>41517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41517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5910000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53819402</v>
      </c>
    </row>
    <row r="24" spans="1:9" s="18" customFormat="1" ht="18" customHeight="1">
      <c r="A24" s="199">
        <f ca="1">IF(ROWS($1:10)&gt;COUNT(Dong5),"",OFFSET(TH!C$1,SMALL(Dong5,ROWS($1:10)),))</f>
        <v>41547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41547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5820000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47999402</v>
      </c>
    </row>
    <row r="25" spans="1:9" s="18" customFormat="1" ht="18" customHeight="1">
      <c r="A25" s="199">
        <f ca="1">IF(ROWS($1:11)&gt;COUNT(Dong5),"",OFFSET(TH!C$1,SMALL(Dong5,ROWS($1:11)),))</f>
        <v>41578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41578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5910000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42089402</v>
      </c>
    </row>
    <row r="26" spans="1:9" s="18" customFormat="1" ht="18" customHeight="1">
      <c r="A26" s="199">
        <f ca="1">IF(ROWS($1:12)&gt;COUNT(Dong5),"",OFFSET(TH!C$1,SMALL(Dong5,ROWS($1:12)),))</f>
        <v>41608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41608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5880000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36209402</v>
      </c>
    </row>
    <row r="27" spans="1:9" s="18" customFormat="1" ht="18" customHeight="1">
      <c r="A27" s="199">
        <f ca="1">IF(ROWS($1:13)&gt;COUNT(Dong5),"",OFFSET(TH!C$1,SMALL(Dong5,ROWS($1:13)),))</f>
        <v>41639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41639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5880000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30329402</v>
      </c>
    </row>
    <row r="28" spans="1:9" s="18" customFormat="1" ht="18" customHeight="1">
      <c r="A28" s="199">
        <f ca="1">IF(ROWS($1:14)&gt;COUNT(Dong5),"",OFFSET(TH!C$1,SMALL(Dong5,ROWS($1:14)),))</f>
        <v>41276</v>
      </c>
      <c r="B28" s="199" t="str">
        <f ca="1">IF(ROWS($1:14)&gt;COUNT(Dong5),"",OFFSET(TH!D$1,SMALL(Dong5,ROWS($1:14)),))</f>
        <v>VL/N01</v>
      </c>
      <c r="C28" s="199">
        <f ca="1">IF(ROWS($1:14)&gt;COUNT(Dong5),"",OFFSET(TH!E$1,SMALL(Dong5,ROWS($1:14)),))</f>
        <v>41235</v>
      </c>
      <c r="D28" s="245" t="str">
        <f ca="1">IF(ROWS($1:14)&gt;COUNT(Dong5),"",OFFSET(TH!F$1,SMALL(Dong5,ROWS($1:14)),))</f>
        <v>VAT Dây nylon</v>
      </c>
      <c r="E28" s="199" t="str">
        <f ca="1">IF(ROWS($1:14)&gt;COUNT(Dong5),"",IF(OFFSET(TH!L$1,SMALL(Dong5,ROWS($1:14)),)=$E$7,OFFSET(TH!M$1,SMALL(Dong5,ROWS($1:14)),),OFFSET(TH!L$1,SMALL(Dong5,ROWS($1:14)),)))</f>
        <v>331</v>
      </c>
      <c r="F28" s="246">
        <f ca="1">IF(ROWS($1:14)&gt;COUNT(Dong5),0,IF(OFFSET(TH!L$1,SMALL(Dong5,ROWS($1:14)),)=$E$7,OFFSET(TH!K$1,SMALL(Dong5,ROWS($1:14)),),0))</f>
        <v>40753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30288649</v>
      </c>
    </row>
    <row r="29" spans="1:9" s="18" customFormat="1" ht="18" customHeight="1">
      <c r="A29" s="199">
        <f ca="1">IF(ROWS($1:15)&gt;COUNT(Dong5),"",OFFSET(TH!C$1,SMALL(Dong5,ROWS($1:15)),))</f>
        <v>41277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41277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20080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30268569</v>
      </c>
    </row>
    <row r="30" spans="1:9" s="18" customFormat="1" ht="18" customHeight="1">
      <c r="A30" s="199">
        <f ca="1">IF(ROWS($1:16)&gt;COUNT(Dong5),"",OFFSET(TH!C$1,SMALL(Dong5,ROWS($1:16)),))</f>
        <v>41277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41277</v>
      </c>
      <c r="D30" s="245" t="str">
        <f ca="1">IF(ROWS($1:16)&gt;COUNT(Dong5),"",OFFSET(TH!F$1,SMALL(Dong5,ROWS($1:16)),))</f>
        <v>Phí kiểm đếm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12000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30256569</v>
      </c>
    </row>
    <row r="31" spans="1:9" s="18" customFormat="1" ht="18" customHeight="1">
      <c r="A31" s="199">
        <f ca="1">IF(ROWS($1:17)&gt;COUNT(Dong5),"",OFFSET(TH!C$1,SMALL(Dong5,ROWS($1:17)),))</f>
        <v>41299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41299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10000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30246569</v>
      </c>
    </row>
    <row r="32" spans="1:9" s="18" customFormat="1" ht="18" customHeight="1">
      <c r="A32" s="199">
        <f ca="1">IF(ROWS($1:18)&gt;COUNT(Dong5),"",OFFSET(TH!C$1,SMALL(Dong5,ROWS($1:18)),))</f>
        <v>41299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41299</v>
      </c>
      <c r="D32" s="245" t="str">
        <f ca="1">IF(ROWS($1:18)&gt;COUNT(Dong5),"",OFFSET(TH!F$1,SMALL(Dong5,ROWS($1:18)),))</f>
        <v>Phí kiểm đếm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10000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30236569</v>
      </c>
    </row>
    <row r="33" spans="1:9" s="18" customFormat="1" ht="18" customHeight="1">
      <c r="A33" s="199">
        <f ca="1">IF(ROWS($1:19)&gt;COUNT(Dong5),"",OFFSET(TH!C$1,SMALL(Dong5,ROWS($1:19)),))</f>
        <v>41311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41311</v>
      </c>
      <c r="D33" s="245" t="str">
        <f ca="1">IF(ROWS($1:19)&gt;COUNT(Dong5),"",OFFSET(TH!F$1,SMALL(Dong5,ROWS($1:19)),))</f>
        <v>Phí kiểm đếm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11902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30224667</v>
      </c>
    </row>
    <row r="34" spans="1:9" s="18" customFormat="1" ht="18" customHeight="1">
      <c r="A34" s="199">
        <f ca="1">IF(ROWS($1:20)&gt;COUNT(Dong5),"",OFFSET(TH!C$1,SMALL(Dong5,ROWS($1:20)),))</f>
        <v>41311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41311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25000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30199667</v>
      </c>
    </row>
    <row r="35" spans="1:9" s="18" customFormat="1" ht="18" customHeight="1">
      <c r="A35" s="199">
        <f ca="1">IF(ROWS($1:21)&gt;COUNT(Dong5),"",OFFSET(TH!C$1,SMALL(Dong5,ROWS($1:21)),))</f>
        <v>41311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41311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20000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30179667</v>
      </c>
    </row>
    <row r="36" spans="1:9" s="18" customFormat="1" ht="18" customHeight="1">
      <c r="A36" s="199">
        <f ca="1">IF(ROWS($1:22)&gt;COUNT(Dong5),"",OFFSET(TH!C$1,SMALL(Dong5,ROWS($1:22)),))</f>
        <v>41337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41337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20000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30159667</v>
      </c>
    </row>
    <row r="37" spans="1:9" s="18" customFormat="1" ht="18" customHeight="1">
      <c r="A37" s="199">
        <f ca="1">IF(ROWS($1:23)&gt;COUNT(Dong5),"",OFFSET(TH!C$1,SMALL(Dong5,ROWS($1:23)),))</f>
        <v>41337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41337</v>
      </c>
      <c r="D37" s="245" t="str">
        <f ca="1">IF(ROWS($1:23)&gt;COUNT(Dong5),"",OFFSET(TH!F$1,SMALL(Dong5,ROWS($1:23)),))</f>
        <v>Phí kiểm đếm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10000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30149667</v>
      </c>
    </row>
    <row r="38" spans="1:9" s="18" customFormat="1" ht="18" customHeight="1">
      <c r="A38" s="199">
        <f ca="1">IF(ROWS($1:24)&gt;COUNT(Dong5),"",OFFSET(TH!C$1,SMALL(Dong5,ROWS($1:24)),))</f>
        <v>41365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41365</v>
      </c>
      <c r="D38" s="245" t="str">
        <f ca="1">IF(ROWS($1:24)&gt;COUNT(Dong5),"",OFFSET(TH!F$1,SMALL(Dong5,ROWS($1:24)),))</f>
        <v>Thu phí duy trì tài khoản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30000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30119667</v>
      </c>
    </row>
    <row r="39" spans="1:9" s="18" customFormat="1" ht="18" customHeight="1">
      <c r="A39" s="199">
        <f ca="1">IF(ROWS($1:25)&gt;COUNT(Dong5),"",OFFSET(TH!C$1,SMALL(Dong5,ROWS($1:25)),))</f>
        <v>41391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41391</v>
      </c>
      <c r="D39" s="245" t="str">
        <f ca="1">IF(ROWS($1:25)&gt;COUNT(Dong5),"",OFFSET(TH!F$1,SMALL(Dong5,ROWS($1:25)),))</f>
        <v>Phí chuyển tiền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20000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30099667</v>
      </c>
    </row>
    <row r="40" spans="1:9" s="18" customFormat="1" ht="18" customHeight="1">
      <c r="A40" s="199">
        <f ca="1">IF(ROWS($1:26)&gt;COUNT(Dong5),"",OFFSET(TH!C$1,SMALL(Dong5,ROWS($1:26)),))</f>
        <v>41391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41391</v>
      </c>
      <c r="D40" s="245" t="str">
        <f ca="1">IF(ROWS($1:26)&gt;COUNT(Dong5),"",OFFSET(TH!F$1,SMALL(Dong5,ROWS($1:26)),))</f>
        <v>Phí kiểm đếm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30084667</v>
      </c>
    </row>
    <row r="41" spans="1:9" s="18" customFormat="1" ht="18" customHeight="1">
      <c r="A41" s="199">
        <f ca="1">IF(ROWS($1:27)&gt;COUNT(Dong5),"",OFFSET(TH!C$1,SMALL(Dong5,ROWS($1:27)),))</f>
        <v>41403</v>
      </c>
      <c r="B41" s="199" t="str">
        <f ca="1">IF(ROWS($1:27)&gt;COUNT(Dong5),"",OFFSET(TH!D$1,SMALL(Dong5,ROWS($1:27)),))</f>
        <v>C03</v>
      </c>
      <c r="C41" s="199">
        <f ca="1">IF(ROWS($1:27)&gt;COUNT(Dong5),"",OFFSET(TH!E$1,SMALL(Dong5,ROWS($1:27)),))</f>
        <v>41403</v>
      </c>
      <c r="D41" s="245" t="str">
        <f ca="1">IF(ROWS($1:27)&gt;COUNT(Dong5),"",OFFSET(TH!F$1,SMALL(Dong5,ROWS($1:27)),))</f>
        <v>Văn phòng phẩm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556300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29528367</v>
      </c>
    </row>
    <row r="42" spans="1:9" s="18" customFormat="1" ht="18" customHeight="1">
      <c r="A42" s="199">
        <f ca="1">IF(ROWS($1:28)&gt;COUNT(Dong5),"",OFFSET(TH!C$1,SMALL(Dong5,ROWS($1:28)),))</f>
        <v>41411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41411</v>
      </c>
      <c r="D42" s="245" t="str">
        <f ca="1">IF(ROWS($1:28)&gt;COUNT(Dong5),"",OFFSET(TH!F$1,SMALL(Dong5,ROWS($1:28)),))</f>
        <v>Phí chuyển tiền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20000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29508367</v>
      </c>
    </row>
    <row r="43" spans="1:9" s="18" customFormat="1" ht="18" customHeight="1">
      <c r="A43" s="199">
        <f ca="1">IF(ROWS($1:29)&gt;COUNT(Dong5),"",OFFSET(TH!C$1,SMALL(Dong5,ROWS($1:29)),))</f>
        <v>41411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41411</v>
      </c>
      <c r="D43" s="245" t="str">
        <f ca="1">IF(ROWS($1:29)&gt;COUNT(Dong5),"",OFFSET(TH!F$1,SMALL(Dong5,ROWS($1:29)),))</f>
        <v>Phí bán 3 cuốn sec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29493367</v>
      </c>
    </row>
    <row r="44" spans="1:9" s="18" customFormat="1" ht="18" customHeight="1">
      <c r="A44" s="199">
        <f ca="1">IF(ROWS($1:30)&gt;COUNT(Dong5),"",OFFSET(TH!C$1,SMALL(Dong5,ROWS($1:30)),))</f>
        <v>41443</v>
      </c>
      <c r="B44" s="199" t="str">
        <f ca="1">IF(ROWS($1:30)&gt;COUNT(Dong5),"",OFFSET(TH!D$1,SMALL(Dong5,ROWS($1:30)),))</f>
        <v>C06</v>
      </c>
      <c r="C44" s="199">
        <f ca="1">IF(ROWS($1:30)&gt;COUNT(Dong5),"",OFFSET(TH!E$1,SMALL(Dong5,ROWS($1:30)),))</f>
        <v>41443</v>
      </c>
      <c r="D44" s="245" t="str">
        <f ca="1">IF(ROWS($1:30)&gt;COUNT(Dong5),"",OFFSET(TH!F$1,SMALL(Dong5,ROWS($1:30)),))</f>
        <v>Tiền điện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543634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28949733</v>
      </c>
    </row>
    <row r="45" spans="1:9" s="18" customFormat="1" ht="18" customHeight="1">
      <c r="A45" s="199">
        <f ca="1">IF(ROWS($1:31)&gt;COUNT(Dong5),"",OFFSET(TH!C$1,SMALL(Dong5,ROWS($1:31)),))</f>
        <v>41445</v>
      </c>
      <c r="B45" s="199" t="str">
        <f ca="1">IF(ROWS($1:31)&gt;COUNT(Dong5),"",OFFSET(TH!D$1,SMALL(Dong5,ROWS($1:31)),))</f>
        <v>C07</v>
      </c>
      <c r="C45" s="199">
        <f ca="1">IF(ROWS($1:31)&gt;COUNT(Dong5),"",OFFSET(TH!E$1,SMALL(Dong5,ROWS($1:31)),))</f>
        <v>41445</v>
      </c>
      <c r="D45" s="245" t="str">
        <f ca="1">IF(ROWS($1:31)&gt;COUNT(Dong5),"",OFFSET(TH!F$1,SMALL(Dong5,ROWS($1:31)),))</f>
        <v>Văn phòng phẩm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400000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28549733</v>
      </c>
    </row>
    <row r="46" spans="1:9" s="18" customFormat="1" ht="18" customHeight="1">
      <c r="A46" s="199">
        <f ca="1">IF(ROWS($1:32)&gt;COUNT(Dong5),"",OFFSET(TH!C$1,SMALL(Dong5,ROWS($1:32)),))</f>
        <v>41447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41447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28529733</v>
      </c>
    </row>
    <row r="47" spans="1:9" s="18" customFormat="1" ht="18" customHeight="1">
      <c r="A47" s="199">
        <f ca="1">IF(ROWS($1:33)&gt;COUNT(Dong5),"",OFFSET(TH!C$1,SMALL(Dong5,ROWS($1:33)),))</f>
        <v>41465</v>
      </c>
      <c r="B47" s="199" t="str">
        <f ca="1">IF(ROWS($1:33)&gt;COUNT(Dong5),"",OFFSET(TH!D$1,SMALL(Dong5,ROWS($1:33)),))</f>
        <v>C01</v>
      </c>
      <c r="C47" s="199">
        <f ca="1">IF(ROWS($1:33)&gt;COUNT(Dong5),"",OFFSET(TH!E$1,SMALL(Dong5,ROWS($1:33)),))</f>
        <v>41465</v>
      </c>
      <c r="D47" s="245" t="str">
        <f ca="1">IF(ROWS($1:33)&gt;COUNT(Dong5),"",OFFSET(TH!F$1,SMALL(Dong5,ROWS($1:33)),))</f>
        <v>Cước dịch vụ viễn thông</v>
      </c>
      <c r="E47" s="199" t="str">
        <f ca="1">IF(ROWS($1:33)&gt;COUNT(Dong5),"",IF(OFFSET(TH!L$1,SMALL(Dong5,ROWS($1:33)),)=$E$7,OFFSET(TH!M$1,SMALL(Dong5,ROWS($1:33)),),OFFSET(TH!L$1,SMALL(Dong5,ROWS($1:33)),)))</f>
        <v>1111</v>
      </c>
      <c r="F47" s="246">
        <f ca="1">IF(ROWS($1:33)&gt;COUNT(Dong5),0,IF(OFFSET(TH!L$1,SMALL(Dong5,ROWS($1:33)),)=$E$7,OFFSET(TH!K$1,SMALL(Dong5,ROWS($1:33)),),0))</f>
        <v>926339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27603394</v>
      </c>
    </row>
    <row r="48" spans="1:9" s="18" customFormat="1" ht="18" customHeight="1">
      <c r="A48" s="199">
        <f ca="1">IF(ROWS($1:34)&gt;COUNT(Dong5),"",OFFSET(TH!C$1,SMALL(Dong5,ROWS($1:34)),))</f>
        <v>41471</v>
      </c>
      <c r="B48" s="199" t="str">
        <f ca="1">IF(ROWS($1:34)&gt;COUNT(Dong5),"",OFFSET(TH!D$1,SMALL(Dong5,ROWS($1:34)),))</f>
        <v>C02</v>
      </c>
      <c r="C48" s="199">
        <f ca="1">IF(ROWS($1:34)&gt;COUNT(Dong5),"",OFFSET(TH!E$1,SMALL(Dong5,ROWS($1:34)),))</f>
        <v>41471</v>
      </c>
      <c r="D48" s="245" t="str">
        <f ca="1">IF(ROWS($1:34)&gt;COUNT(Dong5),"",OFFSET(TH!F$1,SMALL(Dong5,ROWS($1:34)),))</f>
        <v>Chi phí chứng thư số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850000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26753394</v>
      </c>
    </row>
    <row r="49" spans="1:9" s="18" customFormat="1" ht="18" customHeight="1">
      <c r="A49" s="199">
        <f ca="1">IF(ROWS($1:35)&gt;COUNT(Dong5),"",OFFSET(TH!C$1,SMALL(Dong5,ROWS($1:35)),))</f>
        <v>41493</v>
      </c>
      <c r="B49" s="199" t="str">
        <f ca="1">IF(ROWS($1:35)&gt;COUNT(Dong5),"",OFFSET(TH!D$1,SMALL(Dong5,ROWS($1:35)),))</f>
        <v>C06</v>
      </c>
      <c r="C49" s="199">
        <f ca="1">IF(ROWS($1:35)&gt;COUNT(Dong5),"",OFFSET(TH!E$1,SMALL(Dong5,ROWS($1:35)),))</f>
        <v>41493</v>
      </c>
      <c r="D49" s="245" t="str">
        <f ca="1">IF(ROWS($1:35)&gt;COUNT(Dong5),"",OFFSET(TH!F$1,SMALL(Dong5,ROWS($1:35)),))</f>
        <v>Cước dịch vụ viễn thông</v>
      </c>
      <c r="E49" s="199" t="str">
        <f ca="1">IF(ROWS($1:35)&gt;COUNT(Dong5),"",IF(OFFSET(TH!L$1,SMALL(Dong5,ROWS($1:35)),)=$E$7,OFFSET(TH!M$1,SMALL(Dong5,ROWS($1:35)),),OFFSET(TH!L$1,SMALL(Dong5,ROWS($1:35)),)))</f>
        <v>1111</v>
      </c>
      <c r="F49" s="246">
        <f ca="1">IF(ROWS($1:35)&gt;COUNT(Dong5),0,IF(OFFSET(TH!L$1,SMALL(Dong5,ROWS($1:35)),)=$E$7,OFFSET(TH!K$1,SMALL(Dong5,ROWS($1:35)),),0))</f>
        <v>299871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26453523</v>
      </c>
    </row>
    <row r="50" spans="1:9" s="18" customFormat="1" ht="18" customHeight="1">
      <c r="A50" s="199">
        <f ca="1">IF(ROWS($1:36)&gt;COUNT(Dong5),"",OFFSET(TH!C$1,SMALL(Dong5,ROWS($1:36)),))</f>
        <v>41502</v>
      </c>
      <c r="B50" s="199" t="str">
        <f ca="1">IF(ROWS($1:36)&gt;COUNT(Dong5),"",OFFSET(TH!D$1,SMALL(Dong5,ROWS($1:36)),))</f>
        <v>GBN</v>
      </c>
      <c r="C50" s="199">
        <f ca="1">IF(ROWS($1:36)&gt;COUNT(Dong5),"",OFFSET(TH!E$1,SMALL(Dong5,ROWS($1:36)),))</f>
        <v>41502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26438523</v>
      </c>
    </row>
    <row r="51" spans="1:9" s="18" customFormat="1" ht="18" customHeight="1">
      <c r="A51" s="199">
        <f ca="1">IF(ROWS($1:37)&gt;COUNT(Dong5),"",OFFSET(TH!C$1,SMALL(Dong5,ROWS($1:37)),))</f>
        <v>41522</v>
      </c>
      <c r="B51" s="199" t="str">
        <f ca="1">IF(ROWS($1:37)&gt;COUNT(Dong5),"",OFFSET(TH!D$1,SMALL(Dong5,ROWS($1:37)),))</f>
        <v>C09</v>
      </c>
      <c r="C51" s="199">
        <f ca="1">IF(ROWS($1:37)&gt;COUNT(Dong5),"",OFFSET(TH!E$1,SMALL(Dong5,ROWS($1:37)),))</f>
        <v>41522</v>
      </c>
      <c r="D51" s="245" t="str">
        <f ca="1">IF(ROWS($1:37)&gt;COUNT(Dong5),"",OFFSET(TH!F$1,SMALL(Dong5,ROWS($1:37)),))</f>
        <v>Cước dịch vụ viễn thông</v>
      </c>
      <c r="E51" s="199" t="str">
        <f ca="1">IF(ROWS($1:37)&gt;COUNT(Dong5),"",IF(OFFSET(TH!L$1,SMALL(Dong5,ROWS($1:37)),)=$E$7,OFFSET(TH!M$1,SMALL(Dong5,ROWS($1:37)),),OFFSET(TH!L$1,SMALL(Dong5,ROWS($1:37)),)))</f>
        <v>1111</v>
      </c>
      <c r="F51" s="246">
        <f ca="1">IF(ROWS($1:37)&gt;COUNT(Dong5),0,IF(OFFSET(TH!L$1,SMALL(Dong5,ROWS($1:37)),)=$E$7,OFFSET(TH!K$1,SMALL(Dong5,ROWS($1:37)),),0))</f>
        <v>451401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25987122</v>
      </c>
    </row>
    <row r="52" spans="1:9" s="18" customFormat="1" ht="18" customHeight="1">
      <c r="A52" s="199">
        <f ca="1">IF(ROWS($1:38)&gt;COUNT(Dong5),"",OFFSET(TH!C$1,SMALL(Dong5,ROWS($1:38)),))</f>
        <v>41549</v>
      </c>
      <c r="B52" s="199" t="str">
        <f ca="1">IF(ROWS($1:38)&gt;COUNT(Dong5),"",OFFSET(TH!D$1,SMALL(Dong5,ROWS($1:38)),))</f>
        <v>C01</v>
      </c>
      <c r="C52" s="199">
        <f ca="1">IF(ROWS($1:38)&gt;COUNT(Dong5),"",OFFSET(TH!E$1,SMALL(Dong5,ROWS($1:38)),))</f>
        <v>41549</v>
      </c>
      <c r="D52" s="245" t="str">
        <f ca="1">IF(ROWS($1:38)&gt;COUNT(Dong5),"",OFFSET(TH!F$1,SMALL(Dong5,ROWS($1:38)),))</f>
        <v>Cước dịch vụ viễn thông</v>
      </c>
      <c r="E52" s="199" t="str">
        <f ca="1">IF(ROWS($1:38)&gt;COUNT(Dong5),"",IF(OFFSET(TH!L$1,SMALL(Dong5,ROWS($1:38)),)=$E$7,OFFSET(TH!M$1,SMALL(Dong5,ROWS($1:38)),),OFFSET(TH!L$1,SMALL(Dong5,ROWS($1:38)),)))</f>
        <v>1111</v>
      </c>
      <c r="F52" s="246">
        <f ca="1">IF(ROWS($1:38)&gt;COUNT(Dong5),0,IF(OFFSET(TH!L$1,SMALL(Dong5,ROWS($1:38)),)=$E$7,OFFSET(TH!K$1,SMALL(Dong5,ROWS($1:38)),),0))</f>
        <v>741835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25245287</v>
      </c>
    </row>
    <row r="53" spans="1:9" s="18" customFormat="1" ht="18" customHeight="1">
      <c r="A53" s="199">
        <f ca="1">IF(ROWS($1:39)&gt;COUNT(Dong5),"",OFFSET(TH!C$1,SMALL(Dong5,ROWS($1:39)),))</f>
        <v>41577</v>
      </c>
      <c r="B53" s="199" t="str">
        <f ca="1">IF(ROWS($1:39)&gt;COUNT(Dong5),"",OFFSET(TH!D$1,SMALL(Dong5,ROWS($1:39)),))</f>
        <v>C02</v>
      </c>
      <c r="C53" s="199">
        <f ca="1">IF(ROWS($1:39)&gt;COUNT(Dong5),"",OFFSET(TH!E$1,SMALL(Dong5,ROWS($1:39)),))</f>
        <v>41577</v>
      </c>
      <c r="D53" s="245" t="str">
        <f ca="1">IF(ROWS($1:39)&gt;COUNT(Dong5),"",OFFSET(TH!F$1,SMALL(Dong5,ROWS($1:39)),))</f>
        <v>Tiền điện</v>
      </c>
      <c r="E53" s="199" t="str">
        <f ca="1">IF(ROWS($1:39)&gt;COUNT(Dong5),"",IF(OFFSET(TH!L$1,SMALL(Dong5,ROWS($1:39)),)=$E$7,OFFSET(TH!M$1,SMALL(Dong5,ROWS($1:39)),),OFFSET(TH!L$1,SMALL(Dong5,ROWS($1:39)),)))</f>
        <v>1111</v>
      </c>
      <c r="F53" s="246">
        <f ca="1">IF(ROWS($1:39)&gt;COUNT(Dong5),0,IF(OFFSET(TH!L$1,SMALL(Dong5,ROWS($1:39)),)=$E$7,OFFSET(TH!K$1,SMALL(Dong5,ROWS($1:39)),),0))</f>
        <v>1616900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23628387</v>
      </c>
    </row>
    <row r="54" spans="1:9" s="18" customFormat="1" ht="18" customHeight="1">
      <c r="A54" s="199">
        <f ca="1">IF(ROWS($1:40)&gt;COUNT(Dong5),"",OFFSET(TH!C$1,SMALL(Dong5,ROWS($1:40)),))</f>
        <v>41581</v>
      </c>
      <c r="B54" s="199" t="str">
        <f ca="1">IF(ROWS($1:40)&gt;COUNT(Dong5),"",OFFSET(TH!D$1,SMALL(Dong5,ROWS($1:40)),))</f>
        <v>C04</v>
      </c>
      <c r="C54" s="199">
        <f ca="1">IF(ROWS($1:40)&gt;COUNT(Dong5),"",OFFSET(TH!E$1,SMALL(Dong5,ROWS($1:40)),))</f>
        <v>41581</v>
      </c>
      <c r="D54" s="245" t="str">
        <f ca="1">IF(ROWS($1:40)&gt;COUNT(Dong5),"",OFFSET(TH!F$1,SMALL(Dong5,ROWS($1:40)),))</f>
        <v>Ipad 4 Retina Wifi</v>
      </c>
      <c r="E54" s="199" t="str">
        <f ca="1">IF(ROWS($1:40)&gt;COUNT(Dong5),"",IF(OFFSET(TH!L$1,SMALL(Dong5,ROWS($1:40)),)=$E$7,OFFSET(TH!M$1,SMALL(Dong5,ROWS($1:40)),),OFFSET(TH!L$1,SMALL(Dong5,ROWS($1:40)),)))</f>
        <v>1111</v>
      </c>
      <c r="F54" s="246">
        <f ca="1">IF(ROWS($1:40)&gt;COUNT(Dong5),0,IF(OFFSET(TH!L$1,SMALL(Dong5,ROWS($1:40)),)=$E$7,OFFSET(TH!K$1,SMALL(Dong5,ROWS($1:40)),),0))</f>
        <v>15445455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8182932</v>
      </c>
    </row>
    <row r="55" spans="1:9" s="18" customFormat="1" ht="18" customHeight="1">
      <c r="A55" s="199">
        <f ca="1">IF(ROWS($1:41)&gt;COUNT(Dong5),"",OFFSET(TH!C$1,SMALL(Dong5,ROWS($1:41)),))</f>
        <v>41589</v>
      </c>
      <c r="B55" s="199" t="str">
        <f ca="1">IF(ROWS($1:41)&gt;COUNT(Dong5),"",OFFSET(TH!D$1,SMALL(Dong5,ROWS($1:41)),))</f>
        <v>C05</v>
      </c>
      <c r="C55" s="199">
        <f ca="1">IF(ROWS($1:41)&gt;COUNT(Dong5),"",OFFSET(TH!E$1,SMALL(Dong5,ROWS($1:41)),))</f>
        <v>41589</v>
      </c>
      <c r="D55" s="245" t="str">
        <f ca="1">IF(ROWS($1:41)&gt;COUNT(Dong5),"",OFFSET(TH!F$1,SMALL(Dong5,ROWS($1:41)),))</f>
        <v>Văn phòng phẩm</v>
      </c>
      <c r="E55" s="199" t="str">
        <f ca="1">IF(ROWS($1:41)&gt;COUNT(Dong5),"",IF(OFFSET(TH!L$1,SMALL(Dong5,ROWS($1:41)),)=$E$7,OFFSET(TH!M$1,SMALL(Dong5,ROWS($1:41)),),OFFSET(TH!L$1,SMALL(Dong5,ROWS($1:41)),)))</f>
        <v>1111</v>
      </c>
      <c r="F55" s="246">
        <f ca="1">IF(ROWS($1:41)&gt;COUNT(Dong5),0,IF(OFFSET(TH!L$1,SMALL(Dong5,ROWS($1:41)),)=$E$7,OFFSET(TH!K$1,SMALL(Dong5,ROWS($1:41)),),0))</f>
        <v>293364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7889568</v>
      </c>
    </row>
    <row r="56" spans="1:9" s="18" customFormat="1" ht="18" customHeight="1">
      <c r="A56" s="199">
        <f ca="1">IF(ROWS($1:42)&gt;COUNT(Dong5),"",OFFSET(TH!C$1,SMALL(Dong5,ROWS($1:42)),))</f>
        <v>41591</v>
      </c>
      <c r="B56" s="199" t="str">
        <f ca="1">IF(ROWS($1:42)&gt;COUNT(Dong5),"",OFFSET(TH!D$1,SMALL(Dong5,ROWS($1:42)),))</f>
        <v>C06</v>
      </c>
      <c r="C56" s="199">
        <f ca="1">IF(ROWS($1:42)&gt;COUNT(Dong5),"",OFFSET(TH!E$1,SMALL(Dong5,ROWS($1:42)),))</f>
        <v>41591</v>
      </c>
      <c r="D56" s="245" t="str">
        <f ca="1">IF(ROWS($1:42)&gt;COUNT(Dong5),"",OFFSET(TH!F$1,SMALL(Dong5,ROWS($1:42)),))</f>
        <v>Cước dịch vụ viễn thông</v>
      </c>
      <c r="E56" s="199" t="str">
        <f ca="1">IF(ROWS($1:42)&gt;COUNT(Dong5),"",IF(OFFSET(TH!L$1,SMALL(Dong5,ROWS($1:42)),)=$E$7,OFFSET(TH!M$1,SMALL(Dong5,ROWS($1:42)),),OFFSET(TH!L$1,SMALL(Dong5,ROWS($1:42)),)))</f>
        <v>1111</v>
      </c>
      <c r="F56" s="246">
        <f ca="1">IF(ROWS($1:42)&gt;COUNT(Dong5),0,IF(OFFSET(TH!L$1,SMALL(Dong5,ROWS($1:42)),)=$E$7,OFFSET(TH!K$1,SMALL(Dong5,ROWS($1:42)),),0))</f>
        <v>1681380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6208188</v>
      </c>
    </row>
    <row r="57" spans="1:9" s="18" customFormat="1" ht="18" customHeight="1">
      <c r="A57" s="199">
        <f ca="1">IF(ROWS($1:43)&gt;COUNT(Dong5),"",OFFSET(TH!C$1,SMALL(Dong5,ROWS($1:43)),))</f>
        <v>41600</v>
      </c>
      <c r="B57" s="199" t="str">
        <f ca="1">IF(ROWS($1:43)&gt;COUNT(Dong5),"",OFFSET(TH!D$1,SMALL(Dong5,ROWS($1:43)),))</f>
        <v>C08</v>
      </c>
      <c r="C57" s="199">
        <f ca="1">IF(ROWS($1:43)&gt;COUNT(Dong5),"",OFFSET(TH!E$1,SMALL(Dong5,ROWS($1:43)),))</f>
        <v>41600</v>
      </c>
      <c r="D57" s="245" t="str">
        <f ca="1">IF(ROWS($1:43)&gt;COUNT(Dong5),"",OFFSET(TH!F$1,SMALL(Dong5,ROWS($1:43)),))</f>
        <v>Chi phí tiếp khách</v>
      </c>
      <c r="E57" s="199" t="str">
        <f ca="1">IF(ROWS($1:43)&gt;COUNT(Dong5),"",IF(OFFSET(TH!L$1,SMALL(Dong5,ROWS($1:43)),)=$E$7,OFFSET(TH!M$1,SMALL(Dong5,ROWS($1:43)),),OFFSET(TH!L$1,SMALL(Dong5,ROWS($1:43)),)))</f>
        <v>1111</v>
      </c>
      <c r="F57" s="246">
        <f ca="1">IF(ROWS($1:43)&gt;COUNT(Dong5),0,IF(OFFSET(TH!L$1,SMALL(Dong5,ROWS($1:43)),)=$E$7,OFFSET(TH!K$1,SMALL(Dong5,ROWS($1:43)),),0))</f>
        <v>1027273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5180915</v>
      </c>
    </row>
    <row r="58" spans="1:9" s="18" customFormat="1" ht="18" customHeight="1">
      <c r="A58" s="199">
        <f ca="1">IF(ROWS($1:44)&gt;COUNT(Dong5),"",OFFSET(TH!C$1,SMALL(Dong5,ROWS($1:44)),))</f>
        <v>41607</v>
      </c>
      <c r="B58" s="199" t="str">
        <f ca="1">IF(ROWS($1:44)&gt;COUNT(Dong5),"",OFFSET(TH!D$1,SMALL(Dong5,ROWS($1:44)),))</f>
        <v>C10</v>
      </c>
      <c r="C58" s="199">
        <f ca="1">IF(ROWS($1:44)&gt;COUNT(Dong5),"",OFFSET(TH!E$1,SMALL(Dong5,ROWS($1:44)),))</f>
        <v>41607</v>
      </c>
      <c r="D58" s="245" t="str">
        <f ca="1">IF(ROWS($1:44)&gt;COUNT(Dong5),"",OFFSET(TH!F$1,SMALL(Dong5,ROWS($1:44)),))</f>
        <v>Tiền điện</v>
      </c>
      <c r="E58" s="199" t="str">
        <f ca="1">IF(ROWS($1:44)&gt;COUNT(Dong5),"",IF(OFFSET(TH!L$1,SMALL(Dong5,ROWS($1:44)),)=$E$7,OFFSET(TH!M$1,SMALL(Dong5,ROWS($1:44)),),OFFSET(TH!L$1,SMALL(Dong5,ROWS($1:44)),)))</f>
        <v>1111</v>
      </c>
      <c r="F58" s="246">
        <f ca="1">IF(ROWS($1:44)&gt;COUNT(Dong5),0,IF(OFFSET(TH!L$1,SMALL(Dong5,ROWS($1:44)),)=$E$7,OFFSET(TH!K$1,SMALL(Dong5,ROWS($1:44)),),0))</f>
        <v>1131830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4049085</v>
      </c>
    </row>
    <row r="59" spans="1:9" s="18" customFormat="1" ht="18" customHeight="1">
      <c r="A59" s="199">
        <f ca="1">IF(ROWS($1:45)&gt;COUNT(Dong5),"",OFFSET(TH!C$1,SMALL(Dong5,ROWS($1:45)),))</f>
        <v>41607</v>
      </c>
      <c r="B59" s="199" t="str">
        <f ca="1">IF(ROWS($1:45)&gt;COUNT(Dong5),"",OFFSET(TH!D$1,SMALL(Dong5,ROWS($1:45)),))</f>
        <v>C11</v>
      </c>
      <c r="C59" s="199">
        <f ca="1">IF(ROWS($1:45)&gt;COUNT(Dong5),"",OFFSET(TH!E$1,SMALL(Dong5,ROWS($1:45)),))</f>
        <v>41607</v>
      </c>
      <c r="D59" s="245" t="str">
        <f ca="1">IF(ROWS($1:45)&gt;COUNT(Dong5),"",OFFSET(TH!F$1,SMALL(Dong5,ROWS($1:45)),))</f>
        <v>Băng keo</v>
      </c>
      <c r="E59" s="199" t="str">
        <f ca="1">IF(ROWS($1:45)&gt;COUNT(Dong5),"",IF(OFFSET(TH!L$1,SMALL(Dong5,ROWS($1:45)),)=$E$7,OFFSET(TH!M$1,SMALL(Dong5,ROWS($1:45)),),OFFSET(TH!L$1,SMALL(Dong5,ROWS($1:45)),)))</f>
        <v>1111</v>
      </c>
      <c r="F59" s="246">
        <f ca="1">IF(ROWS($1:45)&gt;COUNT(Dong5),0,IF(OFFSET(TH!L$1,SMALL(Dong5,ROWS($1:45)),)=$E$7,OFFSET(TH!K$1,SMALL(Dong5,ROWS($1:45)),),0))</f>
        <v>1454400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2594685</v>
      </c>
    </row>
    <row r="60" spans="1:9" s="18" customFormat="1" ht="18" customHeight="1">
      <c r="A60" s="199">
        <f ca="1">IF(ROWS($1:46)&gt;COUNT(Dong5),"",OFFSET(TH!C$1,SMALL(Dong5,ROWS($1:46)),))</f>
        <v>41616</v>
      </c>
      <c r="B60" s="199" t="str">
        <f ca="1">IF(ROWS($1:46)&gt;COUNT(Dong5),"",OFFSET(TH!D$1,SMALL(Dong5,ROWS($1:46)),))</f>
        <v>C14</v>
      </c>
      <c r="C60" s="199">
        <f ca="1">IF(ROWS($1:46)&gt;COUNT(Dong5),"",OFFSET(TH!E$1,SMALL(Dong5,ROWS($1:46)),))</f>
        <v>41616</v>
      </c>
      <c r="D60" s="245" t="str">
        <f ca="1">IF(ROWS($1:46)&gt;COUNT(Dong5),"",OFFSET(TH!F$1,SMALL(Dong5,ROWS($1:46)),))</f>
        <v>Chi phí tiếp khách</v>
      </c>
      <c r="E60" s="199" t="str">
        <f ca="1">IF(ROWS($1:46)&gt;COUNT(Dong5),"",IF(OFFSET(TH!L$1,SMALL(Dong5,ROWS($1:46)),)=$E$7,OFFSET(TH!M$1,SMALL(Dong5,ROWS($1:46)),),OFFSET(TH!L$1,SMALL(Dong5,ROWS($1:46)),)))</f>
        <v>1111</v>
      </c>
      <c r="F60" s="246">
        <f ca="1">IF(ROWS($1:46)&gt;COUNT(Dong5),0,IF(OFFSET(TH!L$1,SMALL(Dong5,ROWS($1:46)),)=$E$7,OFFSET(TH!K$1,SMALL(Dong5,ROWS($1:46)),),0))</f>
        <v>1413637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1181048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99498354</v>
      </c>
      <c r="G62" s="248">
        <f ca="1">SUM(G15:G61)</f>
        <v>100679402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1181048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71" t="str">
        <f ca="1">"Ngày 31 tháng  12  năm  "&amp;YEAR($A$15)</f>
        <v>Ngày 31 tháng  12  năm  2013</v>
      </c>
      <c r="F67" s="971"/>
      <c r="G67" s="971"/>
      <c r="H67" s="971"/>
      <c r="I67" s="971"/>
    </row>
    <row r="68" spans="1:9" s="18" customFormat="1" ht="12.75">
      <c r="A68" s="971" t="s">
        <v>11</v>
      </c>
      <c r="B68" s="971"/>
      <c r="C68" s="971"/>
      <c r="D68" s="971"/>
      <c r="E68" s="971" t="s">
        <v>12</v>
      </c>
      <c r="F68" s="971"/>
      <c r="G68" s="971"/>
      <c r="H68" s="971"/>
      <c r="I68" s="971"/>
    </row>
    <row r="69" spans="1:9" s="18" customFormat="1" ht="12.75">
      <c r="A69" s="971" t="s">
        <v>13</v>
      </c>
      <c r="B69" s="971"/>
      <c r="C69" s="971"/>
      <c r="D69" s="971"/>
      <c r="E69" s="971" t="s">
        <v>13</v>
      </c>
      <c r="F69" s="971"/>
      <c r="G69" s="971"/>
      <c r="H69" s="971"/>
      <c r="I69" s="971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2"/>
      <c r="B76" s="972"/>
      <c r="C76" s="972"/>
      <c r="D76" s="972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14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75" t="s">
        <v>119</v>
      </c>
      <c r="H1" s="975"/>
      <c r="I1" s="975"/>
      <c r="J1" s="975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7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76"/>
      <c r="I2" s="976"/>
      <c r="J2" s="976"/>
    </row>
    <row r="3" spans="1:15" s="3" customFormat="1" ht="16.5" customHeight="1">
      <c r="A3" s="4"/>
      <c r="B3" s="16"/>
      <c r="C3" s="109"/>
      <c r="D3" s="109"/>
      <c r="E3" s="16"/>
      <c r="G3" s="976"/>
      <c r="H3" s="976"/>
      <c r="I3" s="976"/>
      <c r="J3" s="976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85" t="s">
        <v>120</v>
      </c>
      <c r="B5" s="985"/>
      <c r="C5" s="985"/>
      <c r="D5" s="985"/>
      <c r="E5" s="985"/>
      <c r="F5" s="985"/>
      <c r="G5" s="985"/>
      <c r="H5" s="985"/>
      <c r="I5" s="985"/>
      <c r="J5" s="985"/>
    </row>
    <row r="6" spans="1:15" ht="14.25" customHeight="1">
      <c r="A6" s="987" t="str">
        <f ca="1">$L$11&amp;" / "&amp;YEAR($A$14)</f>
        <v>Quý III / 2013</v>
      </c>
      <c r="B6" s="987"/>
      <c r="C6" s="987"/>
      <c r="D6" s="987"/>
      <c r="E6" s="987"/>
      <c r="F6" s="987"/>
      <c r="G6" s="987"/>
      <c r="H6" s="987"/>
      <c r="I6" s="987"/>
      <c r="J6" s="987"/>
    </row>
    <row r="7" spans="1:15">
      <c r="A7" s="986" t="s">
        <v>121</v>
      </c>
      <c r="B7" s="986"/>
      <c r="C7" s="986"/>
      <c r="D7" s="986"/>
      <c r="E7" s="986"/>
      <c r="F7" s="986"/>
      <c r="G7" s="986"/>
      <c r="H7" s="986"/>
      <c r="I7" s="986"/>
      <c r="J7" s="986"/>
    </row>
    <row r="8" spans="1:15">
      <c r="A8" s="986" t="s">
        <v>122</v>
      </c>
      <c r="B8" s="986"/>
      <c r="C8" s="986"/>
      <c r="D8" s="986"/>
      <c r="E8" s="986"/>
      <c r="F8" s="986"/>
      <c r="G8" s="986"/>
      <c r="H8" s="986"/>
      <c r="I8" s="986"/>
      <c r="J8" s="986"/>
    </row>
    <row r="9" spans="1:15">
      <c r="A9" s="112"/>
      <c r="I9" s="112" t="s">
        <v>123</v>
      </c>
    </row>
    <row r="10" spans="1:15" ht="33" customHeight="1" thickBot="1">
      <c r="A10" s="989" t="s">
        <v>20</v>
      </c>
      <c r="B10" s="989" t="s">
        <v>124</v>
      </c>
      <c r="C10" s="988" t="s">
        <v>125</v>
      </c>
      <c r="D10" s="988"/>
      <c r="E10" s="988" t="s">
        <v>0</v>
      </c>
      <c r="F10" s="989" t="s">
        <v>14</v>
      </c>
      <c r="G10" s="988" t="s">
        <v>21</v>
      </c>
      <c r="H10" s="988"/>
      <c r="I10" s="988" t="s">
        <v>126</v>
      </c>
      <c r="J10" s="988" t="s">
        <v>127</v>
      </c>
      <c r="L10" s="611"/>
      <c r="N10" s="963" t="s">
        <v>335</v>
      </c>
      <c r="O10" s="963"/>
    </row>
    <row r="11" spans="1:15" ht="24" customHeight="1" thickBot="1">
      <c r="A11" s="990"/>
      <c r="B11" s="990"/>
      <c r="C11" s="113" t="s">
        <v>128</v>
      </c>
      <c r="D11" s="113" t="s">
        <v>129</v>
      </c>
      <c r="E11" s="988"/>
      <c r="F11" s="990"/>
      <c r="G11" s="113" t="s">
        <v>22</v>
      </c>
      <c r="H11" s="113" t="s">
        <v>23</v>
      </c>
      <c r="I11" s="988"/>
      <c r="J11" s="988"/>
      <c r="L11" s="178" t="s">
        <v>480</v>
      </c>
      <c r="N11" s="633">
        <f>IF(L11="Quý I",1,IF(L11="Quý II",4,IF(L11="Quý III",7,IF(L11="Quý IV",10,""))))</f>
        <v>7</v>
      </c>
      <c r="O11" s="63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4"/>
      <c r="O12" s="634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904511763</v>
      </c>
      <c r="J13" s="117"/>
      <c r="N13" s="635"/>
      <c r="O13" s="635"/>
    </row>
    <row r="14" spans="1:15" ht="21.75" customHeight="1">
      <c r="A14" s="120">
        <f ca="1">IF(ROWS($1:1)&gt;COUNT(Dong1),"",OFFSET(TH!C$1,SMALL(Dong1,ROWS($1:1)),))</f>
        <v>41486</v>
      </c>
      <c r="B14" s="120">
        <f ca="1">IF(ROWS($1:1)&gt;COUNT(Dong1),"",OFFSET(TH!E$1,SMALL(Dong1,ROWS($1:1)),))</f>
        <v>41486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7/2013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13525000</v>
      </c>
      <c r="I14" s="121">
        <f ca="1">IF(E14&lt;&gt;"",I13+G14-H14,0)</f>
        <v>890986763</v>
      </c>
      <c r="J14" s="126"/>
      <c r="N14" s="636"/>
      <c r="O14" s="636"/>
    </row>
    <row r="15" spans="1:15" ht="21.75" customHeight="1">
      <c r="A15" s="120">
        <f ca="1">IF(ROWS($1:2)&gt;COUNT(Dong1),"",OFFSET(TH!C$1,SMALL(Dong1,ROWS($1:2)),))</f>
        <v>41517</v>
      </c>
      <c r="B15" s="120">
        <f ca="1">IF(ROWS($1:2)&gt;COUNT(Dong1),"",OFFSET(TH!E$1,SMALL(Dong1,ROWS($1:2)),))</f>
        <v>41517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8/2013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13525000</v>
      </c>
      <c r="I15" s="121">
        <f t="shared" ref="I15:I62" ca="1" si="0">IF(E15&lt;&gt;"",I14+G15-H15,0)</f>
        <v>877461763</v>
      </c>
      <c r="J15" s="126"/>
      <c r="N15" s="636"/>
      <c r="O15" s="636"/>
    </row>
    <row r="16" spans="1:15" ht="21.75" customHeight="1">
      <c r="A16" s="120">
        <f ca="1">IF(ROWS($1:3)&gt;COUNT(Dong1),"",OFFSET(TH!C$1,SMALL(Dong1,ROWS($1:3)),))</f>
        <v>41547</v>
      </c>
      <c r="B16" s="120">
        <f ca="1">IF(ROWS($1:3)&gt;COUNT(Dong1),"",OFFSET(TH!E$1,SMALL(Dong1,ROWS($1:3)),))</f>
        <v>41547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9/2013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13300000</v>
      </c>
      <c r="I16" s="121">
        <f t="shared" ca="1" si="0"/>
        <v>864161763</v>
      </c>
      <c r="J16" s="126"/>
      <c r="N16" s="636"/>
      <c r="O16" s="636"/>
    </row>
    <row r="17" spans="1:15" ht="21.75" customHeight="1">
      <c r="A17" s="120">
        <f ca="1">IF(ROWS($1:4)&gt;COUNT(Dong1),"",OFFSET(TH!C$1,SMALL(Dong1,ROWS($1:4)),))</f>
        <v>41465</v>
      </c>
      <c r="B17" s="120">
        <f ca="1">IF(ROWS($1:4)&gt;COUNT(Dong1),"",OFFSET(TH!E$1,SMALL(Dong1,ROWS($1:4)),))</f>
        <v>41465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29" t="str">
        <f ca="1">IF(ROWS($1:4)&gt;COUNT(Dong1),"",OFFSET(TH!F$1,SMALL(Dong1,ROWS($1:4)),))</f>
        <v>Cước dịch vụ viễn thông</v>
      </c>
      <c r="F17" s="124" t="str">
        <f ca="1">IF(ROWS($1:4)&gt;COUNT(Dong1),"",IF(OFFSET(TH!M$1,SMALL(Dong1,ROWS($1:4)),)="1111",OFFSET(TH!L$1,SMALL(Dong1,ROWS($1:4)),),OFFSET(TH!M$1,SMALL(Dong1,ROWS($1:4)),)))</f>
        <v>642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926339</v>
      </c>
      <c r="I17" s="121">
        <f t="shared" ca="1" si="0"/>
        <v>863235424</v>
      </c>
      <c r="J17" s="126"/>
      <c r="N17" s="636"/>
      <c r="O17" s="636"/>
    </row>
    <row r="18" spans="1:15" ht="21.75" customHeight="1">
      <c r="A18" s="120">
        <f ca="1">IF(ROWS($1:5)&gt;COUNT(Dong1),"",OFFSET(TH!C$1,SMALL(Dong1,ROWS($1:5)),))</f>
        <v>41465</v>
      </c>
      <c r="B18" s="120">
        <f ca="1">IF(ROWS($1:5)&gt;COUNT(Dong1),"",OFFSET(TH!E$1,SMALL(Dong1,ROWS($1:5)),))</f>
        <v>41465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C01</v>
      </c>
      <c r="E18" s="229" t="str">
        <f ca="1">IF(ROWS($1:5)&gt;COUNT(Dong1),"",OFFSET(TH!F$1,SMALL(Dong1,ROWS($1:5)),))</f>
        <v>VAT Cước dịch vụ viễn thông</v>
      </c>
      <c r="F18" s="124" t="str">
        <f ca="1">IF(ROWS($1:5)&gt;COUNT(Dong1),"",IF(OFFSET(TH!M$1,SMALL(Dong1,ROWS($1:5)),)="1111",OFFSET(TH!L$1,SMALL(Dong1,ROWS($1:5)),),OFFSET(TH!M$1,SMALL(Dong1,ROWS($1:5)),)))</f>
        <v>1331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92633</v>
      </c>
      <c r="I18" s="121">
        <f t="shared" ca="1" si="0"/>
        <v>863142791</v>
      </c>
      <c r="J18" s="126"/>
      <c r="N18" s="636"/>
      <c r="O18" s="636"/>
    </row>
    <row r="19" spans="1:15" ht="21.75" customHeight="1">
      <c r="A19" s="120">
        <f ca="1">IF(ROWS($1:6)&gt;COUNT(Dong1),"",OFFSET(TH!C$1,SMALL(Dong1,ROWS($1:6)),))</f>
        <v>41471</v>
      </c>
      <c r="B19" s="120">
        <f ca="1">IF(ROWS($1:6)&gt;COUNT(Dong1),"",OFFSET(TH!E$1,SMALL(Dong1,ROWS($1:6)),))</f>
        <v>41471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C02</v>
      </c>
      <c r="E19" s="229" t="str">
        <f ca="1">IF(ROWS($1:6)&gt;COUNT(Dong1),"",OFFSET(TH!F$1,SMALL(Dong1,ROWS($1:6)),))</f>
        <v>Chi phí chứng thư số</v>
      </c>
      <c r="F19" s="124" t="str">
        <f ca="1">IF(ROWS($1:6)&gt;COUNT(Dong1),"",IF(OFFSET(TH!M$1,SMALL(Dong1,ROWS($1:6)),)="1111",OFFSET(TH!L$1,SMALL(Dong1,ROWS($1:6)),),OFFSET(TH!M$1,SMALL(Dong1,ROWS($1:6)),)))</f>
        <v>642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850000</v>
      </c>
      <c r="I19" s="121">
        <f t="shared" ca="1" si="0"/>
        <v>862292791</v>
      </c>
      <c r="J19" s="126"/>
      <c r="N19" s="636"/>
      <c r="O19" s="636"/>
    </row>
    <row r="20" spans="1:15" ht="21.75" customHeight="1">
      <c r="A20" s="120">
        <f ca="1">IF(ROWS($1:7)&gt;COUNT(Dong1),"",OFFSET(TH!C$1,SMALL(Dong1,ROWS($1:7)),))</f>
        <v>41471</v>
      </c>
      <c r="B20" s="120">
        <f ca="1">IF(ROWS($1:7)&gt;COUNT(Dong1),"",OFFSET(TH!E$1,SMALL(Dong1,ROWS($1:7)),))</f>
        <v>41471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C02</v>
      </c>
      <c r="E20" s="229" t="str">
        <f ca="1">IF(ROWS($1:7)&gt;COUNT(Dong1),"",OFFSET(TH!F$1,SMALL(Dong1,ROWS($1:7)),))</f>
        <v>VAT Chi phí chứng thư số</v>
      </c>
      <c r="F20" s="124" t="str">
        <f ca="1">IF(ROWS($1:7)&gt;COUNT(Dong1),"",IF(OFFSET(TH!M$1,SMALL(Dong1,ROWS($1:7)),)="1111",OFFSET(TH!L$1,SMALL(Dong1,ROWS($1:7)),),OFFSET(TH!M$1,SMALL(Dong1,ROWS($1:7)),)))</f>
        <v>1331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85000</v>
      </c>
      <c r="I20" s="121">
        <f t="shared" ca="1" si="0"/>
        <v>862207791</v>
      </c>
      <c r="J20" s="126"/>
      <c r="N20" s="636"/>
      <c r="O20" s="636"/>
    </row>
    <row r="21" spans="1:15" ht="21.75" customHeight="1">
      <c r="A21" s="120">
        <f ca="1">IF(ROWS($1:8)&gt;COUNT(Dong1),"",OFFSET(TH!C$1,SMALL(Dong1,ROWS($1:8)),))</f>
        <v>41479</v>
      </c>
      <c r="B21" s="120">
        <f ca="1">IF(ROWS($1:8)&gt;COUNT(Dong1),"",OFFSET(TH!E$1,SMALL(Dong1,ROWS($1:8)),))</f>
        <v>41479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29" t="str">
        <f ca="1">IF(ROWS($1:8)&gt;COUNT(Dong1),"",OFFSET(TH!F$1,SMALL(Dong1,ROWS($1:8)),))</f>
        <v>Mực in</v>
      </c>
      <c r="F21" s="124" t="str">
        <f ca="1">IF(ROWS($1:8)&gt;COUNT(Dong1),"",IF(OFFSET(TH!M$1,SMALL(Dong1,ROWS($1:8)),)="1111",OFFSET(TH!L$1,SMALL(Dong1,ROWS($1:8)),),OFFSET(TH!M$1,SMALL(Dong1,ROWS($1:8)),)))</f>
        <v>154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2800000</v>
      </c>
      <c r="I21" s="121">
        <f t="shared" ca="1" si="0"/>
        <v>859407791</v>
      </c>
      <c r="J21" s="126"/>
      <c r="N21" s="636"/>
      <c r="O21" s="636"/>
    </row>
    <row r="22" spans="1:15" ht="21.75" customHeight="1">
      <c r="A22" s="120">
        <f ca="1">IF(ROWS($1:9)&gt;COUNT(Dong1),"",OFFSET(TH!C$1,SMALL(Dong1,ROWS($1:9)),))</f>
        <v>41479</v>
      </c>
      <c r="B22" s="120">
        <f ca="1">IF(ROWS($1:9)&gt;COUNT(Dong1),"",OFFSET(TH!E$1,SMALL(Dong1,ROWS($1:9)),))</f>
        <v>41479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C03</v>
      </c>
      <c r="E22" s="229" t="str">
        <f ca="1">IF(ROWS($1:9)&gt;COUNT(Dong1),"",OFFSET(TH!F$1,SMALL(Dong1,ROWS($1:9)),))</f>
        <v>VAT Mực in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280000</v>
      </c>
      <c r="I22" s="121">
        <f t="shared" ca="1" si="0"/>
        <v>859127791</v>
      </c>
      <c r="J22" s="126"/>
      <c r="N22" s="636"/>
      <c r="O22" s="636"/>
    </row>
    <row r="23" spans="1:15" ht="21.75" customHeight="1">
      <c r="A23" s="120">
        <f ca="1">IF(ROWS($1:10)&gt;COUNT(Dong1),"",OFFSET(TH!C$1,SMALL(Dong1,ROWS($1:10)),))</f>
        <v>41480</v>
      </c>
      <c r="B23" s="120">
        <f ca="1">IF(ROWS($1:10)&gt;COUNT(Dong1),"",OFFSET(TH!E$1,SMALL(Dong1,ROWS($1:10)),))</f>
        <v>41480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C04</v>
      </c>
      <c r="E23" s="229" t="str">
        <f ca="1">IF(ROWS($1:10)&gt;COUNT(Dong1),"",OFFSET(TH!F$1,SMALL(Dong1,ROWS($1:10)),))</f>
        <v>Mực in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660000</v>
      </c>
      <c r="I23" s="121">
        <f t="shared" ca="1" si="0"/>
        <v>858467791</v>
      </c>
      <c r="J23" s="126"/>
      <c r="N23" s="636"/>
      <c r="O23" s="636"/>
    </row>
    <row r="24" spans="1:15" ht="21.75" customHeight="1">
      <c r="A24" s="120">
        <f ca="1">IF(ROWS($1:11)&gt;COUNT(Dong1),"",OFFSET(TH!C$1,SMALL(Dong1,ROWS($1:11)),))</f>
        <v>41480</v>
      </c>
      <c r="B24" s="120">
        <f ca="1">IF(ROWS($1:11)&gt;COUNT(Dong1),"",OFFSET(TH!E$1,SMALL(Dong1,ROWS($1:11)),))</f>
        <v>41480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C04</v>
      </c>
      <c r="E24" s="229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66000</v>
      </c>
      <c r="I24" s="121">
        <f t="shared" ca="1" si="0"/>
        <v>858401791</v>
      </c>
      <c r="J24" s="126"/>
      <c r="N24" s="636"/>
      <c r="O24" s="636"/>
    </row>
    <row r="25" spans="1:15" ht="21.75" customHeight="1">
      <c r="A25" s="120">
        <f ca="1">IF(ROWS($1:12)&gt;COUNT(Dong1),"",OFFSET(TH!C$1,SMALL(Dong1,ROWS($1:12)),))</f>
        <v>41481</v>
      </c>
      <c r="B25" s="120">
        <f ca="1">IF(ROWS($1:12)&gt;COUNT(Dong1),"",OFFSET(TH!E$1,SMALL(Dong1,ROWS($1:12)),))</f>
        <v>41481</v>
      </c>
      <c r="C25" s="121" t="str">
        <f ca="1">IF(ROWS($1:12)&gt;COUNT(Dong1),"",IF(OFFSET(TH!L$1,SMALL(Dong1,ROWS($1:12)),)="1111",OFFSET(TH!D$1,SMALL(Dong1,ROWS($1:12)),),""))</f>
        <v>T01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31000000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889401791</v>
      </c>
      <c r="J25" s="126"/>
      <c r="N25" s="636"/>
      <c r="O25" s="636"/>
    </row>
    <row r="26" spans="1:15" ht="21.75" customHeight="1">
      <c r="A26" s="120">
        <f ca="1">IF(ROWS($1:13)&gt;COUNT(Dong1),"",OFFSET(TH!C$1,SMALL(Dong1,ROWS($1:13)),))</f>
        <v>41481</v>
      </c>
      <c r="B26" s="120">
        <f ca="1">IF(ROWS($1:13)&gt;COUNT(Dong1),"",OFFSET(TH!E$1,SMALL(Dong1,ROWS($1:13)),))</f>
        <v>41481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C05</v>
      </c>
      <c r="E26" s="229" t="str">
        <f ca="1">IF(ROWS($1:13)&gt;COUNT(Dong1),"",OFFSET(TH!F$1,SMALL(Dong1,ROWS($1:13)),))</f>
        <v>Phạt vi phạm hành chánh</v>
      </c>
      <c r="F26" s="124" t="str">
        <f ca="1">IF(ROWS($1:13)&gt;COUNT(Dong1),"",IF(OFFSET(TH!M$1,SMALL(Dong1,ROWS($1:13)),)="1111",OFFSET(TH!L$1,SMALL(Dong1,ROWS($1:13)),),OFFSET(TH!M$1,SMALL(Dong1,ROWS($1:13)),)))</f>
        <v>811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670000</v>
      </c>
      <c r="I26" s="121">
        <f t="shared" ca="1" si="0"/>
        <v>888731791</v>
      </c>
      <c r="J26" s="126"/>
      <c r="N26" s="636"/>
      <c r="O26" s="636"/>
    </row>
    <row r="27" spans="1:15" ht="21.75" customHeight="1">
      <c r="A27" s="120">
        <f ca="1">IF(ROWS($1:14)&gt;COUNT(Dong1),"",OFFSET(TH!C$1,SMALL(Dong1,ROWS($1:14)),))</f>
        <v>41493</v>
      </c>
      <c r="B27" s="120">
        <f ca="1">IF(ROWS($1:14)&gt;COUNT(Dong1),"",OFFSET(TH!E$1,SMALL(Dong1,ROWS($1:14)),))</f>
        <v>41493</v>
      </c>
      <c r="C27" s="121" t="str">
        <f ca="1">IF(ROWS($1:14)&gt;COUNT(Dong1),"",IF(OFFSET(TH!L$1,SMALL(Dong1,ROWS($1:14)),)="1111",OFFSET(TH!D$1,SMALL(Dong1,ROWS($1:14)),),""))</f>
        <v>T02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39000000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927731791</v>
      </c>
      <c r="J27" s="126"/>
      <c r="N27" s="636"/>
      <c r="O27" s="636"/>
    </row>
    <row r="28" spans="1:15" ht="21.75" customHeight="1">
      <c r="A28" s="120">
        <f ca="1">IF(ROWS($1:15)&gt;COUNT(Dong1),"",OFFSET(TH!C$1,SMALL(Dong1,ROWS($1:15)),))</f>
        <v>41493</v>
      </c>
      <c r="B28" s="120">
        <f ca="1">IF(ROWS($1:15)&gt;COUNT(Dong1),"",OFFSET(TH!E$1,SMALL(Dong1,ROWS($1:15)),))</f>
        <v>41493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C06</v>
      </c>
      <c r="E28" s="229" t="str">
        <f ca="1">IF(ROWS($1:15)&gt;COUNT(Dong1),"",OFFSET(TH!F$1,SMALL(Dong1,ROWS($1:15)),))</f>
        <v>Cước dịch vụ viễn thông</v>
      </c>
      <c r="F28" s="124" t="str">
        <f ca="1">IF(ROWS($1:15)&gt;COUNT(Dong1),"",IF(OFFSET(TH!M$1,SMALL(Dong1,ROWS($1:15)),)="1111",OFFSET(TH!L$1,SMALL(Dong1,ROWS($1:15)),),OFFSET(TH!M$1,SMALL(Dong1,ROWS($1:15)),)))</f>
        <v>642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299871</v>
      </c>
      <c r="I28" s="121">
        <f t="shared" ca="1" si="0"/>
        <v>927431920</v>
      </c>
      <c r="J28" s="126"/>
      <c r="N28" s="636"/>
      <c r="O28" s="636"/>
    </row>
    <row r="29" spans="1:15" ht="21.75" customHeight="1">
      <c r="A29" s="120">
        <f ca="1">IF(ROWS($1:16)&gt;COUNT(Dong1),"",OFFSET(TH!C$1,SMALL(Dong1,ROWS($1:16)),))</f>
        <v>41493</v>
      </c>
      <c r="B29" s="120">
        <f ca="1">IF(ROWS($1:16)&gt;COUNT(Dong1),"",OFFSET(TH!E$1,SMALL(Dong1,ROWS($1:16)),))</f>
        <v>41493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C06</v>
      </c>
      <c r="E29" s="229" t="str">
        <f ca="1">IF(ROWS($1:16)&gt;COUNT(Dong1),"",OFFSET(TH!F$1,SMALL(Dong1,ROWS($1:16)),))</f>
        <v>VAT Cước dịch vụ viễn thông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29987</v>
      </c>
      <c r="I29" s="121">
        <f t="shared" ca="1" si="0"/>
        <v>927401933</v>
      </c>
      <c r="J29" s="126"/>
      <c r="N29" s="636"/>
      <c r="O29" s="636"/>
    </row>
    <row r="30" spans="1:15" ht="21.75" customHeight="1">
      <c r="A30" s="120">
        <f ca="1">IF(ROWS($1:17)&gt;COUNT(Dong1),"",OFFSET(TH!C$1,SMALL(Dong1,ROWS($1:17)),))</f>
        <v>41496</v>
      </c>
      <c r="B30" s="120">
        <f ca="1">IF(ROWS($1:17)&gt;COUNT(Dong1),"",OFFSET(TH!E$1,SMALL(Dong1,ROWS($1:17)),))</f>
        <v>41496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C07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3900000</v>
      </c>
      <c r="I30" s="121">
        <f t="shared" ca="1" si="0"/>
        <v>923501933</v>
      </c>
      <c r="J30" s="126"/>
      <c r="N30" s="636"/>
      <c r="O30" s="636"/>
    </row>
    <row r="31" spans="1:15" ht="21.75" customHeight="1">
      <c r="A31" s="120">
        <f ca="1">IF(ROWS($1:18)&gt;COUNT(Dong1),"",OFFSET(TH!C$1,SMALL(Dong1,ROWS($1:18)),))</f>
        <v>41496</v>
      </c>
      <c r="B31" s="120">
        <f ca="1">IF(ROWS($1:18)&gt;COUNT(Dong1),"",OFFSET(TH!E$1,SMALL(Dong1,ROWS($1:18)),))</f>
        <v>41496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C07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390000</v>
      </c>
      <c r="I31" s="121">
        <f t="shared" ca="1" si="0"/>
        <v>923111933</v>
      </c>
      <c r="J31" s="126"/>
      <c r="N31" s="636"/>
      <c r="O31" s="636"/>
    </row>
    <row r="32" spans="1:15" ht="21.75" customHeight="1">
      <c r="A32" s="120">
        <f ca="1">IF(ROWS($1:19)&gt;COUNT(Dong1),"",OFFSET(TH!C$1,SMALL(Dong1,ROWS($1:19)),))</f>
        <v>41502</v>
      </c>
      <c r="B32" s="120">
        <f ca="1">IF(ROWS($1:19)&gt;COUNT(Dong1),"",OFFSET(TH!E$1,SMALL(Dong1,ROWS($1:19)),))</f>
        <v>41502</v>
      </c>
      <c r="C32" s="121" t="str">
        <f ca="1">IF(ROWS($1:19)&gt;COUNT(Dong1),"",IF(OFFSET(TH!L$1,SMALL(Dong1,ROWS($1:19)),)="1111",OFFSET(TH!D$1,SMALL(Dong1,ROWS($1:19)),),""))</f>
        <v>T03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35600000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958711933</v>
      </c>
      <c r="J32" s="126"/>
      <c r="N32" s="636"/>
      <c r="O32" s="636"/>
    </row>
    <row r="33" spans="1:15" ht="21.75" customHeight="1">
      <c r="A33" s="120">
        <f ca="1">IF(ROWS($1:20)&gt;COUNT(Dong1),"",OFFSET(TH!C$1,SMALL(Dong1,ROWS($1:20)),))</f>
        <v>41509</v>
      </c>
      <c r="B33" s="120">
        <f ca="1">IF(ROWS($1:20)&gt;COUNT(Dong1),"",OFFSET(TH!E$1,SMALL(Dong1,ROWS($1:20)),))</f>
        <v>41509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C08</v>
      </c>
      <c r="E33" s="229" t="str">
        <f ca="1">IF(ROWS($1:20)&gt;COUNT(Dong1),"",OFFSET(TH!F$1,SMALL(Dong1,ROWS($1:20)),))</f>
        <v>Mực in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1000000</v>
      </c>
      <c r="I33" s="121">
        <f t="shared" ca="1" si="0"/>
        <v>957711933</v>
      </c>
      <c r="J33" s="126"/>
      <c r="N33" s="636"/>
      <c r="O33" s="636"/>
    </row>
    <row r="34" spans="1:15" ht="21.75" customHeight="1">
      <c r="A34" s="120">
        <f ca="1">IF(ROWS($1:21)&gt;COUNT(Dong1),"",OFFSET(TH!C$1,SMALL(Dong1,ROWS($1:21)),))</f>
        <v>41509</v>
      </c>
      <c r="B34" s="120">
        <f ca="1">IF(ROWS($1:21)&gt;COUNT(Dong1),"",OFFSET(TH!E$1,SMALL(Dong1,ROWS($1:21)),))</f>
        <v>41509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C08</v>
      </c>
      <c r="E34" s="229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100000</v>
      </c>
      <c r="I34" s="121">
        <f t="shared" ca="1" si="0"/>
        <v>957611933</v>
      </c>
      <c r="J34" s="126"/>
      <c r="N34" s="636"/>
      <c r="O34" s="636"/>
    </row>
    <row r="35" spans="1:15" ht="21.75" customHeight="1">
      <c r="A35" s="120">
        <f ca="1">IF(ROWS($1:22)&gt;COUNT(Dong1),"",OFFSET(TH!C$1,SMALL(Dong1,ROWS($1:22)),))</f>
        <v>41512</v>
      </c>
      <c r="B35" s="120">
        <f ca="1">IF(ROWS($1:22)&gt;COUNT(Dong1),"",OFFSET(TH!E$1,SMALL(Dong1,ROWS($1:22)),))</f>
        <v>41512</v>
      </c>
      <c r="C35" s="121" t="str">
        <f ca="1">IF(ROWS($1:22)&gt;COUNT(Dong1),"",IF(OFFSET(TH!L$1,SMALL(Dong1,ROWS($1:22)),)="1111",OFFSET(TH!D$1,SMALL(Dong1,ROWS($1:22)),),""))</f>
        <v>T04</v>
      </c>
      <c r="D35" s="122" t="str">
        <f ca="1">IF(ROWS($1:22)&gt;COUNT(Dong1),"",IF(OFFSET(TH!M$1,SMALL(Dong1,ROWS($1:22)),)="1111",OFFSET(TH!D$1,SMALL(Dong1,ROWS($1:22)),),""))</f>
        <v/>
      </c>
      <c r="E35" s="229" t="str">
        <f ca="1">IF(ROWS($1:22)&gt;COUNT(Dong1),"",OFFSET(TH!F$1,SMALL(Dong1,ROWS($1:22)),))</f>
        <v>Chi sec nhập quỹ tiền mặt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75500000</v>
      </c>
      <c r="H35" s="123">
        <f ca="1">IF(ROWS($1:22)&gt;COUNT(Dong1),"",IF(OFFSET(TH!M$1,SMALL(Dong1,ROWS($1:22)),)="1111",OFFSET(TH!K$1,SMALL(Dong1,ROWS($1:22)),),0))</f>
        <v>0</v>
      </c>
      <c r="I35" s="121">
        <f t="shared" ca="1" si="0"/>
        <v>1033111933</v>
      </c>
      <c r="J35" s="126"/>
      <c r="N35" s="636"/>
      <c r="O35" s="636"/>
    </row>
    <row r="36" spans="1:15" ht="21.75" customHeight="1">
      <c r="A36" s="120">
        <f ca="1">IF(ROWS($1:23)&gt;COUNT(Dong1),"",OFFSET(TH!C$1,SMALL(Dong1,ROWS($1:23)),))</f>
        <v>41517</v>
      </c>
      <c r="B36" s="120">
        <f ca="1">IF(ROWS($1:23)&gt;COUNT(Dong1),"",OFFSET(TH!E$1,SMALL(Dong1,ROWS($1:23)),))</f>
        <v>41517</v>
      </c>
      <c r="C36" s="121" t="str">
        <f ca="1">IF(ROWS($1:23)&gt;COUNT(Dong1),"",IF(OFFSET(TH!L$1,SMALL(Dong1,ROWS($1:23)),)="1111",OFFSET(TH!D$1,SMALL(Dong1,ROWS($1:23)),),""))</f>
        <v>T05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16700000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1049811933</v>
      </c>
      <c r="J36" s="126"/>
      <c r="N36" s="636"/>
      <c r="O36" s="636"/>
    </row>
    <row r="37" spans="1:15" ht="21.75" customHeight="1">
      <c r="A37" s="120">
        <f ca="1">IF(ROWS($1:24)&gt;COUNT(Dong1),"",OFFSET(TH!C$1,SMALL(Dong1,ROWS($1:24)),))</f>
        <v>41522</v>
      </c>
      <c r="B37" s="120">
        <f ca="1">IF(ROWS($1:24)&gt;COUNT(Dong1),"",OFFSET(TH!E$1,SMALL(Dong1,ROWS($1:24)),))</f>
        <v>41522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C09</v>
      </c>
      <c r="E37" s="229" t="str">
        <f ca="1">IF(ROWS($1:24)&gt;COUNT(Dong1),"",OFFSET(TH!F$1,SMALL(Dong1,ROWS($1:24)),))</f>
        <v>Cước dịch vụ viễn thông</v>
      </c>
      <c r="F37" s="124" t="str">
        <f ca="1">IF(ROWS($1:24)&gt;COUNT(Dong1),"",IF(OFFSET(TH!M$1,SMALL(Dong1,ROWS($1:24)),)="1111",OFFSET(TH!L$1,SMALL(Dong1,ROWS($1:24)),),OFFSET(TH!M$1,SMALL(Dong1,ROWS($1:24)),)))</f>
        <v>642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451401</v>
      </c>
      <c r="I37" s="121">
        <f t="shared" ca="1" si="0"/>
        <v>1049360532</v>
      </c>
      <c r="J37" s="126"/>
      <c r="N37" s="636"/>
      <c r="O37" s="636"/>
    </row>
    <row r="38" spans="1:15" ht="21.75" customHeight="1">
      <c r="A38" s="120">
        <f ca="1">IF(ROWS($1:25)&gt;COUNT(Dong1),"",OFFSET(TH!C$1,SMALL(Dong1,ROWS($1:25)),))</f>
        <v>41522</v>
      </c>
      <c r="B38" s="120">
        <f ca="1">IF(ROWS($1:25)&gt;COUNT(Dong1),"",OFFSET(TH!E$1,SMALL(Dong1,ROWS($1:25)),))</f>
        <v>41522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C09</v>
      </c>
      <c r="E38" s="229" t="str">
        <f ca="1">IF(ROWS($1:25)&gt;COUNT(Dong1),"",OFFSET(TH!F$1,SMALL(Dong1,ROWS($1:25)),))</f>
        <v>VAT Cước dịch vụ viễn thông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45139</v>
      </c>
      <c r="I38" s="121">
        <f t="shared" ca="1" si="0"/>
        <v>1049315393</v>
      </c>
      <c r="J38" s="126"/>
      <c r="N38" s="636"/>
      <c r="O38" s="636"/>
    </row>
    <row r="39" spans="1:15" ht="21.75" customHeight="1">
      <c r="A39" s="120">
        <f ca="1">IF(ROWS($1:26)&gt;COUNT(Dong1),"",OFFSET(TH!C$1,SMALL(Dong1,ROWS($1:26)),))</f>
        <v>41528</v>
      </c>
      <c r="B39" s="120">
        <f ca="1">IF(ROWS($1:26)&gt;COUNT(Dong1),"",OFFSET(TH!E$1,SMALL(Dong1,ROWS($1:26)),))</f>
        <v>41528</v>
      </c>
      <c r="C39" s="121" t="str">
        <f ca="1">IF(ROWS($1:26)&gt;COUNT(Dong1),"",IF(OFFSET(TH!L$1,SMALL(Dong1,ROWS($1:26)),)="1111",OFFSET(TH!D$1,SMALL(Dong1,ROWS($1:26)),),""))</f>
        <v>T06</v>
      </c>
      <c r="D39" s="122" t="str">
        <f ca="1">IF(ROWS($1:26)&gt;COUNT(Dong1),"",IF(OFFSET(TH!M$1,SMALL(Dong1,ROWS($1:26)),)="1111",OFFSET(TH!D$1,SMALL(Dong1,ROWS($1:26)),),""))</f>
        <v/>
      </c>
      <c r="E39" s="229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28800000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1078115393</v>
      </c>
      <c r="J39" s="126"/>
      <c r="N39" s="636"/>
      <c r="O39" s="636"/>
    </row>
    <row r="40" spans="1:15" ht="21.75" customHeight="1">
      <c r="A40" s="120">
        <f ca="1">IF(ROWS($1:27)&gt;COUNT(Dong1),"",OFFSET(TH!C$1,SMALL(Dong1,ROWS($1:27)),))</f>
        <v>41535</v>
      </c>
      <c r="B40" s="120">
        <f ca="1">IF(ROWS($1:27)&gt;COUNT(Dong1),"",OFFSET(TH!E$1,SMALL(Dong1,ROWS($1:27)),))</f>
        <v>41535</v>
      </c>
      <c r="C40" s="121" t="str">
        <f ca="1">IF(ROWS($1:27)&gt;COUNT(Dong1),"",IF(OFFSET(TH!L$1,SMALL(Dong1,ROWS($1:27)),)="1111",OFFSET(TH!D$1,SMALL(Dong1,ROWS($1:27)),),""))</f>
        <v>T07</v>
      </c>
      <c r="D40" s="122" t="str">
        <f ca="1">IF(ROWS($1:27)&gt;COUNT(Dong1),"",IF(OFFSET(TH!M$1,SMALL(Dong1,ROWS($1:27)),)="1111",OFFSET(TH!D$1,SMALL(Dong1,ROWS($1:27)),),""))</f>
        <v/>
      </c>
      <c r="E40" s="229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21500000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1099615393</v>
      </c>
      <c r="J40" s="126"/>
      <c r="N40" s="636"/>
      <c r="O40" s="636"/>
    </row>
    <row r="41" spans="1:15" ht="21.75" customHeight="1">
      <c r="A41" s="120">
        <f ca="1">IF(ROWS($1:28)&gt;COUNT(Dong1),"",OFFSET(TH!C$1,SMALL(Dong1,ROWS($1:28)),))</f>
        <v>41537</v>
      </c>
      <c r="B41" s="120">
        <f ca="1">IF(ROWS($1:28)&gt;COUNT(Dong1),"",OFFSET(TH!E$1,SMALL(Dong1,ROWS($1:28)),))</f>
        <v>41537</v>
      </c>
      <c r="C41" s="121" t="str">
        <f ca="1">IF(ROWS($1:28)&gt;COUNT(Dong1),"",IF(OFFSET(TH!L$1,SMALL(Dong1,ROWS($1:28)),)="1111",OFFSET(TH!D$1,SMALL(Dong1,ROWS($1:28)),),""))</f>
        <v>T08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26000000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1125615393</v>
      </c>
      <c r="J41" s="126"/>
      <c r="N41" s="636"/>
      <c r="O41" s="636"/>
    </row>
    <row r="42" spans="1:15" ht="21.75" customHeight="1">
      <c r="A42" s="120">
        <f ca="1">IF(ROWS($1:29)&gt;COUNT(Dong1),"",OFFSET(TH!C$1,SMALL(Dong1,ROWS($1:29)),))</f>
        <v>41540</v>
      </c>
      <c r="B42" s="120">
        <f ca="1">IF(ROWS($1:29)&gt;COUNT(Dong1),"",OFFSET(TH!E$1,SMALL(Dong1,ROWS($1:29)),))</f>
        <v>41540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C10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1680000</v>
      </c>
      <c r="I42" s="121">
        <f t="shared" ca="1" si="0"/>
        <v>1123935393</v>
      </c>
      <c r="J42" s="126"/>
      <c r="N42" s="636"/>
      <c r="O42" s="636"/>
    </row>
    <row r="43" spans="1:15" ht="21.75" customHeight="1">
      <c r="A43" s="120">
        <f ca="1">IF(ROWS($1:30)&gt;COUNT(Dong1),"",OFFSET(TH!C$1,SMALL(Dong1,ROWS($1:30)),))</f>
        <v>41540</v>
      </c>
      <c r="B43" s="120">
        <f ca="1">IF(ROWS($1:30)&gt;COUNT(Dong1),"",OFFSET(TH!E$1,SMALL(Dong1,ROWS($1:30)),))</f>
        <v>41540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C10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168000</v>
      </c>
      <c r="I43" s="121">
        <f t="shared" ca="1" si="0"/>
        <v>1123767393</v>
      </c>
      <c r="J43" s="126"/>
      <c r="N43" s="636"/>
      <c r="O43" s="636"/>
    </row>
    <row r="44" spans="1:15" ht="21.75" customHeight="1">
      <c r="A44" s="120">
        <f ca="1">IF(ROWS($1:31)&gt;COUNT(Dong1),"",OFFSET(TH!C$1,SMALL(Dong1,ROWS($1:31)),))</f>
        <v>41542</v>
      </c>
      <c r="B44" s="120">
        <f ca="1">IF(ROWS($1:31)&gt;COUNT(Dong1),"",OFFSET(TH!E$1,SMALL(Dong1,ROWS($1:31)),))</f>
        <v>41542</v>
      </c>
      <c r="C44" s="121" t="str">
        <f ca="1">IF(ROWS($1:31)&gt;COUNT(Dong1),"",IF(OFFSET(TH!L$1,SMALL(Dong1,ROWS($1:31)),)="1111",OFFSET(TH!D$1,SMALL(Dong1,ROWS($1:31)),),""))</f>
        <v>T09</v>
      </c>
      <c r="D44" s="122" t="str">
        <f ca="1">IF(ROWS($1:31)&gt;COUNT(Dong1),"",IF(OFFSET(TH!M$1,SMALL(Dong1,ROWS($1:31)),)="1111",OFFSET(TH!D$1,SMALL(Dong1,ROWS($1:31)),),""))</f>
        <v/>
      </c>
      <c r="E44" s="229" t="str">
        <f ca="1">IF(ROWS($1:31)&gt;COUNT(Dong1),"",OFFSET(TH!F$1,SMALL(Dong1,ROWS($1:31)),))</f>
        <v>Chi sec nhập quỹ tiền mặt</v>
      </c>
      <c r="F44" s="124" t="str">
        <f ca="1">IF(ROWS($1:31)&gt;COUNT(Dong1),"",IF(OFFSET(TH!M$1,SMALL(Dong1,ROWS($1:31)),)="1111",OFFSET(TH!L$1,SMALL(Dong1,ROWS($1:31)),),OFFSET(TH!M$1,SMALL(Dong1,ROWS($1:31)),)))</f>
        <v>1121</v>
      </c>
      <c r="G44" s="125">
        <f ca="1">IF(ROWS($1:31)&gt;COUNT(Dong1),"",IF(OFFSET(TH!L$1,SMALL(Dong1,ROWS($1:31)),)="1111",OFFSET(TH!K$1,SMALL(Dong1,ROWS($1:31)),),0))</f>
        <v>12900000</v>
      </c>
      <c r="H44" s="123">
        <f ca="1">IF(ROWS($1:31)&gt;COUNT(Dong1),"",IF(OFFSET(TH!M$1,SMALL(Dong1,ROWS($1:31)),)="1111",OFFSET(TH!K$1,SMALL(Dong1,ROWS($1:31)),),0))</f>
        <v>0</v>
      </c>
      <c r="I44" s="121">
        <f t="shared" ca="1" si="0"/>
        <v>1136667393</v>
      </c>
      <c r="J44" s="126"/>
      <c r="N44" s="636"/>
      <c r="O44" s="636"/>
    </row>
    <row r="45" spans="1:15" ht="21.75" customHeight="1">
      <c r="A45" s="120">
        <f ca="1">IF(ROWS($1:32)&gt;COUNT(Dong1),"",OFFSET(TH!C$1,SMALL(Dong1,ROWS($1:32)),))</f>
        <v>41543</v>
      </c>
      <c r="B45" s="120">
        <f ca="1">IF(ROWS($1:32)&gt;COUNT(Dong1),"",OFFSET(TH!E$1,SMALL(Dong1,ROWS($1:32)),))</f>
        <v>41543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C11</v>
      </c>
      <c r="E45" s="229" t="str">
        <f ca="1">IF(ROWS($1:32)&gt;COUNT(Dong1),"",OFFSET(TH!F$1,SMALL(Dong1,ROWS($1:32)),))</f>
        <v>Mực in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4020000</v>
      </c>
      <c r="I45" s="121">
        <f t="shared" ca="1" si="0"/>
        <v>1132647393</v>
      </c>
      <c r="J45" s="126"/>
      <c r="N45" s="636"/>
      <c r="O45" s="636"/>
    </row>
    <row r="46" spans="1:15" ht="21.75" customHeight="1">
      <c r="A46" s="120">
        <f ca="1">IF(ROWS($1:33)&gt;COUNT(Dong1),"",OFFSET(TH!C$1,SMALL(Dong1,ROWS($1:33)),))</f>
        <v>41543</v>
      </c>
      <c r="B46" s="120">
        <f ca="1">IF(ROWS($1:33)&gt;COUNT(Dong1),"",OFFSET(TH!E$1,SMALL(Dong1,ROWS($1:33)),))</f>
        <v>41543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C11</v>
      </c>
      <c r="E46" s="229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402000</v>
      </c>
      <c r="I46" s="121">
        <f t="shared" ca="1" si="0"/>
        <v>1132245393</v>
      </c>
      <c r="J46" s="126"/>
      <c r="N46" s="636"/>
      <c r="O46" s="636"/>
    </row>
    <row r="47" spans="1:15" ht="21.75" customHeight="1">
      <c r="A47" s="120">
        <f ca="1">IF(ROWS($1:34)&gt;COUNT(Dong1),"",OFFSET(TH!C$1,SMALL(Dong1,ROWS($1:34)),))</f>
        <v>41544</v>
      </c>
      <c r="B47" s="120">
        <f ca="1">IF(ROWS($1:34)&gt;COUNT(Dong1),"",OFFSET(TH!E$1,SMALL(Dong1,ROWS($1:34)),))</f>
        <v>41544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C12</v>
      </c>
      <c r="E47" s="229" t="str">
        <f ca="1">IF(ROWS($1:34)&gt;COUNT(Dong1),"",OFFSET(TH!F$1,SMALL(Dong1,ROWS($1:34)),))</f>
        <v>Mực in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3920000</v>
      </c>
      <c r="I47" s="121">
        <f t="shared" ca="1" si="0"/>
        <v>1128325393</v>
      </c>
      <c r="J47" s="126"/>
      <c r="N47" s="636"/>
      <c r="O47" s="636"/>
    </row>
    <row r="48" spans="1:15" ht="21.75" customHeight="1">
      <c r="A48" s="120">
        <f ca="1">IF(ROWS($1:35)&gt;COUNT(Dong1),"",OFFSET(TH!C$1,SMALL(Dong1,ROWS($1:35)),))</f>
        <v>41544</v>
      </c>
      <c r="B48" s="120">
        <f ca="1">IF(ROWS($1:35)&gt;COUNT(Dong1),"",OFFSET(TH!E$1,SMALL(Dong1,ROWS($1:35)),))</f>
        <v>41544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C12</v>
      </c>
      <c r="E48" s="229" t="str">
        <f ca="1">IF(ROWS($1:35)&gt;COUNT(Dong1),"",OFFSET(TH!F$1,SMALL(Dong1,ROWS($1:35)),))</f>
        <v>VAT Mực in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392000</v>
      </c>
      <c r="I48" s="121">
        <f t="shared" ca="1" si="0"/>
        <v>1127933393</v>
      </c>
      <c r="J48" s="126"/>
      <c r="N48" s="636"/>
      <c r="O48" s="636"/>
    </row>
    <row r="49" spans="1:15" ht="21.75" customHeight="1">
      <c r="A49" s="120">
        <f ca="1">IF(ROWS($1:36)&gt;COUNT(Dong1),"",OFFSET(TH!C$1,SMALL(Dong1,ROWS($1:36)),))</f>
        <v>41547</v>
      </c>
      <c r="B49" s="120">
        <f ca="1">IF(ROWS($1:36)&gt;COUNT(Dong1),"",OFFSET(TH!E$1,SMALL(Dong1,ROWS($1:36)),))</f>
        <v>41547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C13</v>
      </c>
      <c r="E49" s="229" t="str">
        <f ca="1">IF(ROWS($1:36)&gt;COUNT(Dong1),"",OFFSET(TH!F$1,SMALL(Dong1,ROWS($1:36)),))</f>
        <v>Mực in</v>
      </c>
      <c r="F49" s="124" t="str">
        <f ca="1">IF(ROWS($1:36)&gt;COUNT(Dong1),"",IF(OFFSET(TH!M$1,SMALL(Dong1,ROWS($1:36)),)="1111",OFFSET(TH!L$1,SMALL(Dong1,ROWS($1:36)),),OFFSET(TH!M$1,SMALL(Dong1,ROWS($1:36)),)))</f>
        <v>154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1520000</v>
      </c>
      <c r="I49" s="121">
        <f t="shared" ca="1" si="0"/>
        <v>1126413393</v>
      </c>
      <c r="J49" s="126"/>
      <c r="N49" s="636"/>
      <c r="O49" s="636"/>
    </row>
    <row r="50" spans="1:15" ht="21.75" customHeight="1">
      <c r="A50" s="120">
        <f ca="1">IF(ROWS($1:37)&gt;COUNT(Dong1),"",OFFSET(TH!C$1,SMALL(Dong1,ROWS($1:37)),))</f>
        <v>41547</v>
      </c>
      <c r="B50" s="120">
        <f ca="1">IF(ROWS($1:37)&gt;COUNT(Dong1),"",OFFSET(TH!E$1,SMALL(Dong1,ROWS($1:37)),))</f>
        <v>41547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C13</v>
      </c>
      <c r="E50" s="229" t="str">
        <f ca="1">IF(ROWS($1:37)&gt;COUNT(Dong1),"",OFFSET(TH!F$1,SMALL(Dong1,ROWS($1:37)),))</f>
        <v>VAT Mực in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152000</v>
      </c>
      <c r="I50" s="121">
        <f t="shared" ca="1" si="0"/>
        <v>1126261393</v>
      </c>
      <c r="J50" s="126"/>
    </row>
    <row r="51" spans="1:15" ht="21.75" customHeight="1">
      <c r="A51" s="120">
        <f ca="1">IF(ROWS($1:38)&gt;COUNT(Dong1),"",OFFSET(TH!C$1,SMALL(Dong1,ROWS($1:38)),))</f>
        <v>41517</v>
      </c>
      <c r="B51" s="120">
        <f ca="1">IF(ROWS($1:38)&gt;COUNT(Dong1),"",OFFSET(TH!E$1,SMALL(Dong1,ROWS($1:38)),))</f>
        <v>41517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NL/N17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18066091</v>
      </c>
      <c r="I51" s="121">
        <f t="shared" ca="1" si="0"/>
        <v>1108195302</v>
      </c>
      <c r="J51" s="126"/>
    </row>
    <row r="52" spans="1:15" ht="21.75" customHeight="1">
      <c r="A52" s="120">
        <f ca="1">IF(ROWS($1:39)&gt;COUNT(Dong1),"",OFFSET(TH!C$1,SMALL(Dong1,ROWS($1:39)),))</f>
        <v>41487</v>
      </c>
      <c r="B52" s="120">
        <f ca="1">IF(ROWS($1:39)&gt;COUNT(Dong1),"",OFFSET(TH!E$1,SMALL(Dong1,ROWS($1:39)),))</f>
        <v>41487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NL/N01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6847555</v>
      </c>
      <c r="I52" s="121">
        <f t="shared" ca="1" si="0"/>
        <v>1101347747</v>
      </c>
      <c r="J52" s="126"/>
    </row>
    <row r="53" spans="1:15" ht="21.75" customHeight="1">
      <c r="A53" s="120">
        <f ca="1">IF(ROWS($1:40)&gt;COUNT(Dong1),"",OFFSET(TH!C$1,SMALL(Dong1,ROWS($1:40)),))</f>
        <v>41502</v>
      </c>
      <c r="B53" s="120">
        <f ca="1">IF(ROWS($1:40)&gt;COUNT(Dong1),"",OFFSET(TH!E$1,SMALL(Dong1,ROWS($1:40)),))</f>
        <v>41502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NL/N01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25788400</v>
      </c>
      <c r="I53" s="121">
        <f t="shared" ca="1" si="0"/>
        <v>1075559347</v>
      </c>
      <c r="J53" s="126"/>
    </row>
    <row r="54" spans="1:15" ht="21.75" customHeight="1">
      <c r="A54" s="120">
        <f ca="1">IF(ROWS($1:41)&gt;COUNT(Dong1),"",OFFSET(TH!C$1,SMALL(Dong1,ROWS($1:41)),))</f>
        <v>41505</v>
      </c>
      <c r="B54" s="120">
        <f ca="1">IF(ROWS($1:41)&gt;COUNT(Dong1),"",OFFSET(TH!E$1,SMALL(Dong1,ROWS($1:41)),))</f>
        <v>41505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NL/N02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14405930</v>
      </c>
      <c r="I54" s="121">
        <f t="shared" ca="1" si="0"/>
        <v>1061153417</v>
      </c>
      <c r="J54" s="126"/>
    </row>
    <row r="55" spans="1:15" ht="21.75" customHeight="1">
      <c r="A55" s="120">
        <f ca="1">IF(ROWS($1:42)&gt;COUNT(Dong1),"",OFFSET(TH!C$1,SMALL(Dong1,ROWS($1:42)),))</f>
        <v>41506</v>
      </c>
      <c r="B55" s="120">
        <f ca="1">IF(ROWS($1:42)&gt;COUNT(Dong1),"",OFFSET(TH!E$1,SMALL(Dong1,ROWS($1:42)),))</f>
        <v>41506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NL/N03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12316700</v>
      </c>
      <c r="I55" s="121">
        <f t="shared" ca="1" si="0"/>
        <v>1048836717</v>
      </c>
      <c r="J55" s="126"/>
    </row>
    <row r="56" spans="1:15" ht="21.75" customHeight="1">
      <c r="A56" s="120">
        <f ca="1">IF(ROWS($1:43)&gt;COUNT(Dong1),"",OFFSET(TH!C$1,SMALL(Dong1,ROWS($1:43)),))</f>
        <v>41508</v>
      </c>
      <c r="B56" s="120">
        <f ca="1">IF(ROWS($1:43)&gt;COUNT(Dong1),"",OFFSET(TH!E$1,SMALL(Dong1,ROWS($1:43)),))</f>
        <v>41508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NL/N04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4494930</v>
      </c>
      <c r="I56" s="121">
        <f t="shared" ca="1" si="0"/>
        <v>1044341787</v>
      </c>
      <c r="J56" s="126"/>
    </row>
    <row r="57" spans="1:15" ht="21.75" customHeight="1">
      <c r="A57" s="120">
        <f ca="1">IF(ROWS($1:44)&gt;COUNT(Dong1),"",OFFSET(TH!C$1,SMALL(Dong1,ROWS($1:44)),))</f>
        <v>41508</v>
      </c>
      <c r="B57" s="120">
        <f ca="1">IF(ROWS($1:44)&gt;COUNT(Dong1),"",OFFSET(TH!E$1,SMALL(Dong1,ROWS($1:44)),))</f>
        <v>41508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NL/N04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7470386</v>
      </c>
      <c r="I57" s="121">
        <f t="shared" ca="1" si="0"/>
        <v>1036871401</v>
      </c>
      <c r="J57" s="126"/>
    </row>
    <row r="58" spans="1:15" ht="21.75" customHeight="1">
      <c r="A58" s="120">
        <f ca="1">IF(ROWS($1:45)&gt;COUNT(Dong1),"",OFFSET(TH!C$1,SMALL(Dong1,ROWS($1:45)),))</f>
        <v>41463</v>
      </c>
      <c r="B58" s="120">
        <f ca="1">IF(ROWS($1:45)&gt;COUNT(Dong1),"",OFFSET(TH!E$1,SMALL(Dong1,ROWS($1:45)),))</f>
        <v>41463</v>
      </c>
      <c r="C58" s="121" t="str">
        <f ca="1">IF(ROWS($1:45)&gt;COUNT(Dong1),"",IF(OFFSET(TH!L$1,SMALL(Dong1,ROWS($1:45)),)="1111",OFFSET(TH!D$1,SMALL(Dong1,ROWS($1:45)),),""))</f>
        <v>TP/X02</v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5909970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1042781371</v>
      </c>
      <c r="J58" s="126"/>
    </row>
    <row r="59" spans="1:15" ht="21.75" customHeight="1">
      <c r="A59" s="120">
        <f ca="1">IF(ROWS($1:46)&gt;COUNT(Dong1),"",OFFSET(TH!C$1,SMALL(Dong1,ROWS($1:46)),))</f>
        <v>41475</v>
      </c>
      <c r="B59" s="120">
        <f ca="1">IF(ROWS($1:46)&gt;COUNT(Dong1),"",OFFSET(TH!E$1,SMALL(Dong1,ROWS($1:46)),))</f>
        <v>41475</v>
      </c>
      <c r="C59" s="121" t="str">
        <f ca="1">IF(ROWS($1:46)&gt;COUNT(Dong1),"",IF(OFFSET(TH!L$1,SMALL(Dong1,ROWS($1:46)),)="1111",OFFSET(TH!D$1,SMALL(Dong1,ROWS($1:46)),),""))</f>
        <v>TP/X05</v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>Thu tiền hàng</v>
      </c>
      <c r="F59" s="124" t="str">
        <f ca="1">IF(ROWS($1:46)&gt;COUNT(Dong1),"",IF(OFFSET(TH!M$1,SMALL(Dong1,ROWS($1:46)),)="1111",OFFSET(TH!L$1,SMALL(Dong1,ROWS($1:46)),),OFFSET(TH!M$1,SMALL(Dong1,ROWS($1:46)),)))</f>
        <v>131</v>
      </c>
      <c r="G59" s="125">
        <f ca="1">IF(ROWS($1:46)&gt;COUNT(Dong1),"",IF(OFFSET(TH!L$1,SMALL(Dong1,ROWS($1:46)),)="1111",OFFSET(TH!K$1,SMALL(Dong1,ROWS($1:46)),),0))</f>
        <v>8650950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1051432321</v>
      </c>
      <c r="J59" s="126"/>
    </row>
    <row r="60" spans="1:15" ht="21.75" customHeight="1">
      <c r="A60" s="120">
        <f ca="1">IF(ROWS($1:47)&gt;COUNT(Dong1),"",OFFSET(TH!C$1,SMALL(Dong1,ROWS($1:47)),))</f>
        <v>41477</v>
      </c>
      <c r="B60" s="120">
        <f ca="1">IF(ROWS($1:47)&gt;COUNT(Dong1),"",OFFSET(TH!E$1,SMALL(Dong1,ROWS($1:47)),))</f>
        <v>41477</v>
      </c>
      <c r="C60" s="121" t="str">
        <f ca="1">IF(ROWS($1:47)&gt;COUNT(Dong1),"",IF(OFFSET(TH!L$1,SMALL(Dong1,ROWS($1:47)),)="1111",OFFSET(TH!D$1,SMALL(Dong1,ROWS($1:47)),),""))</f>
        <v>TP/X07</v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9675600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1061107921</v>
      </c>
      <c r="J60" s="126"/>
    </row>
    <row r="61" spans="1:15" ht="21.75" customHeight="1">
      <c r="A61" s="120">
        <f ca="1">IF(ROWS($1:48)&gt;COUNT(Dong1),"",OFFSET(TH!C$1,SMALL(Dong1,ROWS($1:48)),))</f>
        <v>41484</v>
      </c>
      <c r="B61" s="120">
        <f ca="1">IF(ROWS($1:48)&gt;COUNT(Dong1),"",OFFSET(TH!E$1,SMALL(Dong1,ROWS($1:48)),))</f>
        <v>41484</v>
      </c>
      <c r="C61" s="121" t="str">
        <f ca="1">IF(ROWS($1:48)&gt;COUNT(Dong1),"",IF(OFFSET(TH!L$1,SMALL(Dong1,ROWS($1:48)),)="1111",OFFSET(TH!D$1,SMALL(Dong1,ROWS($1:48)),),""))</f>
        <v>TP/X11</v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>Thu tiền hàng</v>
      </c>
      <c r="F61" s="124" t="str">
        <f ca="1">IF(ROWS($1:48)&gt;COUNT(Dong1),"",IF(OFFSET(TH!M$1,SMALL(Dong1,ROWS($1:48)),)="1111",OFFSET(TH!L$1,SMALL(Dong1,ROWS($1:48)),),OFFSET(TH!M$1,SMALL(Dong1,ROWS($1:48)),)))</f>
        <v>131</v>
      </c>
      <c r="G61" s="125">
        <f ca="1">IF(ROWS($1:48)&gt;COUNT(Dong1),"",IF(OFFSET(TH!L$1,SMALL(Dong1,ROWS($1:48)),)="1111",OFFSET(TH!K$1,SMALL(Dong1,ROWS($1:48)),),0))</f>
        <v>5775000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1066882921</v>
      </c>
      <c r="J61" s="126"/>
    </row>
    <row r="62" spans="1:15" ht="21.75" customHeight="1">
      <c r="A62" s="120">
        <f ca="1">IF(ROWS($1:49)&gt;COUNT(Dong1),"",OFFSET(TH!C$1,SMALL(Dong1,ROWS($1:49)),))</f>
        <v>41487</v>
      </c>
      <c r="B62" s="120">
        <f ca="1">IF(ROWS($1:49)&gt;COUNT(Dong1),"",OFFSET(TH!E$1,SMALL(Dong1,ROWS($1:49)),))</f>
        <v>41487</v>
      </c>
      <c r="C62" s="121" t="str">
        <f ca="1">IF(ROWS($1:49)&gt;COUNT(Dong1),"",IF(OFFSET(TH!L$1,SMALL(Dong1,ROWS($1:49)),)="1111",OFFSET(TH!D$1,SMALL(Dong1,ROWS($1:49)),),""))</f>
        <v>TP/X13</v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4466000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1071348921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321477520</v>
      </c>
      <c r="H64" s="129">
        <f ca="1">SUM(H14:H63)</f>
        <v>154640362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1071348921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31/7/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9"/>
      <c r="R3" s="195"/>
      <c r="S3" s="196" t="s">
        <v>351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90"/>
      <c r="R4" s="81"/>
      <c r="S4" s="617">
        <v>4</v>
      </c>
      <c r="T4" s="81"/>
      <c r="U4" s="491" t="s">
        <v>4</v>
      </c>
      <c r="V4" s="107"/>
      <c r="W4" s="492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9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&amp;[3]!VND('IN-TC'!D13,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76"/>
  <sheetViews>
    <sheetView topLeftCell="A6" workbookViewId="0">
      <pane ySplit="6" topLeftCell="A56" activePane="bottomLeft" state="frozen"/>
      <selection activeCell="A6" sqref="A6"/>
      <selection pane="bottomLeft" activeCell="A54" sqref="A54:I6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1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6"/>
      <c r="I1" s="231"/>
      <c r="K1" s="846"/>
      <c r="L1" s="846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1"/>
      <c r="H2" s="991"/>
      <c r="I2" s="232"/>
      <c r="K2" s="847"/>
      <c r="L2" s="847"/>
    </row>
    <row r="3" spans="1:20" s="140" customFormat="1" ht="16.5" customHeight="1">
      <c r="A3" s="177"/>
      <c r="B3" s="177"/>
      <c r="C3" s="177"/>
      <c r="D3" s="177"/>
      <c r="F3" s="991"/>
      <c r="G3" s="991"/>
      <c r="H3" s="991"/>
      <c r="I3" s="232"/>
    </row>
    <row r="4" spans="1:20" s="140" customFormat="1" ht="19.5" customHeight="1">
      <c r="A4" s="994" t="s">
        <v>137</v>
      </c>
      <c r="B4" s="994"/>
      <c r="C4" s="994"/>
      <c r="D4" s="994"/>
      <c r="E4" s="994"/>
      <c r="F4" s="994"/>
      <c r="G4" s="994"/>
      <c r="H4" s="994"/>
      <c r="I4" s="994"/>
    </row>
    <row r="5" spans="1:20" s="140" customFormat="1" ht="15">
      <c r="A5" s="995" t="str">
        <f>"Nơi mở tài khoản giao dịch:  "&amp;IF($M$9="ACB"," Ngân Hàng ACB"," Ngân Hàng Eximbank - Chi Nhánh Chợ Lớn")</f>
        <v>Nơi mở tài khoản giao dịch:   Ngân Hàng ACB</v>
      </c>
      <c r="B5" s="995"/>
      <c r="C5" s="995"/>
      <c r="D5" s="995"/>
      <c r="E5" s="995"/>
      <c r="F5" s="995"/>
      <c r="G5" s="995"/>
      <c r="H5" s="995"/>
      <c r="I5" s="995"/>
    </row>
    <row r="6" spans="1:20" s="140" customFormat="1" ht="15">
      <c r="D6" s="260" t="s">
        <v>158</v>
      </c>
      <c r="E6" s="995" t="str">
        <f>IF($M$9="ACB","100983119","1004 148 5104 6511")</f>
        <v>100983119</v>
      </c>
      <c r="F6" s="995"/>
      <c r="G6" s="995"/>
      <c r="H6" s="597" t="s">
        <v>108</v>
      </c>
      <c r="I6" s="261" t="str">
        <f>IF(H6="VNĐ","1121",IF(H6="USD","1122",""))</f>
        <v>1121</v>
      </c>
      <c r="N6" s="986" t="s">
        <v>335</v>
      </c>
      <c r="O6" s="986"/>
      <c r="Q6" s="992" t="s">
        <v>276</v>
      </c>
      <c r="R6" s="992" t="s">
        <v>336</v>
      </c>
      <c r="S6" s="992" t="s">
        <v>337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598"/>
      <c r="I7" s="144"/>
      <c r="Q7" s="993"/>
      <c r="R7" s="993"/>
      <c r="S7" s="993"/>
    </row>
    <row r="8" spans="1:20" s="145" customFormat="1" ht="22.5" customHeight="1" thickBot="1">
      <c r="A8" s="998" t="s">
        <v>138</v>
      </c>
      <c r="B8" s="1000" t="s">
        <v>1</v>
      </c>
      <c r="C8" s="1001"/>
      <c r="D8" s="996" t="s">
        <v>0</v>
      </c>
      <c r="E8" s="1002" t="s">
        <v>14</v>
      </c>
      <c r="F8" s="1004" t="s">
        <v>139</v>
      </c>
      <c r="G8" s="1004"/>
      <c r="H8" s="1001"/>
      <c r="I8" s="996" t="s">
        <v>127</v>
      </c>
      <c r="K8" s="138"/>
      <c r="L8" s="140"/>
      <c r="N8" s="605">
        <f>IF(K9="Quý I",1,IF(K9="Quý II",4,IF(K9="Quý III",7,IF(K9="Quý IV",10,""))))</f>
        <v>10</v>
      </c>
      <c r="O8" s="606">
        <f>IF(K9="Quý I",3,IF(K9="Quý II",6,IF(K9="Quý III",9,IF(K9="Quý IV",12,""))))</f>
        <v>12</v>
      </c>
      <c r="Q8" s="469" t="s">
        <v>277</v>
      </c>
      <c r="R8" s="470">
        <v>334933</v>
      </c>
      <c r="S8" s="470"/>
      <c r="T8" s="471">
        <f>SUM(R8:S8)</f>
        <v>334933</v>
      </c>
    </row>
    <row r="9" spans="1:20" s="145" customFormat="1" ht="22.5" customHeight="1" thickBot="1">
      <c r="A9" s="999"/>
      <c r="B9" s="146" t="s">
        <v>15</v>
      </c>
      <c r="C9" s="147" t="s">
        <v>140</v>
      </c>
      <c r="D9" s="997"/>
      <c r="E9" s="1003"/>
      <c r="F9" s="253" t="s">
        <v>141</v>
      </c>
      <c r="G9" s="148" t="s">
        <v>142</v>
      </c>
      <c r="H9" s="599" t="s">
        <v>143</v>
      </c>
      <c r="I9" s="997"/>
      <c r="K9" s="178" t="s">
        <v>484</v>
      </c>
      <c r="L9" s="140"/>
      <c r="M9" s="468" t="s">
        <v>336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75"/>
      <c r="G11" s="475"/>
      <c r="H11" s="475">
        <f>IF($M$9="ACB",$R$8,$S$8)+SUMIF(_N112,"x",TH)-SUMIF(_C112,"x",TH)</f>
        <v>14933944</v>
      </c>
      <c r="I11" s="472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41552</v>
      </c>
      <c r="B12" s="156" t="str">
        <f ca="1">IF(ROWS($1:1)&gt;COUNT(Dong2),"",OFFSET(TH!D$1,SMALL(Dong2,ROWS($1:1)),))</f>
        <v>T01</v>
      </c>
      <c r="C12" s="156">
        <f ca="1">IF(ROWS($1:1)&gt;COUNT(Dong2),"",OFFSET(TH!E$1,SMALL(Dong2,ROWS($1:1)),))</f>
        <v>41552</v>
      </c>
      <c r="D12" s="235" t="str">
        <f ca="1">IF(ROWS($1:1)&gt;COUNT(Dong2),"",OFFSET(TH!F$1,SMALL(Dong2,ROWS($1:1)),))</f>
        <v>Chi sec nhập quỹ tiền mặt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6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76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14800000</v>
      </c>
      <c r="H12" s="607">
        <f ca="1">IF(A12&lt;&gt;"",H11+F12-G12,0)</f>
        <v>133944</v>
      </c>
      <c r="I12" s="473"/>
      <c r="L12" s="140"/>
    </row>
    <row r="13" spans="1:20" s="145" customFormat="1" ht="18.75" customHeight="1">
      <c r="A13" s="156">
        <f ca="1">IF(ROWS($1:2)&gt;COUNT(Dong2),"",OFFSET(TH!C$1,SMALL(Dong2,ROWS($1:2)),))</f>
        <v>41554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41554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6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19729600</v>
      </c>
      <c r="G13" s="476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7">
        <f t="shared" ref="H13:H40" ca="1" si="0">IF(A13&lt;&gt;"",H12+F13-G13,0)</f>
        <v>19863544</v>
      </c>
      <c r="I13" s="473"/>
      <c r="L13" s="140"/>
    </row>
    <row r="14" spans="1:20" s="145" customFormat="1" ht="18.75" customHeight="1">
      <c r="A14" s="156">
        <f ca="1">IF(ROWS($1:3)&gt;COUNT(Dong2),"",OFFSET(TH!C$1,SMALL(Dong2,ROWS($1:3)),))</f>
        <v>41554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41554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6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13959000</v>
      </c>
      <c r="G14" s="476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7">
        <f t="shared" ca="1" si="0"/>
        <v>33822544</v>
      </c>
      <c r="I14" s="473"/>
      <c r="L14" s="140"/>
    </row>
    <row r="15" spans="1:20" s="145" customFormat="1" ht="18.75" customHeight="1">
      <c r="A15" s="156">
        <f ca="1">IF(ROWS($1:4)&gt;COUNT(Dong2),"",OFFSET(TH!C$1,SMALL(Dong2,ROWS($1:4)),))</f>
        <v>41554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41554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6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18621130</v>
      </c>
      <c r="G15" s="476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7">
        <f t="shared" ca="1" si="0"/>
        <v>52443674</v>
      </c>
      <c r="I15" s="473"/>
      <c r="L15" s="140"/>
    </row>
    <row r="16" spans="1:20" s="145" customFormat="1" ht="18.75" customHeight="1">
      <c r="A16" s="156">
        <f ca="1">IF(ROWS($1:5)&gt;COUNT(Dong2),"",OFFSET(TH!C$1,SMALL(Dong2,ROWS($1:5)),))</f>
        <v>41554</v>
      </c>
      <c r="B16" s="156" t="str">
        <f ca="1">IF(ROWS($1:5)&gt;COUNT(Dong2),"",OFFSET(TH!D$1,SMALL(Dong2,ROWS($1:5)),))</f>
        <v>T02</v>
      </c>
      <c r="C16" s="156">
        <f ca="1">IF(ROWS($1:5)&gt;COUNT(Dong2),"",OFFSET(TH!E$1,SMALL(Dong2,ROWS($1:5)),))</f>
        <v>41554</v>
      </c>
      <c r="D16" s="235" t="str">
        <f ca="1">IF(ROWS($1:5)&gt;COUNT(Dong2),"",OFFSET(TH!F$1,SMALL(Dong2,ROWS($1:5)),))</f>
        <v>Chi sec nhập quỹ tiền mặt</v>
      </c>
      <c r="E16" s="156" t="str">
        <f ca="1">IF(ROWS($1:5)&gt;COUNT(Dong2),"",IF(OFFSET(TH!M$1,SMALL(Dong2,ROWS($1:5)),)=$I$6,OFFSET(TH!L$1,SMALL(Dong2,ROWS($1:5)),),OFFSET(TH!M$1,SMALL(Dong2,ROWS($1:5)),)))</f>
        <v>1111</v>
      </c>
      <c r="F16" s="476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6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33700000</v>
      </c>
      <c r="H16" s="607">
        <f t="shared" ca="1" si="0"/>
        <v>18743674</v>
      </c>
      <c r="I16" s="473"/>
      <c r="L16" s="140"/>
    </row>
    <row r="17" spans="1:17" s="145" customFormat="1" ht="18.75" customHeight="1">
      <c r="A17" s="156">
        <f ca="1">IF(ROWS($1:6)&gt;COUNT(Dong2),"",OFFSET(TH!C$1,SMALL(Dong2,ROWS($1:6)),))</f>
        <v>41556</v>
      </c>
      <c r="B17" s="156" t="str">
        <f ca="1">IF(ROWS($1:6)&gt;COUNT(Dong2),"",OFFSET(TH!D$1,SMALL(Dong2,ROWS($1:6)),))</f>
        <v>T03</v>
      </c>
      <c r="C17" s="156">
        <f ca="1">IF(ROWS($1:6)&gt;COUNT(Dong2),"",OFFSET(TH!E$1,SMALL(Dong2,ROWS($1:6)),))</f>
        <v>41556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6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6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18500000</v>
      </c>
      <c r="H17" s="607">
        <f t="shared" ca="1" si="0"/>
        <v>243674</v>
      </c>
      <c r="I17" s="473"/>
      <c r="L17" s="140"/>
    </row>
    <row r="18" spans="1:17" s="145" customFormat="1" ht="18.75" customHeight="1">
      <c r="A18" s="156">
        <f ca="1">IF(ROWS($1:7)&gt;COUNT(Dong2),"",OFFSET(TH!C$1,SMALL(Dong2,ROWS($1:7)),))</f>
        <v>41557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41557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6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6806250</v>
      </c>
      <c r="G18" s="476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7">
        <f t="shared" ca="1" si="0"/>
        <v>7049924</v>
      </c>
      <c r="I18" s="473"/>
      <c r="L18" s="140"/>
    </row>
    <row r="19" spans="1:17" s="145" customFormat="1" ht="18.75" customHeight="1">
      <c r="A19" s="156">
        <f ca="1">IF(ROWS($1:8)&gt;COUNT(Dong2),"",OFFSET(TH!C$1,SMALL(Dong2,ROWS($1:8)),))</f>
        <v>41561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41561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6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13855600</v>
      </c>
      <c r="G19" s="476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7">
        <f t="shared" ca="1" si="0"/>
        <v>20905524</v>
      </c>
      <c r="I19" s="473"/>
      <c r="L19" s="140"/>
    </row>
    <row r="20" spans="1:17" s="145" customFormat="1" ht="18.75" customHeight="1">
      <c r="A20" s="156">
        <f ca="1">IF(ROWS($1:9)&gt;COUNT(Dong2),"",OFFSET(TH!C$1,SMALL(Dong2,ROWS($1:9)),))</f>
        <v>41562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41562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6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10000000</v>
      </c>
      <c r="G20" s="476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7">
        <f t="shared" ca="1" si="0"/>
        <v>30905524</v>
      </c>
      <c r="I20" s="473"/>
      <c r="L20" s="140"/>
    </row>
    <row r="21" spans="1:17" s="145" customFormat="1" ht="18.75" customHeight="1">
      <c r="A21" s="156">
        <f ca="1">IF(ROWS($1:10)&gt;COUNT(Dong2),"",OFFSET(TH!C$1,SMALL(Dong2,ROWS($1:10)),))</f>
        <v>41562</v>
      </c>
      <c r="B21" s="156" t="str">
        <f ca="1">IF(ROWS($1:10)&gt;COUNT(Dong2),"",OFFSET(TH!D$1,SMALL(Dong2,ROWS($1:10)),))</f>
        <v>T04</v>
      </c>
      <c r="C21" s="156">
        <f ca="1">IF(ROWS($1:10)&gt;COUNT(Dong2),"",OFFSET(TH!E$1,SMALL(Dong2,ROWS($1:10)),))</f>
        <v>41562</v>
      </c>
      <c r="D21" s="235" t="str">
        <f ca="1">IF(ROWS($1:10)&gt;COUNT(Dong2),"",OFFSET(TH!F$1,SMALL(Dong2,ROWS($1:10)),))</f>
        <v>Chi sec nhập quỹ tiền mặt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6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6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30800000</v>
      </c>
      <c r="H21" s="607">
        <f t="shared" ca="1" si="0"/>
        <v>105524</v>
      </c>
      <c r="I21" s="473"/>
      <c r="L21" s="140"/>
      <c r="Q21" s="471"/>
    </row>
    <row r="22" spans="1:17" s="145" customFormat="1" ht="18.75" customHeight="1">
      <c r="A22" s="156">
        <f ca="1">IF(ROWS($1:11)&gt;COUNT(Dong2),"",OFFSET(TH!C$1,SMALL(Dong2,ROWS($1:11)),))</f>
        <v>41570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41570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6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5085806</v>
      </c>
      <c r="G22" s="476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7">
        <f t="shared" ca="1" si="0"/>
        <v>5191330</v>
      </c>
      <c r="I22" s="473"/>
      <c r="L22" s="140"/>
    </row>
    <row r="23" spans="1:17" s="145" customFormat="1" ht="18.75" customHeight="1">
      <c r="A23" s="156">
        <f ca="1">IF(ROWS($1:12)&gt;COUNT(Dong2),"",OFFSET(TH!C$1,SMALL(Dong2,ROWS($1:12)),))</f>
        <v>41572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41572</v>
      </c>
      <c r="D23" s="235" t="str">
        <f ca="1">IF(ROWS($1:12)&gt;COUNT(Dong2),"",OFFSET(TH!F$1,SMALL(Dong2,ROWS($1:12)),))</f>
        <v>Lãi tiền gửi</v>
      </c>
      <c r="E23" s="156" t="str">
        <f ca="1">IF(ROWS($1:12)&gt;COUNT(Dong2),"",IF(OFFSET(TH!M$1,SMALL(Dong2,ROWS($1:12)),)=$I$6,OFFSET(TH!L$1,SMALL(Dong2,ROWS($1:12)),),OFFSET(TH!M$1,SMALL(Dong2,ROWS($1:12)),)))</f>
        <v>515</v>
      </c>
      <c r="F23" s="476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5895</v>
      </c>
      <c r="G23" s="476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7">
        <f t="shared" ca="1" si="0"/>
        <v>5197225</v>
      </c>
      <c r="I23" s="473"/>
      <c r="L23" s="140"/>
      <c r="Q23" s="595"/>
    </row>
    <row r="24" spans="1:17" s="145" customFormat="1" ht="18.75" customHeight="1">
      <c r="A24" s="156">
        <f ca="1">IF(ROWS($1:13)&gt;COUNT(Dong2),"",OFFSET(TH!C$1,SMALL(Dong2,ROWS($1:13)),))</f>
        <v>41575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41575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76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10488500</v>
      </c>
      <c r="G24" s="476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7">
        <f t="shared" ca="1" si="0"/>
        <v>15685725</v>
      </c>
      <c r="I24" s="473"/>
      <c r="L24" s="140"/>
    </row>
    <row r="25" spans="1:17" s="145" customFormat="1" ht="18.75" customHeight="1">
      <c r="A25" s="156">
        <f ca="1">IF(ROWS($1:14)&gt;COUNT(Dong2),"",OFFSET(TH!C$1,SMALL(Dong2,ROWS($1:14)),))</f>
        <v>41575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41575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6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13959000</v>
      </c>
      <c r="G25" s="476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7">
        <f t="shared" ca="1" si="0"/>
        <v>29644725</v>
      </c>
      <c r="I25" s="473"/>
      <c r="L25" s="140"/>
    </row>
    <row r="26" spans="1:17" s="145" customFormat="1" ht="18.75" customHeight="1">
      <c r="A26" s="156">
        <f ca="1">IF(ROWS($1:15)&gt;COUNT(Dong2),"",OFFSET(TH!C$1,SMALL(Dong2,ROWS($1:15)),))</f>
        <v>41575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41575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6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15708000</v>
      </c>
      <c r="G26" s="476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7">
        <f t="shared" ca="1" si="0"/>
        <v>45352725</v>
      </c>
      <c r="I26" s="473"/>
      <c r="L26" s="140"/>
    </row>
    <row r="27" spans="1:17" s="145" customFormat="1" ht="18.75" customHeight="1">
      <c r="A27" s="156">
        <f ca="1">IF(ROWS($1:16)&gt;COUNT(Dong2),"",OFFSET(TH!C$1,SMALL(Dong2,ROWS($1:16)),))</f>
        <v>41576</v>
      </c>
      <c r="B27" s="156" t="str">
        <f ca="1">IF(ROWS($1:16)&gt;COUNT(Dong2),"",OFFSET(TH!D$1,SMALL(Dong2,ROWS($1:16)),))</f>
        <v>T05</v>
      </c>
      <c r="C27" s="156">
        <f ca="1">IF(ROWS($1:16)&gt;COUNT(Dong2),"",OFFSET(TH!E$1,SMALL(Dong2,ROWS($1:16)),))</f>
        <v>41576</v>
      </c>
      <c r="D27" s="235" t="str">
        <f ca="1">IF(ROWS($1:16)&gt;COUNT(Dong2),"",OFFSET(TH!F$1,SMALL(Dong2,ROWS($1:16)),))</f>
        <v>Chi sec nhập quỹ tiền mặt</v>
      </c>
      <c r="E27" s="156" t="str">
        <f ca="1">IF(ROWS($1:16)&gt;COUNT(Dong2),"",IF(OFFSET(TH!M$1,SMALL(Dong2,ROWS($1:16)),)=$I$6,OFFSET(TH!L$1,SMALL(Dong2,ROWS($1:16)),),OFFSET(TH!M$1,SMALL(Dong2,ROWS($1:16)),)))</f>
        <v>1111</v>
      </c>
      <c r="F27" s="476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6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45200000</v>
      </c>
      <c r="H27" s="607">
        <f t="shared" ca="1" si="0"/>
        <v>152725</v>
      </c>
      <c r="I27" s="473"/>
      <c r="L27" s="140"/>
    </row>
    <row r="28" spans="1:17" s="145" customFormat="1" ht="18.75" customHeight="1">
      <c r="A28" s="156">
        <f ca="1">IF(ROWS($1:17)&gt;COUNT(Dong2),"",OFFSET(TH!C$1,SMALL(Dong2,ROWS($1:17)),))</f>
        <v>41577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41577</v>
      </c>
      <c r="D28" s="235" t="str">
        <f ca="1">IF(ROWS($1:17)&gt;COUNT(Dong2),"",OFFSET(TH!F$1,SMALL(Dong2,ROWS($1:17)),))</f>
        <v>Thu tiền hàng</v>
      </c>
      <c r="E28" s="156" t="str">
        <f ca="1">IF(ROWS($1:17)&gt;COUNT(Dong2),"",IF(OFFSET(TH!M$1,SMALL(Dong2,ROWS($1:17)),)=$I$6,OFFSET(TH!L$1,SMALL(Dong2,ROWS($1:17)),),OFFSET(TH!M$1,SMALL(Dong2,ROWS($1:17)),)))</f>
        <v>131</v>
      </c>
      <c r="F28" s="476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34257520</v>
      </c>
      <c r="G28" s="476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607">
        <f t="shared" ca="1" si="0"/>
        <v>34410245</v>
      </c>
      <c r="I28" s="473"/>
      <c r="L28" s="140"/>
    </row>
    <row r="29" spans="1:17" s="145" customFormat="1" ht="18.75" customHeight="1">
      <c r="A29" s="156">
        <f ca="1">IF(ROWS($1:18)&gt;COUNT(Dong2),"",OFFSET(TH!C$1,SMALL(Dong2,ROWS($1:18)),))</f>
        <v>41579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41579</v>
      </c>
      <c r="D29" s="235" t="str">
        <f ca="1">IF(ROWS($1:18)&gt;COUNT(Dong2),"",OFFSET(TH!F$1,SMALL(Dong2,ROWS($1:18)),))</f>
        <v>Thu tiền hàng</v>
      </c>
      <c r="E29" s="156" t="str">
        <f ca="1">IF(ROWS($1:18)&gt;COUNT(Dong2),"",IF(OFFSET(TH!M$1,SMALL(Dong2,ROWS($1:18)),)=$I$6,OFFSET(TH!L$1,SMALL(Dong2,ROWS($1:18)),),OFFSET(TH!M$1,SMALL(Dong2,ROWS($1:18)),)))</f>
        <v>131</v>
      </c>
      <c r="F29" s="476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14856710</v>
      </c>
      <c r="G29" s="476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0</v>
      </c>
      <c r="H29" s="607">
        <f t="shared" ca="1" si="0"/>
        <v>49266955</v>
      </c>
      <c r="I29" s="473"/>
      <c r="L29" s="140"/>
    </row>
    <row r="30" spans="1:17" s="145" customFormat="1" ht="18.75" customHeight="1">
      <c r="A30" s="156">
        <f ca="1">IF(ROWS($1:19)&gt;COUNT(Dong2),"",OFFSET(TH!C$1,SMALL(Dong2,ROWS($1:19)),))</f>
        <v>41580</v>
      </c>
      <c r="B30" s="156" t="str">
        <f ca="1">IF(ROWS($1:19)&gt;COUNT(Dong2),"",OFFSET(TH!D$1,SMALL(Dong2,ROWS($1:19)),))</f>
        <v>T06</v>
      </c>
      <c r="C30" s="156">
        <f ca="1">IF(ROWS($1:19)&gt;COUNT(Dong2),"",OFFSET(TH!E$1,SMALL(Dong2,ROWS($1:19)),))</f>
        <v>41580</v>
      </c>
      <c r="D30" s="235" t="str">
        <f ca="1">IF(ROWS($1:19)&gt;COUNT(Dong2),"",OFFSET(TH!F$1,SMALL(Dong2,ROWS($1:19)),))</f>
        <v>Chi sec nhập quỹ tiền mặt</v>
      </c>
      <c r="E30" s="156" t="str">
        <f ca="1">IF(ROWS($1:19)&gt;COUNT(Dong2),"",IF(OFFSET(TH!M$1,SMALL(Dong2,ROWS($1:19)),)=$I$6,OFFSET(TH!L$1,SMALL(Dong2,ROWS($1:19)),),OFFSET(TH!M$1,SMALL(Dong2,ROWS($1:19)),)))</f>
        <v>1111</v>
      </c>
      <c r="F30" s="476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6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49000000</v>
      </c>
      <c r="H30" s="607">
        <f t="shared" ca="1" si="0"/>
        <v>266955</v>
      </c>
      <c r="I30" s="473"/>
      <c r="L30" s="140"/>
    </row>
    <row r="31" spans="1:17" s="145" customFormat="1" ht="18.75" customHeight="1">
      <c r="A31" s="156">
        <f ca="1">IF(ROWS($1:20)&gt;COUNT(Dong2),"",OFFSET(TH!C$1,SMALL(Dong2,ROWS($1:20)),))</f>
        <v>41582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41582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76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17671050</v>
      </c>
      <c r="G31" s="476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07">
        <f t="shared" ca="1" si="0"/>
        <v>17938005</v>
      </c>
      <c r="I31" s="473"/>
      <c r="L31" s="140"/>
    </row>
    <row r="32" spans="1:17" s="145" customFormat="1" ht="18.75" customHeight="1">
      <c r="A32" s="156">
        <f ca="1">IF(ROWS($1:21)&gt;COUNT(Dong2),"",OFFSET(TH!C$1,SMALL(Dong2,ROWS($1:21)),))</f>
        <v>41583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41583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6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9604386</v>
      </c>
      <c r="G32" s="476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07">
        <f t="shared" ca="1" si="0"/>
        <v>27542391</v>
      </c>
      <c r="I32" s="473"/>
      <c r="L32" s="140"/>
    </row>
    <row r="33" spans="1:12" s="145" customFormat="1" ht="18.75" customHeight="1">
      <c r="A33" s="156">
        <f ca="1">IF(ROWS($1:22)&gt;COUNT(Dong2),"",OFFSET(TH!C$1,SMALL(Dong2,ROWS($1:22)),))</f>
        <v>41583</v>
      </c>
      <c r="B33" s="156" t="str">
        <f ca="1">IF(ROWS($1:22)&gt;COUNT(Dong2),"",OFFSET(TH!D$1,SMALL(Dong2,ROWS($1:22)),))</f>
        <v>T07</v>
      </c>
      <c r="C33" s="156">
        <f ca="1">IF(ROWS($1:22)&gt;COUNT(Dong2),"",OFFSET(TH!E$1,SMALL(Dong2,ROWS($1:22)),))</f>
        <v>41583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6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6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27500000</v>
      </c>
      <c r="H33" s="607">
        <f t="shared" ca="1" si="0"/>
        <v>42391</v>
      </c>
      <c r="I33" s="473"/>
      <c r="L33" s="140"/>
    </row>
    <row r="34" spans="1:12" s="145" customFormat="1" ht="18.75" customHeight="1">
      <c r="A34" s="156">
        <f ca="1">IF(ROWS($1:23)&gt;COUNT(Dong2),"",OFFSET(TH!C$1,SMALL(Dong2,ROWS($1:23)),))</f>
        <v>41585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41585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6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15245736</v>
      </c>
      <c r="G34" s="476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07">
        <f t="shared" ca="1" si="0"/>
        <v>15288127</v>
      </c>
      <c r="I34" s="473"/>
      <c r="L34" s="140"/>
    </row>
    <row r="35" spans="1:12" s="145" customFormat="1" ht="18.75" customHeight="1">
      <c r="A35" s="156">
        <f ca="1">IF(ROWS($1:24)&gt;COUNT(Dong2),"",OFFSET(TH!C$1,SMALL(Dong2,ROWS($1:24)),))</f>
        <v>41585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41585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76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18562500</v>
      </c>
      <c r="G35" s="476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07">
        <f t="shared" ca="1" si="0"/>
        <v>33850627</v>
      </c>
      <c r="I35" s="473"/>
      <c r="L35" s="140"/>
    </row>
    <row r="36" spans="1:12" s="145" customFormat="1" ht="18.75" customHeight="1">
      <c r="A36" s="156">
        <f ca="1">IF(ROWS($1:25)&gt;COUNT(Dong2),"",OFFSET(TH!C$1,SMALL(Dong2,ROWS($1:25)),))</f>
        <v>41585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41585</v>
      </c>
      <c r="D36" s="235" t="str">
        <f ca="1">IF(ROWS($1:25)&gt;COUNT(Dong2),"",OFFSET(TH!F$1,SMALL(Dong2,ROWS($1:25)),))</f>
        <v>Thu tiền hàng</v>
      </c>
      <c r="E36" s="156" t="str">
        <f ca="1">IF(ROWS($1:25)&gt;COUNT(Dong2),"",IF(OFFSET(TH!M$1,SMALL(Dong2,ROWS($1:25)),)=$I$6,OFFSET(TH!L$1,SMALL(Dong2,ROWS($1:25)),),OFFSET(TH!M$1,SMALL(Dong2,ROWS($1:25)),)))</f>
        <v>131</v>
      </c>
      <c r="F36" s="476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15537500</v>
      </c>
      <c r="G36" s="476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607">
        <f t="shared" ca="1" si="0"/>
        <v>49388127</v>
      </c>
      <c r="I36" s="473"/>
      <c r="L36" s="140"/>
    </row>
    <row r="37" spans="1:12" s="145" customFormat="1" ht="18.75" customHeight="1">
      <c r="A37" s="156">
        <f ca="1">IF(ROWS($1:26)&gt;COUNT(Dong2),"",OFFSET(TH!C$1,SMALL(Dong2,ROWS($1:26)),))</f>
        <v>41586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41586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76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9105558</v>
      </c>
      <c r="G37" s="476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07">
        <f t="shared" ca="1" si="0"/>
        <v>58493685</v>
      </c>
      <c r="I37" s="473"/>
      <c r="L37" s="140"/>
    </row>
    <row r="38" spans="1:12" s="145" customFormat="1" ht="18.75" customHeight="1">
      <c r="A38" s="156">
        <f ca="1">IF(ROWS($1:27)&gt;COUNT(Dong2),"",OFFSET(TH!C$1,SMALL(Dong2,ROWS($1:27)),))</f>
        <v>41586</v>
      </c>
      <c r="B38" s="156" t="str">
        <f ca="1">IF(ROWS($1:27)&gt;COUNT(Dong2),"",OFFSET(TH!D$1,SMALL(Dong2,ROWS($1:27)),))</f>
        <v>T08</v>
      </c>
      <c r="C38" s="156">
        <f ca="1">IF(ROWS($1:27)&gt;COUNT(Dong2),"",OFFSET(TH!E$1,SMALL(Dong2,ROWS($1:27)),))</f>
        <v>41586</v>
      </c>
      <c r="D38" s="235" t="str">
        <f ca="1">IF(ROWS($1:27)&gt;COUNT(Dong2),"",OFFSET(TH!F$1,SMALL(Dong2,ROWS($1:27)),))</f>
        <v>Chi sec nhập quỹ tiền mặt</v>
      </c>
      <c r="E38" s="156" t="str">
        <f ca="1">IF(ROWS($1:27)&gt;COUNT(Dong2),"",IF(OFFSET(TH!M$1,SMALL(Dong2,ROWS($1:27)),)=$I$6,OFFSET(TH!L$1,SMALL(Dong2,ROWS($1:27)),),OFFSET(TH!M$1,SMALL(Dong2,ROWS($1:27)),)))</f>
        <v>1111</v>
      </c>
      <c r="F38" s="476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6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58400000</v>
      </c>
      <c r="H38" s="607">
        <f t="shared" ca="1" si="0"/>
        <v>93685</v>
      </c>
      <c r="I38" s="473"/>
      <c r="L38" s="140"/>
    </row>
    <row r="39" spans="1:12" s="145" customFormat="1" ht="18.75" customHeight="1">
      <c r="A39" s="156">
        <f ca="1">IF(ROWS($1:28)&gt;COUNT(Dong2),"",OFFSET(TH!C$1,SMALL(Dong2,ROWS($1:28)),))</f>
        <v>41592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41592</v>
      </c>
      <c r="D39" s="235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6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14204124</v>
      </c>
      <c r="G39" s="476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07">
        <f t="shared" ca="1" si="0"/>
        <v>14297809</v>
      </c>
      <c r="I39" s="473"/>
      <c r="L39" s="140"/>
    </row>
    <row r="40" spans="1:12" s="145" customFormat="1" ht="18.75" customHeight="1">
      <c r="A40" s="156">
        <f ca="1">IF(ROWS($1:29)&gt;COUNT(Dong2),"",OFFSET(TH!C$1,SMALL(Dong2,ROWS($1:29)),))</f>
        <v>41598</v>
      </c>
      <c r="B40" s="156" t="str">
        <f ca="1">IF(ROWS($1:29)&gt;COUNT(Dong2),"",OFFSET(TH!D$1,SMALL(Dong2,ROWS($1:29)),))</f>
        <v>T09</v>
      </c>
      <c r="C40" s="156">
        <f ca="1">IF(ROWS($1:29)&gt;COUNT(Dong2),"",OFFSET(TH!E$1,SMALL(Dong2,ROWS($1:29)),))</f>
        <v>41598</v>
      </c>
      <c r="D40" s="235" t="str">
        <f ca="1">IF(ROWS($1:29)&gt;COUNT(Dong2),"",OFFSET(TH!F$1,SMALL(Dong2,ROWS($1:29)),))</f>
        <v>Chi sec nhập quỹ tiền mặt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6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6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14200000</v>
      </c>
      <c r="H40" s="607">
        <f t="shared" ca="1" si="0"/>
        <v>97809</v>
      </c>
      <c r="I40" s="473"/>
    </row>
    <row r="41" spans="1:12" s="145" customFormat="1" ht="18.75" customHeight="1">
      <c r="A41" s="156">
        <f ca="1">IF(ROWS($1:30)&gt;COUNT(Dong2),"",OFFSET(TH!C$1,SMALL(Dong2,ROWS($1:30)),))</f>
        <v>41603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41603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76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10898</v>
      </c>
      <c r="G41" s="476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07">
        <f t="shared" ref="H41:H43" ca="1" si="1">IF(A41&lt;&gt;"",H40+F41-G41,0)</f>
        <v>108707</v>
      </c>
      <c r="I41" s="473"/>
    </row>
    <row r="42" spans="1:12" s="145" customFormat="1" ht="18.75" customHeight="1">
      <c r="A42" s="156">
        <f ca="1">IF(ROWS($1:31)&gt;COUNT(Dong2),"",OFFSET(TH!C$1,SMALL(Dong2,ROWS($1:31)),))</f>
        <v>41604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41604</v>
      </c>
      <c r="D42" s="235" t="str">
        <f ca="1">IF(ROWS($1:31)&gt;COUNT(Dong2),"",OFFSET(TH!F$1,SMALL(Dong2,ROWS($1:31)),))</f>
        <v>Thu tiền hàng</v>
      </c>
      <c r="E42" s="156" t="str">
        <f ca="1">IF(ROWS($1:31)&gt;COUNT(Dong2),"",IF(OFFSET(TH!M$1,SMALL(Dong2,ROWS($1:31)),)=$I$6,OFFSET(TH!L$1,SMALL(Dong2,ROWS($1:31)),),OFFSET(TH!M$1,SMALL(Dong2,ROWS($1:31)),)))</f>
        <v>131</v>
      </c>
      <c r="F42" s="476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11109780</v>
      </c>
      <c r="G42" s="476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07">
        <f t="shared" ca="1" si="1"/>
        <v>11218487</v>
      </c>
      <c r="I42" s="473"/>
    </row>
    <row r="43" spans="1:12" s="145" customFormat="1" ht="18.75" customHeight="1">
      <c r="A43" s="156">
        <f ca="1">IF(ROWS($1:32)&gt;COUNT(Dong2),"",OFFSET(TH!C$1,SMALL(Dong2,ROWS($1:32)),))</f>
        <v>41606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41606</v>
      </c>
      <c r="D43" s="235" t="str">
        <f ca="1">IF(ROWS($1:32)&gt;COUNT(Dong2),"",OFFSET(TH!F$1,SMALL(Dong2,ROWS($1:32)),))</f>
        <v>Thu tiền hàng</v>
      </c>
      <c r="E43" s="156" t="str">
        <f ca="1">IF(ROWS($1:32)&gt;COUNT(Dong2),"",IF(OFFSET(TH!M$1,SMALL(Dong2,ROWS($1:32)),)=$I$6,OFFSET(TH!L$1,SMALL(Dong2,ROWS($1:32)),),OFFSET(TH!M$1,SMALL(Dong2,ROWS($1:32)),)))</f>
        <v>131</v>
      </c>
      <c r="F43" s="476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27871470</v>
      </c>
      <c r="G43" s="476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607">
        <f t="shared" ca="1" si="1"/>
        <v>39089957</v>
      </c>
      <c r="I43" s="473"/>
    </row>
    <row r="44" spans="1:12" s="145" customFormat="1" ht="18.75" customHeight="1">
      <c r="A44" s="156">
        <f ca="1">IF(ROWS($1:33)&gt;COUNT(Dong2),"",OFFSET(TH!C$1,SMALL(Dong2,ROWS($1:33)),))</f>
        <v>41607</v>
      </c>
      <c r="B44" s="156" t="str">
        <f ca="1">IF(ROWS($1:33)&gt;COUNT(Dong2),"",OFFSET(TH!D$1,SMALL(Dong2,ROWS($1:33)),))</f>
        <v>T10</v>
      </c>
      <c r="C44" s="156">
        <f ca="1">IF(ROWS($1:33)&gt;COUNT(Dong2),"",OFFSET(TH!E$1,SMALL(Dong2,ROWS($1:33)),))</f>
        <v>41607</v>
      </c>
      <c r="D44" s="235" t="str">
        <f ca="1">IF(ROWS($1:33)&gt;COUNT(Dong2),"",OFFSET(TH!F$1,SMALL(Dong2,ROWS($1:33)),))</f>
        <v>Chi sec nhập quỹ tiền mặt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6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6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39000000</v>
      </c>
      <c r="H44" s="607">
        <f t="shared" ref="H44" ca="1" si="2">IF(A44&lt;&gt;"",H43+F44-G44,0)</f>
        <v>89957</v>
      </c>
      <c r="I44" s="473"/>
    </row>
    <row r="45" spans="1:12" s="145" customFormat="1" ht="18.75" customHeight="1">
      <c r="A45" s="156">
        <f ca="1">IF(ROWS($1:34)&gt;COUNT(Dong2),"",OFFSET(TH!C$1,SMALL(Dong2,ROWS($1:34)),))</f>
        <v>41613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41613</v>
      </c>
      <c r="D45" s="235" t="str">
        <f ca="1">IF(ROWS($1:34)&gt;COUNT(Dong2),"",OFFSET(TH!F$1,SMALL(Dong2,ROWS($1:34)),))</f>
        <v>Thu tiền hàng</v>
      </c>
      <c r="E45" s="156" t="str">
        <f ca="1">IF(ROWS($1:34)&gt;COUNT(Dong2),"",IF(OFFSET(TH!M$1,SMALL(Dong2,ROWS($1:34)),)=$I$6,OFFSET(TH!L$1,SMALL(Dong2,ROWS($1:34)),),OFFSET(TH!M$1,SMALL(Dong2,ROWS($1:34)),)))</f>
        <v>131</v>
      </c>
      <c r="F45" s="476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6157635</v>
      </c>
      <c r="G45" s="476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0</v>
      </c>
      <c r="H45" s="607">
        <f t="shared" ref="H45:H54" ca="1" si="3">IF(A45&lt;&gt;"",H44+F45-G45,0)</f>
        <v>6247592</v>
      </c>
      <c r="I45" s="473"/>
    </row>
    <row r="46" spans="1:12" s="145" customFormat="1" ht="18.75" customHeight="1">
      <c r="A46" s="156">
        <f ca="1">IF(ROWS($1:35)&gt;COUNT(Dong2),"",OFFSET(TH!C$1,SMALL(Dong2,ROWS($1:35)),))</f>
        <v>41613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41613</v>
      </c>
      <c r="D46" s="235" t="str">
        <f ca="1">IF(ROWS($1:35)&gt;COUNT(Dong2),"",OFFSET(TH!F$1,SMALL(Dong2,ROWS($1:35)),))</f>
        <v>Thu tiền hàng</v>
      </c>
      <c r="E46" s="156" t="str">
        <f ca="1">IF(ROWS($1:35)&gt;COUNT(Dong2),"",IF(OFFSET(TH!M$1,SMALL(Dong2,ROWS($1:35)),)=$I$6,OFFSET(TH!L$1,SMALL(Dong2,ROWS($1:35)),),OFFSET(TH!M$1,SMALL(Dong2,ROWS($1:35)),)))</f>
        <v>131</v>
      </c>
      <c r="F46" s="476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21014400</v>
      </c>
      <c r="G46" s="476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07">
        <f t="shared" ca="1" si="3"/>
        <v>27261992</v>
      </c>
      <c r="I46" s="473"/>
    </row>
    <row r="47" spans="1:12" s="145" customFormat="1" ht="18.75" customHeight="1">
      <c r="A47" s="156">
        <f ca="1">IF(ROWS($1:36)&gt;COUNT(Dong2),"",OFFSET(TH!C$1,SMALL(Dong2,ROWS($1:36)),))</f>
        <v>41614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41614</v>
      </c>
      <c r="D47" s="235" t="str">
        <f ca="1">IF(ROWS($1:36)&gt;COUNT(Dong2),"",OFFSET(TH!F$1,SMALL(Dong2,ROWS($1:36)),))</f>
        <v>Thu tiền hàng</v>
      </c>
      <c r="E47" s="156" t="str">
        <f ca="1">IF(ROWS($1:36)&gt;COUNT(Dong2),"",IF(OFFSET(TH!M$1,SMALL(Dong2,ROWS($1:36)),)=$I$6,OFFSET(TH!L$1,SMALL(Dong2,ROWS($1:36)),),OFFSET(TH!M$1,SMALL(Dong2,ROWS($1:36)),)))</f>
        <v>131</v>
      </c>
      <c r="F47" s="476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23651870</v>
      </c>
      <c r="G47" s="476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0</v>
      </c>
      <c r="H47" s="607">
        <f t="shared" ca="1" si="3"/>
        <v>50913862</v>
      </c>
      <c r="I47" s="473"/>
    </row>
    <row r="48" spans="1:12" s="145" customFormat="1" ht="18.75" customHeight="1">
      <c r="A48" s="156">
        <f ca="1">IF(ROWS($1:37)&gt;COUNT(Dong2),"",OFFSET(TH!C$1,SMALL(Dong2,ROWS($1:37)),))</f>
        <v>41617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41617</v>
      </c>
      <c r="D48" s="235" t="str">
        <f ca="1">IF(ROWS($1:37)&gt;COUNT(Dong2),"",OFFSET(TH!F$1,SMALL(Dong2,ROWS($1:37)),))</f>
        <v>Thu tiền hàng</v>
      </c>
      <c r="E48" s="156" t="str">
        <f ca="1">IF(ROWS($1:37)&gt;COUNT(Dong2),"",IF(OFFSET(TH!M$1,SMALL(Dong2,ROWS($1:37)),)=$I$6,OFFSET(TH!L$1,SMALL(Dong2,ROWS($1:37)),),OFFSET(TH!M$1,SMALL(Dong2,ROWS($1:37)),)))</f>
        <v>131</v>
      </c>
      <c r="F48" s="476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15030851</v>
      </c>
      <c r="G48" s="476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0</v>
      </c>
      <c r="H48" s="607">
        <f t="shared" ca="1" si="3"/>
        <v>65944713</v>
      </c>
      <c r="I48" s="473"/>
    </row>
    <row r="49" spans="1:9" s="145" customFormat="1" ht="18.75" customHeight="1">
      <c r="A49" s="156">
        <f ca="1">IF(ROWS($1:38)&gt;COUNT(Dong2),"",OFFSET(TH!C$1,SMALL(Dong2,ROWS($1:38)),))</f>
        <v>41618</v>
      </c>
      <c r="B49" s="156" t="str">
        <f ca="1">IF(ROWS($1:38)&gt;COUNT(Dong2),"",OFFSET(TH!D$1,SMALL(Dong2,ROWS($1:38)),))</f>
        <v>GBN</v>
      </c>
      <c r="C49" s="156">
        <f ca="1">IF(ROWS($1:38)&gt;COUNT(Dong2),"",OFFSET(TH!E$1,SMALL(Dong2,ROWS($1:38)),))</f>
        <v>41618</v>
      </c>
      <c r="D49" s="235" t="str">
        <f ca="1">IF(ROWS($1:38)&gt;COUNT(Dong2),"",OFFSET(TH!F$1,SMALL(Dong2,ROWS($1:38)),))</f>
        <v>Phí bán 3 cuốn sec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6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6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45000</v>
      </c>
      <c r="H49" s="607">
        <f t="shared" ca="1" si="3"/>
        <v>65899713</v>
      </c>
      <c r="I49" s="473"/>
    </row>
    <row r="50" spans="1:9" s="145" customFormat="1" ht="18.75" customHeight="1">
      <c r="A50" s="156">
        <f ca="1">IF(ROWS($1:39)&gt;COUNT(Dong2),"",OFFSET(TH!C$1,SMALL(Dong2,ROWS($1:39)),))</f>
        <v>41618</v>
      </c>
      <c r="B50" s="156" t="str">
        <f ca="1">IF(ROWS($1:39)&gt;COUNT(Dong2),"",OFFSET(TH!D$1,SMALL(Dong2,ROWS($1:39)),))</f>
        <v>T11</v>
      </c>
      <c r="C50" s="156">
        <f ca="1">IF(ROWS($1:39)&gt;COUNT(Dong2),"",OFFSET(TH!E$1,SMALL(Dong2,ROWS($1:39)),))</f>
        <v>41618</v>
      </c>
      <c r="D50" s="235" t="str">
        <f ca="1">IF(ROWS($1:39)&gt;COUNT(Dong2),"",OFFSET(TH!F$1,SMALL(Dong2,ROWS($1:39)),))</f>
        <v>Chi sec nhập quỹ tiền mặt</v>
      </c>
      <c r="E50" s="156" t="str">
        <f ca="1">IF(ROWS($1:39)&gt;COUNT(Dong2),"",IF(OFFSET(TH!M$1,SMALL(Dong2,ROWS($1:39)),)=$I$6,OFFSET(TH!L$1,SMALL(Dong2,ROWS($1:39)),),OFFSET(TH!M$1,SMALL(Dong2,ROWS($1:39)),)))</f>
        <v>1111</v>
      </c>
      <c r="F50" s="476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6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65800000</v>
      </c>
      <c r="H50" s="607">
        <f t="shared" ca="1" si="3"/>
        <v>99713</v>
      </c>
      <c r="I50" s="473"/>
    </row>
    <row r="51" spans="1:9" s="145" customFormat="1" ht="18.75" customHeight="1">
      <c r="A51" s="156">
        <f ca="1">IF(ROWS($1:40)&gt;COUNT(Dong2),"",OFFSET(TH!C$1,SMALL(Dong2,ROWS($1:40)),))</f>
        <v>41620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41620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6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13659140</v>
      </c>
      <c r="G51" s="476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7">
        <f t="shared" ca="1" si="3"/>
        <v>13758853</v>
      </c>
      <c r="I51" s="473"/>
    </row>
    <row r="52" spans="1:9" s="145" customFormat="1" ht="18.75" customHeight="1">
      <c r="A52" s="156">
        <f ca="1">IF(ROWS($1:41)&gt;COUNT(Dong2),"",OFFSET(TH!C$1,SMALL(Dong2,ROWS($1:41)),))</f>
        <v>41624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41624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6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13413400</v>
      </c>
      <c r="G52" s="476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7">
        <f t="shared" ca="1" si="3"/>
        <v>27172253</v>
      </c>
      <c r="I52" s="473"/>
    </row>
    <row r="53" spans="1:9" s="145" customFormat="1" ht="18.75" customHeight="1">
      <c r="A53" s="156">
        <f ca="1">IF(ROWS($1:42)&gt;COUNT(Dong2),"",OFFSET(TH!C$1,SMALL(Dong2,ROWS($1:42)),))</f>
        <v>41625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41625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6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15019180</v>
      </c>
      <c r="G53" s="476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7">
        <f t="shared" ca="1" si="3"/>
        <v>42191433</v>
      </c>
      <c r="I53" s="473"/>
    </row>
    <row r="54" spans="1:9" s="145" customFormat="1" ht="18.75" customHeight="1">
      <c r="A54" s="156">
        <f ca="1">IF(ROWS($1:43)&gt;COUNT(Dong2),"",OFFSET(TH!C$1,SMALL(Dong2,ROWS($1:43)),))</f>
        <v>41625</v>
      </c>
      <c r="B54" s="156" t="str">
        <f ca="1">IF(ROWS($1:43)&gt;COUNT(Dong2),"",OFFSET(TH!D$1,SMALL(Dong2,ROWS($1:43)),))</f>
        <v>T12</v>
      </c>
      <c r="C54" s="156">
        <f ca="1">IF(ROWS($1:43)&gt;COUNT(Dong2),"",OFFSET(TH!E$1,SMALL(Dong2,ROWS($1:43)),))</f>
        <v>41625</v>
      </c>
      <c r="D54" s="235" t="str">
        <f ca="1">IF(ROWS($1:43)&gt;COUNT(Dong2),"",OFFSET(TH!F$1,SMALL(Dong2,ROWS($1:43)),))</f>
        <v>Chi sec nhập quỹ tiền mặt</v>
      </c>
      <c r="E54" s="156" t="str">
        <f ca="1">IF(ROWS($1:43)&gt;COUNT(Dong2),"",IF(OFFSET(TH!M$1,SMALL(Dong2,ROWS($1:43)),)=$I$6,OFFSET(TH!L$1,SMALL(Dong2,ROWS($1:43)),),OFFSET(TH!M$1,SMALL(Dong2,ROWS($1:43)),)))</f>
        <v>1111</v>
      </c>
      <c r="F54" s="476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6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42000000</v>
      </c>
      <c r="H54" s="607">
        <f t="shared" ca="1" si="3"/>
        <v>191433</v>
      </c>
      <c r="I54" s="473"/>
    </row>
    <row r="55" spans="1:9" s="145" customFormat="1" ht="18.75" customHeight="1">
      <c r="A55" s="156">
        <f ca="1">IF(ROWS($1:44)&gt;COUNT(Dong2),"",OFFSET(TH!C$1,SMALL(Dong2,ROWS($1:44)),))</f>
        <v>41632</v>
      </c>
      <c r="B55" s="156" t="str">
        <f ca="1">IF(ROWS($1:44)&gt;COUNT(Dong2),"",OFFSET(TH!D$1,SMALL(Dong2,ROWS($1:44)),))</f>
        <v>GBC</v>
      </c>
      <c r="C55" s="156">
        <f ca="1">IF(ROWS($1:44)&gt;COUNT(Dong2),"",OFFSET(TH!E$1,SMALL(Dong2,ROWS($1:44)),))</f>
        <v>41632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6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23385120</v>
      </c>
      <c r="G55" s="476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7">
        <f t="shared" ref="H55:H68" ca="1" si="4">IF(A55&lt;&gt;"",H54+F55-G55,0)</f>
        <v>23576553</v>
      </c>
      <c r="I55" s="473"/>
    </row>
    <row r="56" spans="1:9" s="145" customFormat="1" ht="18.75" customHeight="1">
      <c r="A56" s="156">
        <f ca="1">IF(ROWS($1:45)&gt;COUNT(Dong2),"",OFFSET(TH!C$1,SMALL(Dong2,ROWS($1:45)),))</f>
        <v>41633</v>
      </c>
      <c r="B56" s="156" t="str">
        <f ca="1">IF(ROWS($1:45)&gt;COUNT(Dong2),"",OFFSET(TH!D$1,SMALL(Dong2,ROWS($1:45)),))</f>
        <v>GBC</v>
      </c>
      <c r="C56" s="156">
        <f ca="1">IF(ROWS($1:45)&gt;COUNT(Dong2),"",OFFSET(TH!E$1,SMALL(Dong2,ROWS($1:45)),))</f>
        <v>41633</v>
      </c>
      <c r="D56" s="235" t="str">
        <f ca="1">IF(ROWS($1:45)&gt;COUNT(Dong2),"",OFFSET(TH!F$1,SMALL(Dong2,ROWS($1:45)),))</f>
        <v>Lãi tiền gửi</v>
      </c>
      <c r="E56" s="156" t="str">
        <f ca="1">IF(ROWS($1:45)&gt;COUNT(Dong2),"",IF(OFFSET(TH!M$1,SMALL(Dong2,ROWS($1:45)),)=$I$6,OFFSET(TH!L$1,SMALL(Dong2,ROWS($1:45)),),OFFSET(TH!M$1,SMALL(Dong2,ROWS($1:45)),)))</f>
        <v>515</v>
      </c>
      <c r="F56" s="476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14562</v>
      </c>
      <c r="G56" s="476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7">
        <f t="shared" ca="1" si="4"/>
        <v>23591115</v>
      </c>
      <c r="I56" s="473"/>
    </row>
    <row r="57" spans="1:9" s="145" customFormat="1" ht="18.75" customHeight="1">
      <c r="A57" s="156">
        <f ca="1">IF(ROWS($1:46)&gt;COUNT(Dong2),"",OFFSET(TH!C$1,SMALL(Dong2,ROWS($1:46)),))</f>
        <v>41635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41635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6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9421720</v>
      </c>
      <c r="G57" s="476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7">
        <f t="shared" ca="1" si="4"/>
        <v>33012835</v>
      </c>
      <c r="I57" s="473"/>
    </row>
    <row r="58" spans="1:9" s="145" customFormat="1" ht="18.75" customHeight="1">
      <c r="A58" s="156">
        <f ca="1">IF(ROWS($1:47)&gt;COUNT(Dong2),"",OFFSET(TH!C$1,SMALL(Dong2,ROWS($1:47)),))</f>
        <v>41639</v>
      </c>
      <c r="B58" s="156" t="str">
        <f ca="1">IF(ROWS($1:47)&gt;COUNT(Dong2),"",OFFSET(TH!D$1,SMALL(Dong2,ROWS($1:47)),))</f>
        <v>T13</v>
      </c>
      <c r="C58" s="156">
        <f ca="1">IF(ROWS($1:47)&gt;COUNT(Dong2),"",OFFSET(TH!E$1,SMALL(Dong2,ROWS($1:47)),))</f>
        <v>41639</v>
      </c>
      <c r="D58" s="235" t="str">
        <f ca="1">IF(ROWS($1:47)&gt;COUNT(Dong2),"",OFFSET(TH!F$1,SMALL(Dong2,ROWS($1:47)),))</f>
        <v>Chi sec nhập quỹ tiền mặt</v>
      </c>
      <c r="E58" s="156" t="str">
        <f ca="1">IF(ROWS($1:47)&gt;COUNT(Dong2),"",IF(OFFSET(TH!M$1,SMALL(Dong2,ROWS($1:47)),)=$I$6,OFFSET(TH!L$1,SMALL(Dong2,ROWS($1:47)),),OFFSET(TH!M$1,SMALL(Dong2,ROWS($1:47)),)))</f>
        <v>1111</v>
      </c>
      <c r="F58" s="476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76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32900000</v>
      </c>
      <c r="H58" s="607">
        <f t="shared" ca="1" si="4"/>
        <v>112835</v>
      </c>
      <c r="I58" s="473"/>
    </row>
    <row r="59" spans="1:9" s="145" customFormat="1" ht="18.75" customHeight="1">
      <c r="A59" s="156" t="str">
        <f ca="1">IF(ROWS($1:48)&gt;COUNT(Dong2),"",OFFSET(TH!C$1,SMALL(Dong2,ROWS($1:48)),))</f>
        <v/>
      </c>
      <c r="B59" s="156" t="str">
        <f ca="1">IF(ROWS($1:48)&gt;COUNT(Dong2),"",OFFSET(TH!D$1,SMALL(Dong2,ROWS($1:48)),))</f>
        <v/>
      </c>
      <c r="C59" s="156" t="str">
        <f ca="1">IF(ROWS($1:48)&gt;COUNT(Dong2),"",OFFSET(TH!E$1,SMALL(Dong2,ROWS($1:48)),))</f>
        <v/>
      </c>
      <c r="D59" s="235" t="str">
        <f ca="1">IF(ROWS($1:48)&gt;COUNT(Dong2),"",OFFSET(TH!F$1,SMALL(Dong2,ROWS($1:48)),))</f>
        <v/>
      </c>
      <c r="E59" s="156" t="str">
        <f ca="1">IF(ROWS($1:48)&gt;COUNT(Dong2),"",IF(OFFSET(TH!M$1,SMALL(Dong2,ROWS($1:48)),)=$I$6,OFFSET(TH!L$1,SMALL(Dong2,ROWS($1:48)),),OFFSET(TH!M$1,SMALL(Dong2,ROWS($1:48)),)))</f>
        <v/>
      </c>
      <c r="F59" s="476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6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607">
        <f t="shared" ca="1" si="4"/>
        <v>0</v>
      </c>
      <c r="I59" s="473"/>
    </row>
    <row r="60" spans="1:9" s="145" customFormat="1" ht="18.75" customHeight="1">
      <c r="A60" s="156" t="str">
        <f ca="1">IF(ROWS($1:49)&gt;COUNT(Dong2),"",OFFSET(TH!C$1,SMALL(Dong2,ROWS($1:49)),))</f>
        <v/>
      </c>
      <c r="B60" s="156" t="str">
        <f ca="1">IF(ROWS($1:49)&gt;COUNT(Dong2),"",OFFSET(TH!D$1,SMALL(Dong2,ROWS($1:49)),))</f>
        <v/>
      </c>
      <c r="C60" s="156" t="str">
        <f ca="1">IF(ROWS($1:49)&gt;COUNT(Dong2),"",OFFSET(TH!E$1,SMALL(Dong2,ROWS($1:49)),))</f>
        <v/>
      </c>
      <c r="D60" s="235" t="str">
        <f ca="1">IF(ROWS($1:49)&gt;COUNT(Dong2),"",OFFSET(TH!F$1,SMALL(Dong2,ROWS($1:49)),))</f>
        <v/>
      </c>
      <c r="E60" s="156" t="str">
        <f ca="1">IF(ROWS($1:49)&gt;COUNT(Dong2),"",IF(OFFSET(TH!M$1,SMALL(Dong2,ROWS($1:49)),)=$I$6,OFFSET(TH!L$1,SMALL(Dong2,ROWS($1:49)),),OFFSET(TH!M$1,SMALL(Dong2,ROWS($1:49)),)))</f>
        <v/>
      </c>
      <c r="F60" s="476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6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607">
        <f t="shared" ca="1" si="4"/>
        <v>0</v>
      </c>
      <c r="I60" s="473"/>
    </row>
    <row r="61" spans="1:9" s="145" customFormat="1" ht="18.75" customHeight="1">
      <c r="A61" s="156" t="str">
        <f ca="1">IF(ROWS($1:50)&gt;COUNT(Dong2),"",OFFSET(TH!C$1,SMALL(Dong2,ROWS($1:50)),))</f>
        <v/>
      </c>
      <c r="B61" s="156" t="str">
        <f ca="1">IF(ROWS($1:50)&gt;COUNT(Dong2),"",OFFSET(TH!D$1,SMALL(Dong2,ROWS($1:50)),))</f>
        <v/>
      </c>
      <c r="C61" s="156" t="str">
        <f ca="1">IF(ROWS($1:50)&gt;COUNT(Dong2),"",OFFSET(TH!E$1,SMALL(Dong2,ROWS($1:50)),))</f>
        <v/>
      </c>
      <c r="D61" s="235" t="str">
        <f ca="1">IF(ROWS($1:50)&gt;COUNT(Dong2),"",OFFSET(TH!F$1,SMALL(Dong2,ROWS($1:50)),))</f>
        <v/>
      </c>
      <c r="E61" s="156" t="str">
        <f ca="1">IF(ROWS($1:50)&gt;COUNT(Dong2),"",IF(OFFSET(TH!M$1,SMALL(Dong2,ROWS($1:50)),)=$I$6,OFFSET(TH!L$1,SMALL(Dong2,ROWS($1:50)),),OFFSET(TH!M$1,SMALL(Dong2,ROWS($1:50)),)))</f>
        <v/>
      </c>
      <c r="F61" s="476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6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607">
        <f t="shared" ca="1" si="4"/>
        <v>0</v>
      </c>
      <c r="I61" s="473"/>
    </row>
    <row r="62" spans="1:9" s="145" customFormat="1" ht="18.75" customHeight="1">
      <c r="A62" s="156" t="str">
        <f ca="1">IF(ROWS($1:51)&gt;COUNT(Dong2),"",OFFSET(TH!C$1,SMALL(Dong2,ROWS($1:51)),))</f>
        <v/>
      </c>
      <c r="B62" s="156" t="str">
        <f ca="1">IF(ROWS($1:51)&gt;COUNT(Dong2),"",OFFSET(TH!D$1,SMALL(Dong2,ROWS($1:51)),))</f>
        <v/>
      </c>
      <c r="C62" s="156" t="str">
        <f ca="1">IF(ROWS($1:51)&gt;COUNT(Dong2),"",OFFSET(TH!E$1,SMALL(Dong2,ROWS($1:51)),))</f>
        <v/>
      </c>
      <c r="D62" s="235" t="str">
        <f ca="1">IF(ROWS($1:51)&gt;COUNT(Dong2),"",OFFSET(TH!F$1,SMALL(Dong2,ROWS($1:51)),))</f>
        <v/>
      </c>
      <c r="E62" s="156" t="str">
        <f ca="1">IF(ROWS($1:51)&gt;COUNT(Dong2),"",IF(OFFSET(TH!M$1,SMALL(Dong2,ROWS($1:51)),)=$I$6,OFFSET(TH!L$1,SMALL(Dong2,ROWS($1:51)),),OFFSET(TH!M$1,SMALL(Dong2,ROWS($1:51)),)))</f>
        <v/>
      </c>
      <c r="F62" s="476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6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607">
        <f t="shared" ca="1" si="4"/>
        <v>0</v>
      </c>
      <c r="I62" s="473"/>
    </row>
    <row r="63" spans="1:9" s="145" customFormat="1" ht="18.75" customHeight="1">
      <c r="A63" s="156" t="str">
        <f ca="1">IF(ROWS($1:52)&gt;COUNT(Dong2),"",OFFSET(TH!C$1,SMALL(Dong2,ROWS($1:52)),))</f>
        <v/>
      </c>
      <c r="B63" s="156" t="str">
        <f ca="1">IF(ROWS($1:52)&gt;COUNT(Dong2),"",OFFSET(TH!D$1,SMALL(Dong2,ROWS($1:52)),))</f>
        <v/>
      </c>
      <c r="C63" s="156" t="str">
        <f ca="1">IF(ROWS($1:52)&gt;COUNT(Dong2),"",OFFSET(TH!E$1,SMALL(Dong2,ROWS($1:52)),))</f>
        <v/>
      </c>
      <c r="D63" s="235" t="str">
        <f ca="1">IF(ROWS($1:52)&gt;COUNT(Dong2),"",OFFSET(TH!F$1,SMALL(Dong2,ROWS($1:52)),))</f>
        <v/>
      </c>
      <c r="E63" s="156" t="str">
        <f ca="1">IF(ROWS($1:52)&gt;COUNT(Dong2),"",IF(OFFSET(TH!M$1,SMALL(Dong2,ROWS($1:52)),)=$I$6,OFFSET(TH!L$1,SMALL(Dong2,ROWS($1:52)),),OFFSET(TH!M$1,SMALL(Dong2,ROWS($1:52)),)))</f>
        <v/>
      </c>
      <c r="F63" s="476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6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607">
        <f t="shared" ca="1" si="4"/>
        <v>0</v>
      </c>
      <c r="I63" s="473"/>
    </row>
    <row r="64" spans="1:9" s="145" customFormat="1" ht="18.75" customHeight="1">
      <c r="A64" s="156" t="str">
        <f ca="1">IF(ROWS($1:53)&gt;COUNT(Dong2),"",OFFSET(TH!C$1,SMALL(Dong2,ROWS($1:53)),))</f>
        <v/>
      </c>
      <c r="B64" s="156" t="str">
        <f ca="1">IF(ROWS($1:53)&gt;COUNT(Dong2),"",OFFSET(TH!D$1,SMALL(Dong2,ROWS($1:53)),))</f>
        <v/>
      </c>
      <c r="C64" s="156" t="str">
        <f ca="1">IF(ROWS($1:53)&gt;COUNT(Dong2),"",OFFSET(TH!E$1,SMALL(Dong2,ROWS($1:53)),))</f>
        <v/>
      </c>
      <c r="D64" s="235" t="str">
        <f ca="1">IF(ROWS($1:53)&gt;COUNT(Dong2),"",OFFSET(TH!F$1,SMALL(Dong2,ROWS($1:53)),))</f>
        <v/>
      </c>
      <c r="E64" s="156" t="str">
        <f ca="1">IF(ROWS($1:53)&gt;COUNT(Dong2),"",IF(OFFSET(TH!M$1,SMALL(Dong2,ROWS($1:53)),)=$I$6,OFFSET(TH!L$1,SMALL(Dong2,ROWS($1:53)),),OFFSET(TH!M$1,SMALL(Dong2,ROWS($1:53)),)))</f>
        <v/>
      </c>
      <c r="F64" s="476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6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607">
        <f t="shared" ca="1" si="4"/>
        <v>0</v>
      </c>
      <c r="I64" s="473"/>
    </row>
    <row r="65" spans="1:20" s="145" customFormat="1" ht="18.75" customHeight="1">
      <c r="A65" s="156" t="str">
        <f ca="1">IF(ROWS($1:54)&gt;COUNT(Dong2),"",OFFSET(TH!C$1,SMALL(Dong2,ROWS($1:54)),))</f>
        <v/>
      </c>
      <c r="B65" s="156" t="str">
        <f ca="1">IF(ROWS($1:54)&gt;COUNT(Dong2),"",OFFSET(TH!D$1,SMALL(Dong2,ROWS($1:54)),))</f>
        <v/>
      </c>
      <c r="C65" s="156" t="str">
        <f ca="1">IF(ROWS($1:54)&gt;COUNT(Dong2),"",OFFSET(TH!E$1,SMALL(Dong2,ROWS($1:54)),))</f>
        <v/>
      </c>
      <c r="D65" s="235" t="str">
        <f ca="1">IF(ROWS($1:54)&gt;COUNT(Dong2),"",OFFSET(TH!F$1,SMALL(Dong2,ROWS($1:54)),))</f>
        <v/>
      </c>
      <c r="E65" s="156" t="str">
        <f ca="1">IF(ROWS($1:54)&gt;COUNT(Dong2),"",IF(OFFSET(TH!M$1,SMALL(Dong2,ROWS($1:54)),)=$I$6,OFFSET(TH!L$1,SMALL(Dong2,ROWS($1:54)),),OFFSET(TH!M$1,SMALL(Dong2,ROWS($1:54)),)))</f>
        <v/>
      </c>
      <c r="F65" s="476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6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607">
        <f t="shared" ca="1" si="4"/>
        <v>0</v>
      </c>
      <c r="I65" s="473"/>
    </row>
    <row r="66" spans="1:20" s="145" customFormat="1" ht="18.75" customHeight="1">
      <c r="A66" s="156" t="str">
        <f ca="1">IF(ROWS($1:55)&gt;COUNT(Dong2),"",OFFSET(TH!C$1,SMALL(Dong2,ROWS($1:55)),))</f>
        <v/>
      </c>
      <c r="B66" s="156" t="str">
        <f ca="1">IF(ROWS($1:55)&gt;COUNT(Dong2),"",OFFSET(TH!D$1,SMALL(Dong2,ROWS($1:55)),))</f>
        <v/>
      </c>
      <c r="C66" s="156" t="str">
        <f ca="1">IF(ROWS($1:55)&gt;COUNT(Dong2),"",OFFSET(TH!E$1,SMALL(Dong2,ROWS($1:55)),))</f>
        <v/>
      </c>
      <c r="D66" s="235" t="str">
        <f ca="1">IF(ROWS($1:55)&gt;COUNT(Dong2),"",OFFSET(TH!F$1,SMALL(Dong2,ROWS($1:55)),))</f>
        <v/>
      </c>
      <c r="E66" s="156" t="str">
        <f ca="1">IF(ROWS($1:55)&gt;COUNT(Dong2),"",IF(OFFSET(TH!M$1,SMALL(Dong2,ROWS($1:55)),)=$I$6,OFFSET(TH!L$1,SMALL(Dong2,ROWS($1:55)),),OFFSET(TH!M$1,SMALL(Dong2,ROWS($1:55)),)))</f>
        <v/>
      </c>
      <c r="F66" s="476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6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607">
        <f t="shared" ca="1" si="4"/>
        <v>0</v>
      </c>
      <c r="I66" s="473"/>
    </row>
    <row r="67" spans="1:20" s="145" customFormat="1" ht="18.75" customHeight="1">
      <c r="A67" s="156" t="str">
        <f ca="1">IF(ROWS($1:56)&gt;COUNT(Dong2),"",OFFSET(TH!C$1,SMALL(Dong2,ROWS($1:56)),))</f>
        <v/>
      </c>
      <c r="B67" s="156" t="str">
        <f ca="1">IF(ROWS($1:56)&gt;COUNT(Dong2),"",OFFSET(TH!D$1,SMALL(Dong2,ROWS($1:56)),))</f>
        <v/>
      </c>
      <c r="C67" s="156" t="str">
        <f ca="1">IF(ROWS($1:56)&gt;COUNT(Dong2),"",OFFSET(TH!E$1,SMALL(Dong2,ROWS($1:56)),))</f>
        <v/>
      </c>
      <c r="D67" s="235" t="str">
        <f ca="1">IF(ROWS($1:56)&gt;COUNT(Dong2),"",OFFSET(TH!F$1,SMALL(Dong2,ROWS($1:56)),))</f>
        <v/>
      </c>
      <c r="E67" s="156" t="str">
        <f ca="1">IF(ROWS($1:56)&gt;COUNT(Dong2),"",IF(OFFSET(TH!M$1,SMALL(Dong2,ROWS($1:56)),)=$I$6,OFFSET(TH!L$1,SMALL(Dong2,ROWS($1:56)),),OFFSET(TH!M$1,SMALL(Dong2,ROWS($1:56)),)))</f>
        <v/>
      </c>
      <c r="F67" s="476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6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607">
        <f t="shared" ca="1" si="4"/>
        <v>0</v>
      </c>
      <c r="I67" s="473"/>
    </row>
    <row r="68" spans="1:20" s="145" customFormat="1" ht="18.75" customHeight="1">
      <c r="A68" s="156" t="str">
        <f ca="1">IF(ROWS($1:57)&gt;COUNT(Dong2),"",OFFSET(TH!C$1,SMALL(Dong2,ROWS($1:57)),))</f>
        <v/>
      </c>
      <c r="B68" s="156" t="str">
        <f ca="1">IF(ROWS($1:57)&gt;COUNT(Dong2),"",OFFSET(TH!D$1,SMALL(Dong2,ROWS($1:57)),))</f>
        <v/>
      </c>
      <c r="C68" s="156" t="str">
        <f ca="1">IF(ROWS($1:57)&gt;COUNT(Dong2),"",OFFSET(TH!E$1,SMALL(Dong2,ROWS($1:57)),))</f>
        <v/>
      </c>
      <c r="D68" s="235" t="str">
        <f ca="1">IF(ROWS($1:57)&gt;COUNT(Dong2),"",OFFSET(TH!F$1,SMALL(Dong2,ROWS($1:57)),))</f>
        <v/>
      </c>
      <c r="E68" s="156" t="str">
        <f ca="1">IF(ROWS($1:57)&gt;COUNT(Dong2),"",IF(OFFSET(TH!M$1,SMALL(Dong2,ROWS($1:57)),)=$I$6,OFFSET(TH!L$1,SMALL(Dong2,ROWS($1:57)),),OFFSET(TH!M$1,SMALL(Dong2,ROWS($1:57)),)))</f>
        <v/>
      </c>
      <c r="F68" s="476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6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607">
        <f t="shared" ca="1" si="4"/>
        <v>0</v>
      </c>
      <c r="I68" s="473"/>
    </row>
    <row r="69" spans="1:20" s="145" customFormat="1" ht="18.75" customHeight="1">
      <c r="A69" s="156"/>
      <c r="B69" s="156"/>
      <c r="C69" s="156"/>
      <c r="D69" s="235"/>
      <c r="E69" s="156"/>
      <c r="F69" s="476"/>
      <c r="G69" s="476"/>
      <c r="H69" s="607"/>
      <c r="I69" s="473"/>
      <c r="Q69" s="155"/>
      <c r="R69" s="155"/>
      <c r="S69" s="155"/>
      <c r="T69" s="155"/>
    </row>
    <row r="70" spans="1:20" s="155" customFormat="1" ht="18.75" customHeight="1">
      <c r="A70" s="157"/>
      <c r="B70" s="158"/>
      <c r="C70" s="157"/>
      <c r="D70" s="154" t="s">
        <v>133</v>
      </c>
      <c r="E70" s="159"/>
      <c r="F70" s="475">
        <f ca="1">SUM(F12:F69)</f>
        <v>457023891</v>
      </c>
      <c r="G70" s="475">
        <f ca="1">SUM(G12:G69)</f>
        <v>471845000</v>
      </c>
      <c r="H70" s="475">
        <f ca="1">H11+F70-G70</f>
        <v>112835</v>
      </c>
      <c r="I70" s="474"/>
    </row>
    <row r="71" spans="1:20" s="155" customFormat="1" ht="18.75" customHeight="1">
      <c r="A71" s="157"/>
      <c r="B71" s="158"/>
      <c r="C71" s="157"/>
      <c r="D71" s="154" t="s">
        <v>10</v>
      </c>
      <c r="E71" s="159"/>
      <c r="F71" s="160"/>
      <c r="G71" s="160"/>
      <c r="H71" s="475">
        <f ca="1">H70</f>
        <v>112835</v>
      </c>
      <c r="I71" s="159"/>
    </row>
    <row r="72" spans="1:20" s="155" customFormat="1" ht="22.5" customHeight="1">
      <c r="A72" s="252" t="s">
        <v>155</v>
      </c>
      <c r="B72" s="161"/>
      <c r="F72" s="162"/>
      <c r="H72" s="600"/>
      <c r="I72" s="163"/>
    </row>
    <row r="73" spans="1:20" s="155" customFormat="1" ht="12.75">
      <c r="A73" s="180" t="str">
        <f ca="1">"- Ngày mở sổ: "&amp;DAY($A$12)&amp;"/"&amp;MONTH($A$12)&amp;"/ " &amp;YEAR($A$12)</f>
        <v>- Ngày mở sổ: 5/10/ 2013</v>
      </c>
      <c r="B73" s="164"/>
      <c r="F73" s="162"/>
      <c r="H73" s="600"/>
      <c r="I73" s="163"/>
    </row>
    <row r="74" spans="1:20" s="155" customFormat="1" ht="12.75">
      <c r="A74" s="165"/>
      <c r="B74" s="166"/>
      <c r="C74" s="167"/>
      <c r="F74" s="162"/>
      <c r="G74" s="190" t="str">
        <f ca="1">"Ngày "&amp;IF(OR($K$9=4,$K$9=6,$K$9=9,$K$9=11),"30",IF($K$9=2,"28","31"))&amp;"  tháng  "&amp;$O$8&amp;"  năm   "&amp;YEAR($A$12)</f>
        <v>Ngày 31  tháng  12  năm   2013</v>
      </c>
      <c r="H74" s="600"/>
    </row>
    <row r="75" spans="1:20" s="155" customFormat="1" ht="17.25" customHeight="1">
      <c r="B75" s="168" t="s">
        <v>11</v>
      </c>
      <c r="D75" s="168" t="s">
        <v>12</v>
      </c>
      <c r="F75" s="169"/>
      <c r="G75" s="217" t="s">
        <v>109</v>
      </c>
      <c r="H75" s="601"/>
      <c r="I75" s="236"/>
      <c r="J75" s="170"/>
      <c r="K75" s="165"/>
      <c r="L75" s="165"/>
    </row>
    <row r="76" spans="1:20" s="155" customFormat="1">
      <c r="B76" s="218" t="s">
        <v>13</v>
      </c>
      <c r="D76" s="171" t="s">
        <v>13</v>
      </c>
      <c r="F76" s="172"/>
      <c r="G76" s="219" t="s">
        <v>136</v>
      </c>
      <c r="H76" s="600"/>
      <c r="K76" s="173"/>
      <c r="L76" s="173"/>
      <c r="Q76" s="174"/>
      <c r="R76" s="174"/>
      <c r="S76" s="174"/>
      <c r="T76" s="174"/>
    </row>
  </sheetData>
  <autoFilter ref="A10:K73"/>
  <mergeCells count="14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49"/>
  <sheetViews>
    <sheetView showZeros="0" tabSelected="1" topLeftCell="A4" workbookViewId="0">
      <pane ySplit="2" topLeftCell="A15" activePane="bottomLeft" state="frozen"/>
      <selection activeCell="A4" sqref="A4"/>
      <selection pane="bottomLeft" activeCell="A33" sqref="A33:XFD3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2" t="str">
        <f>TH!$A$1</f>
        <v>Đơn vị: CÔNG TY TNHH SX TM KIM DUNG PHÁT</v>
      </c>
    </row>
    <row r="2" spans="1:9">
      <c r="A2" s="873" t="str">
        <f>TH!$A$2</f>
        <v>Địa chỉ: 1A227/1 Ấp 1, Phạm Văn Hai, Bình Chánh, TPHCM</v>
      </c>
    </row>
    <row r="3" spans="1:9" ht="27" customHeight="1">
      <c r="A3" s="1006" t="s">
        <v>350</v>
      </c>
      <c r="B3" s="1006"/>
      <c r="C3" s="1006"/>
      <c r="D3" s="1006"/>
      <c r="E3" s="1006"/>
      <c r="F3" s="1006"/>
      <c r="G3" s="1006"/>
      <c r="H3" s="1006"/>
    </row>
    <row r="4" spans="1:9" s="10" customFormat="1" ht="14.25" customHeight="1">
      <c r="A4" s="1007" t="s">
        <v>35</v>
      </c>
      <c r="B4" s="1009" t="s">
        <v>36</v>
      </c>
      <c r="C4" s="1011" t="s">
        <v>37</v>
      </c>
      <c r="D4" s="1012"/>
      <c r="E4" s="1011" t="s">
        <v>38</v>
      </c>
      <c r="F4" s="1012"/>
      <c r="G4" s="1011" t="s">
        <v>41</v>
      </c>
      <c r="H4" s="1012"/>
    </row>
    <row r="5" spans="1:9" s="10" customFormat="1" ht="14.25" customHeight="1">
      <c r="A5" s="1008"/>
      <c r="B5" s="1010"/>
      <c r="C5" s="613" t="s">
        <v>42</v>
      </c>
      <c r="D5" s="613" t="s">
        <v>43</v>
      </c>
      <c r="E5" s="613" t="s">
        <v>42</v>
      </c>
      <c r="F5" s="613" t="s">
        <v>43</v>
      </c>
      <c r="G5" s="613" t="s">
        <v>42</v>
      </c>
      <c r="H5" s="613" t="s">
        <v>43</v>
      </c>
    </row>
    <row r="6" spans="1:9" s="10" customFormat="1" ht="16.5" customHeight="1">
      <c r="A6" s="6">
        <f t="shared" ref="A6:A41" si="0">IF(B6&lt;&gt;"",ROW()-5,"")</f>
        <v>1</v>
      </c>
      <c r="B6" s="7" t="s">
        <v>822</v>
      </c>
      <c r="C6" s="8"/>
      <c r="D6" s="8"/>
      <c r="E6" s="8">
        <f t="array" ref="E6">SUM(IF("131"&amp;B6=KHN&amp;KH,TH))</f>
        <v>39050000</v>
      </c>
      <c r="F6" s="8">
        <f t="array" ref="F6">SUM(IF("131"&amp;B6=KHC&amp;KH,TH))</f>
        <v>39050000</v>
      </c>
      <c r="G6" s="55">
        <f t="shared" ref="G6:G41" si="1">ROUND(MAX(C6+E6-D6-F6,0),2)</f>
        <v>0</v>
      </c>
      <c r="H6" s="55">
        <f t="shared" ref="H6:H41" si="2">ROUND(MAX(D6+F6-C6-E6,0),2)</f>
        <v>0</v>
      </c>
      <c r="I6" s="10" t="str">
        <f>IF(ISNA(VLOOKUP(B6,[5]!DS_131,1,0)),"","x")</f>
        <v/>
      </c>
    </row>
    <row r="7" spans="1:9" s="10" customFormat="1" ht="16.5" customHeight="1">
      <c r="A7" s="6">
        <f t="shared" si="0"/>
        <v>2</v>
      </c>
      <c r="B7" s="7" t="s">
        <v>548</v>
      </c>
      <c r="C7" s="8"/>
      <c r="D7" s="8"/>
      <c r="E7" s="8">
        <f t="array" ref="E7">SUM(IF("131"&amp;B7=KHN&amp;KH,TH))</f>
        <v>76530520</v>
      </c>
      <c r="F7" s="8">
        <f t="array" ref="F7">SUM(IF("131"&amp;B7=KHC&amp;KH,TH))</f>
        <v>76530520</v>
      </c>
      <c r="G7" s="55">
        <f t="shared" si="1"/>
        <v>0</v>
      </c>
      <c r="H7" s="55">
        <f t="shared" si="2"/>
        <v>0</v>
      </c>
      <c r="I7" s="10" t="str">
        <f>IF(ISNA(VLOOKUP(B7,[5]!DS_131,1,0)),"","x")</f>
        <v/>
      </c>
    </row>
    <row r="8" spans="1:9" s="10" customFormat="1" ht="16.5" customHeight="1">
      <c r="A8" s="6">
        <f t="shared" si="0"/>
        <v>3</v>
      </c>
      <c r="B8" s="7" t="s">
        <v>792</v>
      </c>
      <c r="C8" s="8"/>
      <c r="D8" s="8"/>
      <c r="E8" s="8">
        <f t="array" ref="E8">SUM(IF("131"&amp;B8=KHN&amp;KH,TH))</f>
        <v>6600000</v>
      </c>
      <c r="F8" s="8">
        <f t="array" ref="F8">SUM(IF("131"&amp;B8=KHC&amp;KH,TH))</f>
        <v>6600000</v>
      </c>
      <c r="G8" s="55">
        <f t="shared" si="1"/>
        <v>0</v>
      </c>
      <c r="H8" s="55">
        <f t="shared" si="2"/>
        <v>0</v>
      </c>
      <c r="I8" s="10" t="str">
        <f>IF(ISNA(VLOOKUP(B8,[5]!DS_131,1,0)),"","x")</f>
        <v/>
      </c>
    </row>
    <row r="9" spans="1:9" s="10" customFormat="1" ht="16.5" customHeight="1">
      <c r="A9" s="6">
        <f t="shared" si="0"/>
        <v>4</v>
      </c>
      <c r="B9" s="7" t="s">
        <v>788</v>
      </c>
      <c r="C9" s="8"/>
      <c r="D9" s="8"/>
      <c r="E9" s="8">
        <f t="array" ref="E9">SUM(IF("131"&amp;B9=KHN&amp;KH,TH))</f>
        <v>72232303</v>
      </c>
      <c r="F9" s="8">
        <f t="array" ref="F9">SUM(IF("131"&amp;B9=KHC&amp;KH,TH))</f>
        <v>0</v>
      </c>
      <c r="G9" s="55">
        <f t="shared" si="1"/>
        <v>72232303</v>
      </c>
      <c r="H9" s="55">
        <f t="shared" si="2"/>
        <v>0</v>
      </c>
      <c r="I9" s="10" t="str">
        <f>IF(ISNA(VLOOKUP(B9,[5]!DS_131,1,0)),"","x")</f>
        <v>x</v>
      </c>
    </row>
    <row r="10" spans="1:9" s="10" customFormat="1" ht="16.5" customHeight="1">
      <c r="A10" s="6">
        <f t="shared" si="0"/>
        <v>5</v>
      </c>
      <c r="B10" s="193" t="s">
        <v>1006</v>
      </c>
      <c r="C10" s="8"/>
      <c r="D10" s="8"/>
      <c r="E10" s="8">
        <f t="array" ref="E10">SUM(IF("131"&amp;B10=KHN&amp;KH,TH))</f>
        <v>21870200</v>
      </c>
      <c r="F10" s="8">
        <f t="array" ref="F10">SUM(IF("131"&amp;B10=KHC&amp;KH,TH))</f>
        <v>0</v>
      </c>
      <c r="G10" s="55">
        <f t="shared" si="1"/>
        <v>21870200</v>
      </c>
      <c r="H10" s="55">
        <f t="shared" si="2"/>
        <v>0</v>
      </c>
      <c r="I10" s="10" t="str">
        <f>IF(ISNA(VLOOKUP(B10,[5]!DS_131,1,0)),"","x")</f>
        <v>x</v>
      </c>
    </row>
    <row r="11" spans="1:9" s="10" customFormat="1" ht="16.5" customHeight="1">
      <c r="A11" s="6">
        <f t="shared" si="0"/>
        <v>6</v>
      </c>
      <c r="B11" s="7" t="s">
        <v>508</v>
      </c>
      <c r="C11" s="8"/>
      <c r="D11" s="8"/>
      <c r="E11" s="8">
        <f t="array" ref="E11">SUM(IF("131"&amp;B11=KHN&amp;KH,TH))</f>
        <v>22528000</v>
      </c>
      <c r="F11" s="8">
        <f t="array" ref="F11">SUM(IF("131"&amp;B11=KHC&amp;KH,TH))</f>
        <v>22528000</v>
      </c>
      <c r="G11" s="803">
        <f t="shared" si="1"/>
        <v>0</v>
      </c>
      <c r="H11" s="803">
        <f t="shared" si="2"/>
        <v>0</v>
      </c>
      <c r="I11" s="10" t="str">
        <f>IF(ISNA(VLOOKUP(B11,[5]!DS_131,1,0)),"","x")</f>
        <v/>
      </c>
    </row>
    <row r="12" spans="1:9" s="10" customFormat="1" ht="16.5" customHeight="1">
      <c r="A12" s="6">
        <f t="shared" si="0"/>
        <v>7</v>
      </c>
      <c r="B12" s="7" t="s">
        <v>538</v>
      </c>
      <c r="C12" s="8"/>
      <c r="D12" s="8"/>
      <c r="E12" s="8">
        <f t="array" ref="E12">SUM(IF("131"&amp;B12=KHN&amp;KH,TH))</f>
        <v>56084028</v>
      </c>
      <c r="F12" s="8">
        <f t="array" ref="F12">SUM(IF("131"&amp;B12=KHC&amp;KH,TH))</f>
        <v>48265228</v>
      </c>
      <c r="G12" s="803">
        <f t="shared" si="1"/>
        <v>7818800</v>
      </c>
      <c r="H12" s="803">
        <f t="shared" si="2"/>
        <v>0</v>
      </c>
      <c r="I12" s="10" t="str">
        <f>IF(ISNA(VLOOKUP(B12,[5]!DS_131,1,0)),"","x")</f>
        <v>x</v>
      </c>
    </row>
    <row r="13" spans="1:9" s="10" customFormat="1" ht="16.5" customHeight="1">
      <c r="A13" s="6">
        <f t="shared" si="0"/>
        <v>8</v>
      </c>
      <c r="B13" s="7" t="s">
        <v>431</v>
      </c>
      <c r="C13" s="8">
        <v>15292860</v>
      </c>
      <c r="D13" s="8"/>
      <c r="E13" s="8">
        <f t="array" ref="E13">SUM(IF("131"&amp;B13=KHN&amp;KH,TH))</f>
        <v>255093080</v>
      </c>
      <c r="F13" s="8">
        <f t="array" ref="F13">SUM(IF("131"&amp;B13=KHC&amp;KH,TH))</f>
        <v>270385940</v>
      </c>
      <c r="G13" s="803">
        <f t="shared" si="1"/>
        <v>0</v>
      </c>
      <c r="H13" s="803">
        <f t="shared" si="2"/>
        <v>0</v>
      </c>
      <c r="I13" s="10" t="str">
        <f>IF(ISNA(VLOOKUP(B13,[5]!DS_131,1,0)),"","x")</f>
        <v/>
      </c>
    </row>
    <row r="14" spans="1:9" s="10" customFormat="1" ht="16.5" customHeight="1">
      <c r="A14" s="6">
        <f t="shared" si="0"/>
        <v>9</v>
      </c>
      <c r="B14" s="7" t="s">
        <v>520</v>
      </c>
      <c r="C14" s="8"/>
      <c r="D14" s="8"/>
      <c r="E14" s="8">
        <f t="array" ref="E14">SUM(IF("131"&amp;B14=KHN&amp;KH,TH))</f>
        <v>45340790</v>
      </c>
      <c r="F14" s="8">
        <f t="array" ref="F14">SUM(IF("131"&amp;B14=KHC&amp;KH,TH))</f>
        <v>45340790</v>
      </c>
      <c r="G14" s="803">
        <f t="shared" si="1"/>
        <v>0</v>
      </c>
      <c r="H14" s="803">
        <f t="shared" si="2"/>
        <v>0</v>
      </c>
      <c r="I14" s="10" t="str">
        <f>IF(ISNA(VLOOKUP(B14,[5]!DS_131,1,0)),"","x")</f>
        <v/>
      </c>
    </row>
    <row r="15" spans="1:9" s="10" customFormat="1" ht="16.5" customHeight="1">
      <c r="A15" s="6">
        <f t="shared" si="0"/>
        <v>10</v>
      </c>
      <c r="B15" s="7" t="s">
        <v>430</v>
      </c>
      <c r="C15" s="8"/>
      <c r="D15" s="8"/>
      <c r="E15" s="8">
        <f t="array" ref="E15">SUM(IF("131"&amp;B15=KHN&amp;KH,TH))</f>
        <v>3068120</v>
      </c>
      <c r="F15" s="8">
        <f t="array" ref="F15">SUM(IF("131"&amp;B15=KHC&amp;KH,TH))</f>
        <v>3068120</v>
      </c>
      <c r="G15" s="803">
        <f t="shared" si="1"/>
        <v>0</v>
      </c>
      <c r="H15" s="803">
        <f t="shared" si="2"/>
        <v>0</v>
      </c>
      <c r="I15" s="10" t="str">
        <f>IF(ISNA(VLOOKUP(B15,[5]!DS_131,1,0)),"","x")</f>
        <v/>
      </c>
    </row>
    <row r="16" spans="1:9" s="10" customFormat="1" ht="16.5" customHeight="1">
      <c r="A16" s="6">
        <f t="shared" si="0"/>
        <v>11</v>
      </c>
      <c r="B16" s="7" t="s">
        <v>827</v>
      </c>
      <c r="C16" s="8"/>
      <c r="D16" s="8"/>
      <c r="E16" s="8">
        <f t="array" ref="E16">SUM(IF("131"&amp;B16=KHN&amp;KH,TH))</f>
        <v>5578111</v>
      </c>
      <c r="F16" s="8">
        <f t="array" ref="F16">SUM(IF("131"&amp;B16=KHC&amp;KH,TH))</f>
        <v>5578111</v>
      </c>
      <c r="G16" s="803">
        <f t="shared" si="1"/>
        <v>0</v>
      </c>
      <c r="H16" s="803">
        <f t="shared" si="2"/>
        <v>0</v>
      </c>
      <c r="I16" s="10" t="str">
        <f>IF(ISNA(VLOOKUP(B16,[5]!DS_131,1,0)),"","x")</f>
        <v>x</v>
      </c>
    </row>
    <row r="17" spans="1:9" s="10" customFormat="1" ht="16.5" customHeight="1">
      <c r="A17" s="6">
        <f t="shared" si="0"/>
        <v>12</v>
      </c>
      <c r="B17" s="7" t="s">
        <v>542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03">
        <f t="shared" si="1"/>
        <v>0</v>
      </c>
      <c r="H17" s="803">
        <f t="shared" si="2"/>
        <v>0</v>
      </c>
      <c r="I17" s="10" t="str">
        <f>IF(ISNA(VLOOKUP(B17,[5]!DS_131,1,0)),"","x")</f>
        <v>x</v>
      </c>
    </row>
    <row r="18" spans="1:9" s="10" customFormat="1" ht="16.5" customHeight="1">
      <c r="A18" s="6">
        <f t="shared" si="0"/>
        <v>13</v>
      </c>
      <c r="B18" s="7" t="s">
        <v>499</v>
      </c>
      <c r="C18" s="8">
        <v>7003156</v>
      </c>
      <c r="D18" s="8"/>
      <c r="E18" s="8">
        <f t="array" ref="E18">SUM(IF("131"&amp;B18=KHN&amp;KH,TH))</f>
        <v>81921400</v>
      </c>
      <c r="F18" s="8">
        <f t="array" ref="F18">SUM(IF("131"&amp;B18=KHC&amp;KH,TH))</f>
        <v>94953980</v>
      </c>
      <c r="G18" s="803">
        <f t="shared" si="1"/>
        <v>0</v>
      </c>
      <c r="H18" s="803">
        <f t="shared" si="2"/>
        <v>6029424</v>
      </c>
      <c r="I18" s="10" t="str">
        <f>IF(ISNA(VLOOKUP(B18,[5]!DS_131,1,0)),"","x")</f>
        <v>x</v>
      </c>
    </row>
    <row r="19" spans="1:9" s="10" customFormat="1" ht="16.5" customHeight="1">
      <c r="A19" s="6">
        <f t="shared" si="0"/>
        <v>14</v>
      </c>
      <c r="B19" s="7" t="s">
        <v>541</v>
      </c>
      <c r="C19" s="8"/>
      <c r="D19" s="8"/>
      <c r="E19" s="8">
        <f t="array" ref="E19">SUM(IF("131"&amp;B19=KHN&amp;KH,TH))</f>
        <v>92105178</v>
      </c>
      <c r="F19" s="8">
        <f t="array" ref="F19">SUM(IF("131"&amp;B19=KHC&amp;KH,TH))</f>
        <v>40007693</v>
      </c>
      <c r="G19" s="803">
        <f t="shared" si="1"/>
        <v>52097485</v>
      </c>
      <c r="H19" s="803">
        <f t="shared" si="2"/>
        <v>0</v>
      </c>
      <c r="I19" s="10" t="str">
        <f>IF(ISNA(VLOOKUP(B19,[5]!DS_131,1,0)),"","x")</f>
        <v>x</v>
      </c>
    </row>
    <row r="20" spans="1:9" s="10" customFormat="1" ht="16.5" customHeight="1">
      <c r="A20" s="6">
        <f t="shared" si="0"/>
        <v>15</v>
      </c>
      <c r="B20" s="193" t="s">
        <v>1023</v>
      </c>
      <c r="C20" s="8"/>
      <c r="D20" s="8"/>
      <c r="E20" s="8">
        <f t="array" ref="E20">SUM(IF("131"&amp;B20=KHN&amp;KH,TH))</f>
        <v>3135000</v>
      </c>
      <c r="F20" s="8">
        <f t="array" ref="F20">SUM(IF("131"&amp;B20=KHC&amp;KH,TH))</f>
        <v>0</v>
      </c>
      <c r="G20" s="803">
        <f t="shared" si="1"/>
        <v>3135000</v>
      </c>
      <c r="H20" s="803">
        <f t="shared" si="2"/>
        <v>0</v>
      </c>
      <c r="I20" s="10" t="str">
        <f>IF(ISNA(VLOOKUP(B20,[5]!DS_131,1,0)),"","x")</f>
        <v>x</v>
      </c>
    </row>
    <row r="21" spans="1:9" s="10" customFormat="1" ht="16.5" customHeight="1">
      <c r="A21" s="6">
        <f t="shared" si="0"/>
        <v>16</v>
      </c>
      <c r="B21" s="7" t="s">
        <v>537</v>
      </c>
      <c r="C21" s="8"/>
      <c r="D21" s="8"/>
      <c r="E21" s="8">
        <f t="array" ref="E21">SUM(IF("131"&amp;B21=KHN&amp;KH,TH))</f>
        <v>296054891</v>
      </c>
      <c r="F21" s="8">
        <f t="array" ref="F21">SUM(IF("131"&amp;B21=KHC&amp;KH,TH))</f>
        <v>243582416</v>
      </c>
      <c r="G21" s="803">
        <f t="shared" si="1"/>
        <v>52472475</v>
      </c>
      <c r="H21" s="803">
        <f t="shared" si="2"/>
        <v>0</v>
      </c>
      <c r="I21" s="10" t="str">
        <f>IF(ISNA(VLOOKUP(B21,[5]!DS_131,1,0)),"","x")</f>
        <v>x</v>
      </c>
    </row>
    <row r="22" spans="1:9" s="10" customFormat="1" ht="16.5" customHeight="1">
      <c r="A22" s="6">
        <f t="shared" si="0"/>
        <v>17</v>
      </c>
      <c r="B22" s="7" t="s">
        <v>877</v>
      </c>
      <c r="C22" s="8"/>
      <c r="D22" s="8"/>
      <c r="E22" s="8">
        <f t="array" ref="E22">SUM(IF("131"&amp;B22=KHN&amp;KH,TH))</f>
        <v>43741500</v>
      </c>
      <c r="F22" s="8">
        <f t="array" ref="F22">SUM(IF("131"&amp;B22=KHC&amp;KH,TH))</f>
        <v>43741500</v>
      </c>
      <c r="G22" s="803">
        <f t="shared" si="1"/>
        <v>0</v>
      </c>
      <c r="H22" s="803">
        <f t="shared" si="2"/>
        <v>0</v>
      </c>
      <c r="I22" s="10" t="str">
        <f>IF(ISNA(VLOOKUP(B22,[5]!DS_131,1,0)),"","x")</f>
        <v/>
      </c>
    </row>
    <row r="23" spans="1:9" s="10" customFormat="1" ht="16.5" customHeight="1">
      <c r="A23" s="6">
        <f t="shared" si="0"/>
        <v>18</v>
      </c>
      <c r="B23" s="7" t="s">
        <v>950</v>
      </c>
      <c r="C23" s="8"/>
      <c r="D23" s="8"/>
      <c r="E23" s="8">
        <f t="array" ref="E23">SUM(IF("131"&amp;B23=KHN&amp;KH,TH))</f>
        <v>8880190</v>
      </c>
      <c r="F23" s="8">
        <f t="array" ref="F23">SUM(IF("131"&amp;B23=KHC&amp;KH,TH))</f>
        <v>8880190</v>
      </c>
      <c r="G23" s="803">
        <f t="shared" si="1"/>
        <v>0</v>
      </c>
      <c r="H23" s="803">
        <f t="shared" si="2"/>
        <v>0</v>
      </c>
      <c r="I23" s="10" t="str">
        <f>IF(ISNA(VLOOKUP(B23,[5]!DS_131,1,0)),"","x")</f>
        <v/>
      </c>
    </row>
    <row r="24" spans="1:9" s="10" customFormat="1" ht="16.5" customHeight="1">
      <c r="A24" s="6">
        <f t="shared" si="0"/>
        <v>19</v>
      </c>
      <c r="B24" s="7" t="s">
        <v>744</v>
      </c>
      <c r="C24" s="8"/>
      <c r="D24" s="8"/>
      <c r="E24" s="8">
        <f t="array" ref="E24">SUM(IF("131"&amp;B24=KHN&amp;KH,TH))</f>
        <v>35740980</v>
      </c>
      <c r="F24" s="8">
        <f t="array" ref="F24">SUM(IF("131"&amp;B24=KHC&amp;KH,TH))</f>
        <v>35740980</v>
      </c>
      <c r="G24" s="803">
        <f t="shared" si="1"/>
        <v>0</v>
      </c>
      <c r="H24" s="803">
        <f t="shared" si="2"/>
        <v>0</v>
      </c>
      <c r="I24" s="10" t="str">
        <f>IF(ISNA(VLOOKUP(B24,[5]!DS_131,1,0)),"","x")</f>
        <v/>
      </c>
    </row>
    <row r="25" spans="1:9" s="10" customFormat="1" ht="16.5" customHeight="1">
      <c r="A25" s="6">
        <f t="shared" si="0"/>
        <v>20</v>
      </c>
      <c r="B25" s="811" t="s">
        <v>534</v>
      </c>
      <c r="C25" s="8"/>
      <c r="D25" s="8"/>
      <c r="E25" s="8">
        <f t="array" ref="E25">SUM(IF("131"&amp;B25=KHN&amp;KH,TH))</f>
        <v>69195170</v>
      </c>
      <c r="F25" s="8">
        <f t="array" ref="F25">SUM(IF("131"&amp;B25=KHC&amp;KH,TH))</f>
        <v>69195170</v>
      </c>
      <c r="G25" s="803">
        <f t="shared" si="1"/>
        <v>0</v>
      </c>
      <c r="H25" s="803">
        <f t="shared" si="2"/>
        <v>0</v>
      </c>
      <c r="I25" s="10" t="str">
        <f>IF(ISNA(VLOOKUP(B25,[5]!DS_131,1,0)),"","x")</f>
        <v/>
      </c>
    </row>
    <row r="26" spans="1:9" s="10" customFormat="1" ht="16.5" customHeight="1">
      <c r="A26" s="6">
        <f t="shared" si="0"/>
        <v>21</v>
      </c>
      <c r="B26" s="193" t="s">
        <v>805</v>
      </c>
      <c r="C26" s="8"/>
      <c r="D26" s="8"/>
      <c r="E26" s="8">
        <f t="array" ref="E26">SUM(IF("131"&amp;B26=KHN&amp;KH,TH))</f>
        <v>13079220</v>
      </c>
      <c r="F26" s="8">
        <f t="array" ref="F26">SUM(IF("131"&amp;B26=KHC&amp;KH,TH))</f>
        <v>13079220</v>
      </c>
      <c r="G26" s="803">
        <f t="shared" si="1"/>
        <v>0</v>
      </c>
      <c r="H26" s="803">
        <f t="shared" si="2"/>
        <v>0</v>
      </c>
      <c r="I26" s="10" t="str">
        <f>IF(ISNA(VLOOKUP(B26,[5]!DS_131,1,0)),"","x")</f>
        <v/>
      </c>
    </row>
    <row r="27" spans="1:9" s="10" customFormat="1" ht="16.5" customHeight="1">
      <c r="A27" s="6">
        <f t="shared" si="0"/>
        <v>22</v>
      </c>
      <c r="B27" s="7" t="s">
        <v>503</v>
      </c>
      <c r="C27" s="8"/>
      <c r="D27" s="8"/>
      <c r="E27" s="8">
        <f t="array" ref="E27">SUM(IF("131"&amp;B27=KHN&amp;KH,TH))</f>
        <v>76802330</v>
      </c>
      <c r="F27" s="8">
        <f t="array" ref="F27">SUM(IF("131"&amp;B27=KHC&amp;KH,TH))</f>
        <v>70624532</v>
      </c>
      <c r="G27" s="803">
        <f t="shared" si="1"/>
        <v>6177798</v>
      </c>
      <c r="H27" s="803">
        <f t="shared" si="2"/>
        <v>0</v>
      </c>
      <c r="I27" s="10" t="str">
        <f>IF(ISNA(VLOOKUP(B27,[5]!DS_131,1,0)),"","x")</f>
        <v>x</v>
      </c>
    </row>
    <row r="28" spans="1:9" s="10" customFormat="1" ht="16.5" customHeight="1">
      <c r="A28" s="6">
        <f t="shared" si="0"/>
        <v>23</v>
      </c>
      <c r="B28" s="7" t="s">
        <v>847</v>
      </c>
      <c r="C28" s="8"/>
      <c r="D28" s="8"/>
      <c r="E28" s="8">
        <f t="array" ref="E28">SUM(IF("131"&amp;B28=KHN&amp;KH,TH))</f>
        <v>13459600</v>
      </c>
      <c r="F28" s="8">
        <f t="array" ref="F28">SUM(IF("131"&amp;B28=KHC&amp;KH,TH))</f>
        <v>0</v>
      </c>
      <c r="G28" s="803">
        <f t="shared" si="1"/>
        <v>13459600</v>
      </c>
      <c r="H28" s="803">
        <f t="shared" si="2"/>
        <v>0</v>
      </c>
      <c r="I28" s="10" t="str">
        <f>IF(ISNA(VLOOKUP(B28,[5]!DS_131,1,0)),"","x")</f>
        <v>x</v>
      </c>
    </row>
    <row r="29" spans="1:9" s="10" customFormat="1" ht="16.5" customHeight="1">
      <c r="A29" s="6">
        <f t="shared" si="0"/>
        <v>24</v>
      </c>
      <c r="B29" s="7" t="s">
        <v>905</v>
      </c>
      <c r="C29" s="8"/>
      <c r="D29" s="8"/>
      <c r="E29" s="8">
        <f t="array" ref="E29">SUM(IF("131"&amp;B29=KHN&amp;KH,TH))</f>
        <v>6700320</v>
      </c>
      <c r="F29" s="8">
        <f t="array" ref="F29">SUM(IF("131"&amp;B29=KHC&amp;KH,TH))</f>
        <v>6700320</v>
      </c>
      <c r="G29" s="803">
        <f t="shared" si="1"/>
        <v>0</v>
      </c>
      <c r="H29" s="803">
        <f t="shared" si="2"/>
        <v>0</v>
      </c>
      <c r="I29" s="10" t="str">
        <f>IF(ISNA(VLOOKUP(B29,[5]!DS_131,1,0)),"","x")</f>
        <v/>
      </c>
    </row>
    <row r="30" spans="1:9" s="10" customFormat="1" ht="16.5" customHeight="1">
      <c r="A30" s="6">
        <f t="shared" si="0"/>
        <v>25</v>
      </c>
      <c r="B30" s="7" t="s">
        <v>791</v>
      </c>
      <c r="C30" s="8"/>
      <c r="D30" s="8"/>
      <c r="E30" s="8">
        <f t="array" ref="E30">SUM(IF("131"&amp;B30=KHN&amp;KH,TH))</f>
        <v>5280000</v>
      </c>
      <c r="F30" s="8">
        <f t="array" ref="F30">SUM(IF("131"&amp;B30=KHC&amp;KH,TH))</f>
        <v>5280000</v>
      </c>
      <c r="G30" s="803">
        <f t="shared" si="1"/>
        <v>0</v>
      </c>
      <c r="H30" s="803">
        <f t="shared" si="2"/>
        <v>0</v>
      </c>
      <c r="I30" s="10" t="str">
        <f>IF(ISNA(VLOOKUP(B30,[5]!DS_131,1,0)),"","x")</f>
        <v/>
      </c>
    </row>
    <row r="31" spans="1:9" s="10" customFormat="1" ht="16.5" customHeight="1">
      <c r="A31" s="6">
        <f t="shared" si="0"/>
        <v>26</v>
      </c>
      <c r="B31" s="7" t="s">
        <v>501</v>
      </c>
      <c r="C31" s="8"/>
      <c r="D31" s="8"/>
      <c r="E31" s="8">
        <f t="array" ref="E31">SUM(IF("131"&amp;B31=KHN&amp;KH,TH))</f>
        <v>79363570</v>
      </c>
      <c r="F31" s="8">
        <f t="array" ref="F31">SUM(IF("131"&amp;B31=KHC&amp;KH,TH))</f>
        <v>79363570</v>
      </c>
      <c r="G31" s="803">
        <f t="shared" si="1"/>
        <v>0</v>
      </c>
      <c r="H31" s="803">
        <f t="shared" si="2"/>
        <v>0</v>
      </c>
      <c r="I31" s="10" t="str">
        <f>IF(ISNA(VLOOKUP(B31,[5]!DS_131,1,0)),"","x")</f>
        <v>x</v>
      </c>
    </row>
    <row r="32" spans="1:9" s="10" customFormat="1" ht="16.5" customHeight="1">
      <c r="A32" s="6">
        <f t="shared" si="0"/>
        <v>27</v>
      </c>
      <c r="B32" s="193" t="s">
        <v>1110</v>
      </c>
      <c r="C32" s="8"/>
      <c r="D32" s="8"/>
      <c r="E32" s="8">
        <f t="array" ref="E32">SUM(IF("131"&amp;B32=KHN&amp;KH,TH))</f>
        <v>24774926</v>
      </c>
      <c r="F32" s="8">
        <f t="array" ref="F32">SUM(IF("131"&amp;B32=KHC&amp;KH,TH))</f>
        <v>24774926</v>
      </c>
      <c r="G32" s="803">
        <f t="shared" si="1"/>
        <v>0</v>
      </c>
      <c r="H32" s="803">
        <f t="shared" si="2"/>
        <v>0</v>
      </c>
      <c r="I32" s="10" t="str">
        <f>IF(ISNA(VLOOKUP(B32,[5]!DS_131,1,0)),"","x")</f>
        <v/>
      </c>
    </row>
    <row r="33" spans="1:9" s="10" customFormat="1" ht="16.5" customHeight="1">
      <c r="A33" s="6">
        <f t="shared" si="0"/>
        <v>28</v>
      </c>
      <c r="B33" s="193" t="s">
        <v>741</v>
      </c>
      <c r="C33" s="8"/>
      <c r="D33" s="8"/>
      <c r="E33" s="8">
        <f t="array" ref="E33">SUM(IF("131"&amp;B33=KHN&amp;KH,TH))</f>
        <v>196640158</v>
      </c>
      <c r="F33" s="8">
        <f t="array" ref="F33">SUM(IF("131"&amp;B33=KHC&amp;KH,TH))</f>
        <v>196640158</v>
      </c>
      <c r="G33" s="803">
        <f t="shared" si="1"/>
        <v>0</v>
      </c>
      <c r="H33" s="803">
        <f t="shared" si="2"/>
        <v>0</v>
      </c>
      <c r="I33" s="10" t="str">
        <f>IF(ISNA(VLOOKUP(B33,[5]!DS_131,1,0)),"","x")</f>
        <v>x</v>
      </c>
    </row>
    <row r="34" spans="1:9" s="10" customFormat="1" ht="16.5" customHeight="1">
      <c r="A34" s="6">
        <f t="shared" si="0"/>
        <v>29</v>
      </c>
      <c r="B34" s="7" t="s">
        <v>1111</v>
      </c>
      <c r="C34" s="8"/>
      <c r="D34" s="8"/>
      <c r="E34" s="8">
        <f t="array" ref="E34">SUM(IF("131"&amp;B34=KHN&amp;KH,TH))</f>
        <v>54701680</v>
      </c>
      <c r="F34" s="8">
        <f t="array" ref="F34">SUM(IF("131"&amp;B34=KHC&amp;KH,TH))</f>
        <v>0</v>
      </c>
      <c r="G34" s="803">
        <f t="shared" si="1"/>
        <v>54701680</v>
      </c>
      <c r="H34" s="803">
        <f t="shared" si="2"/>
        <v>0</v>
      </c>
      <c r="I34" s="10" t="str">
        <f>IF(ISNA(VLOOKUP(B34,[5]!DS_131,1,0)),"","x")</f>
        <v>x</v>
      </c>
    </row>
    <row r="35" spans="1:9" s="10" customFormat="1" ht="16.5" customHeight="1">
      <c r="A35" s="6">
        <f t="shared" si="0"/>
        <v>30</v>
      </c>
      <c r="B35" s="7" t="s">
        <v>530</v>
      </c>
      <c r="C35" s="8"/>
      <c r="D35" s="8"/>
      <c r="E35" s="8">
        <f t="array" ref="E35">SUM(IF("131"&amp;B35=KHN&amp;KH,TH))</f>
        <v>35499469</v>
      </c>
      <c r="F35" s="8">
        <f t="array" ref="F35">SUM(IF("131"&amp;B35=KHC&amp;KH,TH))</f>
        <v>35499469</v>
      </c>
      <c r="G35" s="803">
        <f t="shared" si="1"/>
        <v>0</v>
      </c>
      <c r="H35" s="803">
        <f t="shared" si="2"/>
        <v>0</v>
      </c>
      <c r="I35" s="10" t="str">
        <f>IF(ISNA(VLOOKUP(B35,[5]!DS_131,1,0)),"","x")</f>
        <v/>
      </c>
    </row>
    <row r="36" spans="1:9" s="10" customFormat="1" ht="16.5" customHeight="1">
      <c r="A36" s="6">
        <f t="shared" si="0"/>
        <v>31</v>
      </c>
      <c r="B36" s="7" t="s">
        <v>1109</v>
      </c>
      <c r="C36" s="8"/>
      <c r="D36" s="8"/>
      <c r="E36" s="8">
        <f t="array" ref="E36">SUM(IF("131"&amp;B36=KHN&amp;KH,TH))</f>
        <v>18576657</v>
      </c>
      <c r="F36" s="8">
        <f t="array" ref="F36">SUM(IF("131"&amp;B36=KHC&amp;KH,TH))</f>
        <v>18576657</v>
      </c>
      <c r="G36" s="803">
        <f t="shared" si="1"/>
        <v>0</v>
      </c>
      <c r="H36" s="803">
        <f t="shared" si="2"/>
        <v>0</v>
      </c>
      <c r="I36" s="10" t="str">
        <f>IF(ISNA(VLOOKUP(B36,[5]!DS_131,1,0)),"","x")</f>
        <v/>
      </c>
    </row>
    <row r="37" spans="1:9" s="10" customFormat="1" ht="16.5" customHeight="1">
      <c r="A37" s="6">
        <f t="shared" si="0"/>
        <v>32</v>
      </c>
      <c r="B37" s="210" t="s">
        <v>914</v>
      </c>
      <c r="C37" s="8"/>
      <c r="D37" s="8"/>
      <c r="E37" s="8">
        <f t="array" ref="E37">SUM(IF("131"&amp;B37=KHN&amp;KH,TH))</f>
        <v>26543990</v>
      </c>
      <c r="F37" s="8">
        <f t="array" ref="F37">SUM(IF("131"&amp;B37=KHC&amp;KH,TH))</f>
        <v>0</v>
      </c>
      <c r="G37" s="803">
        <f t="shared" si="1"/>
        <v>26543990</v>
      </c>
      <c r="H37" s="803">
        <f t="shared" si="2"/>
        <v>0</v>
      </c>
      <c r="I37" s="10" t="str">
        <f>IF(ISNA(VLOOKUP(B37,[5]!DS_131,1,0)),"","x")</f>
        <v>x</v>
      </c>
    </row>
    <row r="38" spans="1:9" s="10" customFormat="1" ht="16.5" customHeight="1">
      <c r="A38" s="6">
        <f t="shared" si="0"/>
        <v>33</v>
      </c>
      <c r="B38" s="7" t="s">
        <v>580</v>
      </c>
      <c r="C38" s="8"/>
      <c r="D38" s="8"/>
      <c r="E38" s="8">
        <f t="array" ref="E38">SUM(IF("131"&amp;B38=KHN&amp;KH,TH))</f>
        <v>120903255</v>
      </c>
      <c r="F38" s="8">
        <f t="array" ref="F38">SUM(IF("131"&amp;B38=KHC&amp;KH,TH))</f>
        <v>120903255</v>
      </c>
      <c r="G38" s="803">
        <f t="shared" si="1"/>
        <v>0</v>
      </c>
      <c r="H38" s="803">
        <f t="shared" si="2"/>
        <v>0</v>
      </c>
      <c r="I38" s="10" t="str">
        <f>IF(ISNA(VLOOKUP(B38,[5]!DS_131,1,0)),"","x")</f>
        <v/>
      </c>
    </row>
    <row r="39" spans="1:9" s="10" customFormat="1" ht="16.5" customHeight="1">
      <c r="A39" s="6">
        <f t="shared" si="0"/>
        <v>34</v>
      </c>
      <c r="B39" s="193" t="s">
        <v>771</v>
      </c>
      <c r="C39" s="8"/>
      <c r="D39" s="8"/>
      <c r="E39" s="8">
        <f t="array" ref="E39">SUM(IF("131"&amp;B39=KHN&amp;KH,TH))</f>
        <v>4194300</v>
      </c>
      <c r="F39" s="8">
        <f t="array" ref="F39">SUM(IF("131"&amp;B39=KHC&amp;KH,TH))</f>
        <v>4194300</v>
      </c>
      <c r="G39" s="803">
        <f t="shared" si="1"/>
        <v>0</v>
      </c>
      <c r="H39" s="803">
        <f t="shared" si="2"/>
        <v>0</v>
      </c>
      <c r="I39" s="10" t="str">
        <f>IF(ISNA(VLOOKUP(B39,[5]!DS_131,1,0)),"","x")</f>
        <v/>
      </c>
    </row>
    <row r="40" spans="1:9" s="10" customFormat="1" ht="16.5" customHeight="1">
      <c r="A40" s="6">
        <f t="shared" si="0"/>
        <v>35</v>
      </c>
      <c r="B40" s="193" t="s">
        <v>775</v>
      </c>
      <c r="C40" s="8"/>
      <c r="D40" s="8"/>
      <c r="E40" s="8">
        <f t="array" ref="E40">SUM(IF("131"&amp;B40=KHN&amp;KH,TH))</f>
        <v>6600000</v>
      </c>
      <c r="F40" s="8">
        <f t="array" ref="F40">SUM(IF("131"&amp;B40=KHC&amp;KH,TH))</f>
        <v>6600000</v>
      </c>
      <c r="G40" s="803">
        <f t="shared" si="1"/>
        <v>0</v>
      </c>
      <c r="H40" s="803">
        <f t="shared" si="2"/>
        <v>0</v>
      </c>
      <c r="I40" s="10" t="str">
        <f>IF(ISNA(VLOOKUP(B40,[5]!DS_131,1,0)),"","x")</f>
        <v/>
      </c>
    </row>
    <row r="41" spans="1:9" s="10" customFormat="1" ht="16.5" customHeight="1">
      <c r="A41" s="6">
        <f t="shared" si="0"/>
        <v>36</v>
      </c>
      <c r="B41" s="193" t="s">
        <v>727</v>
      </c>
      <c r="C41" s="8"/>
      <c r="D41" s="8"/>
      <c r="E41" s="8">
        <f t="array" ref="E41">SUM(IF("131"&amp;B41=KHN&amp;KH,TH))</f>
        <v>7402302</v>
      </c>
      <c r="F41" s="8">
        <f t="array" ref="F41">SUM(IF("131"&amp;B41=KHC&amp;KH,TH))</f>
        <v>7402302</v>
      </c>
      <c r="G41" s="803">
        <f t="shared" si="1"/>
        <v>0</v>
      </c>
      <c r="H41" s="803">
        <f t="shared" si="2"/>
        <v>0</v>
      </c>
      <c r="I41" s="10" t="str">
        <f>IF(ISNA(VLOOKUP(B41,[5]!DS_131,1,0)),"","x")</f>
        <v/>
      </c>
    </row>
    <row r="42" spans="1:9" s="10" customFormat="1" ht="16.5" customHeight="1">
      <c r="A42" s="6" t="str">
        <f t="shared" ref="A42" si="3">IF(B42&lt;&gt;"",ROW()-3,"")</f>
        <v/>
      </c>
      <c r="B42" s="44"/>
      <c r="C42" s="8"/>
      <c r="D42" s="8"/>
      <c r="E42" s="8"/>
      <c r="F42" s="8"/>
      <c r="G42" s="55"/>
      <c r="H42" s="55"/>
      <c r="I42" s="10" t="str">
        <f>IF(ISNA(VLOOKUP(B42,[4]!DS_131,1,0)),"","x")</f>
        <v/>
      </c>
    </row>
    <row r="43" spans="1:9" s="14" customFormat="1" ht="14.25" customHeight="1">
      <c r="A43" s="11"/>
      <c r="B43" s="12" t="s">
        <v>39</v>
      </c>
      <c r="C43" s="13">
        <f t="shared" ref="C43:H43" si="4">SUM(C6:C42)</f>
        <v>22296016</v>
      </c>
      <c r="D43" s="13">
        <f t="shared" si="4"/>
        <v>0</v>
      </c>
      <c r="E43" s="13">
        <f t="shared" si="4"/>
        <v>1968101421</v>
      </c>
      <c r="F43" s="13">
        <f t="shared" si="4"/>
        <v>1685917530</v>
      </c>
      <c r="G43" s="13">
        <f t="shared" si="4"/>
        <v>310509331</v>
      </c>
      <c r="H43" s="13">
        <f t="shared" si="4"/>
        <v>6029424</v>
      </c>
    </row>
    <row r="44" spans="1:9">
      <c r="E44" s="15">
        <f>E43-CDPS!E14</f>
        <v>0</v>
      </c>
      <c r="F44" s="15">
        <f>F43-CDPS!F14</f>
        <v>0</v>
      </c>
    </row>
    <row r="45" spans="1:9">
      <c r="E45" s="15"/>
      <c r="F45" s="15"/>
    </row>
    <row r="47" spans="1:9">
      <c r="E47" s="15"/>
      <c r="F47" s="1005" t="s">
        <v>492</v>
      </c>
      <c r="G47" s="1005"/>
      <c r="H47" s="1005"/>
    </row>
    <row r="48" spans="1:9">
      <c r="F48" s="1005" t="s">
        <v>109</v>
      </c>
      <c r="G48" s="1005"/>
      <c r="H48" s="1005"/>
    </row>
    <row r="49" spans="5:8">
      <c r="E49" s="183"/>
      <c r="F49" s="1005" t="s">
        <v>136</v>
      </c>
      <c r="G49" s="1005"/>
      <c r="H49" s="1005"/>
    </row>
  </sheetData>
  <sortState ref="A6:I73">
    <sortCondition ref="B6:B73"/>
  </sortState>
  <mergeCells count="9">
    <mergeCell ref="F47:H47"/>
    <mergeCell ref="F48:H48"/>
    <mergeCell ref="F49:H49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26" activePane="bottomLeft" state="frozen"/>
      <selection activeCell="A6" sqref="A6"/>
      <selection pane="bottomLeft" activeCell="A31" sqref="A31:XFD80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5" customFormat="1" ht="14.25" customHeight="1">
      <c r="A1" s="619" t="str">
        <f>TH!A1</f>
        <v>Đơn vị: CÔNG TY TNHH SX TM KIM DUNG PHÁT</v>
      </c>
      <c r="B1" s="610"/>
      <c r="C1" s="610"/>
      <c r="G1" s="2"/>
      <c r="H1" s="1015" t="s">
        <v>46</v>
      </c>
      <c r="I1" s="1015"/>
      <c r="J1" s="1015"/>
    </row>
    <row r="2" spans="1:10" s="465" customFormat="1" ht="14.25" customHeight="1">
      <c r="A2" s="618" t="str">
        <f>TH!A2</f>
        <v>Địa chỉ: 1A227/1 Ấp 1, Phạm Văn Hai, Bình Chánh, TPHCM</v>
      </c>
      <c r="B2" s="610"/>
      <c r="C2" s="610"/>
      <c r="G2" s="17"/>
      <c r="H2" s="101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6"/>
      <c r="J2" s="1016"/>
    </row>
    <row r="3" spans="1:10" s="465" customFormat="1" ht="14.25" customHeight="1">
      <c r="A3" s="612"/>
      <c r="B3" s="610"/>
      <c r="C3" s="610"/>
      <c r="G3" s="17"/>
      <c r="H3" s="1016"/>
      <c r="I3" s="1016"/>
      <c r="J3" s="1016"/>
    </row>
    <row r="4" spans="1:10" s="5" customFormat="1" ht="28.5" customHeight="1">
      <c r="A4" s="1017" t="s">
        <v>26</v>
      </c>
      <c r="B4" s="1017"/>
      <c r="C4" s="1017"/>
      <c r="D4" s="1017"/>
      <c r="E4" s="1017"/>
      <c r="F4" s="1017"/>
      <c r="G4" s="1017"/>
      <c r="H4" s="1017"/>
      <c r="I4" s="1017"/>
      <c r="J4" s="1017"/>
    </row>
    <row r="5" spans="1:10" s="18" customFormat="1" ht="14.25" customHeight="1">
      <c r="E5" s="608" t="s">
        <v>27</v>
      </c>
    </row>
    <row r="6" spans="1:10" s="18" customFormat="1" ht="14.25" customHeight="1">
      <c r="E6" s="608" t="s">
        <v>353</v>
      </c>
    </row>
    <row r="7" spans="1:10" s="18" customFormat="1" ht="14.25" customHeight="1">
      <c r="D7" s="20" t="s">
        <v>45</v>
      </c>
      <c r="E7" s="1018" t="s">
        <v>741</v>
      </c>
      <c r="F7" s="1018"/>
      <c r="G7" s="1018"/>
      <c r="H7" s="1018"/>
    </row>
    <row r="8" spans="1:10" s="18" customFormat="1" ht="14.25" customHeight="1">
      <c r="E8" s="608" t="s">
        <v>29</v>
      </c>
    </row>
    <row r="9" spans="1:10" s="18" customFormat="1" ht="6.75" customHeight="1">
      <c r="B9" s="608"/>
      <c r="C9" s="1019"/>
      <c r="D9" s="1019"/>
      <c r="E9" s="1019"/>
      <c r="F9" s="1019"/>
      <c r="G9" s="1019"/>
      <c r="H9" s="1019"/>
      <c r="I9" s="1019"/>
      <c r="J9" s="1019"/>
    </row>
    <row r="10" spans="1:10" s="18" customFormat="1" ht="14.25" customHeight="1">
      <c r="A10" s="983" t="s">
        <v>20</v>
      </c>
      <c r="B10" s="1020" t="s">
        <v>1</v>
      </c>
      <c r="C10" s="1020"/>
      <c r="D10" s="983" t="s">
        <v>0</v>
      </c>
      <c r="E10" s="983" t="s">
        <v>14</v>
      </c>
      <c r="F10" s="983" t="s">
        <v>30</v>
      </c>
      <c r="G10" s="1013" t="s">
        <v>21</v>
      </c>
      <c r="H10" s="1014"/>
      <c r="I10" s="1013" t="s">
        <v>31</v>
      </c>
      <c r="J10" s="1014"/>
    </row>
    <row r="11" spans="1:10" s="18" customFormat="1" ht="24.75" customHeight="1">
      <c r="A11" s="983"/>
      <c r="B11" s="30" t="s">
        <v>15</v>
      </c>
      <c r="C11" s="30" t="s">
        <v>32</v>
      </c>
      <c r="D11" s="983"/>
      <c r="E11" s="983"/>
      <c r="F11" s="98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4" t="s">
        <v>2</v>
      </c>
      <c r="B12" s="615" t="s">
        <v>3</v>
      </c>
      <c r="C12" s="614" t="s">
        <v>4</v>
      </c>
      <c r="D12" s="614" t="s">
        <v>5</v>
      </c>
      <c r="E12" s="614" t="s">
        <v>6</v>
      </c>
      <c r="F12" s="614">
        <v>1</v>
      </c>
      <c r="G12" s="614">
        <v>2</v>
      </c>
      <c r="H12" s="614">
        <v>3</v>
      </c>
      <c r="I12" s="614">
        <v>4</v>
      </c>
      <c r="J12" s="614">
        <v>5</v>
      </c>
    </row>
    <row r="13" spans="1:10" s="18" customFormat="1" ht="18" customHeight="1">
      <c r="A13" s="614"/>
      <c r="B13" s="614"/>
      <c r="C13" s="614"/>
      <c r="D13" s="23" t="s">
        <v>7</v>
      </c>
      <c r="E13" s="614"/>
      <c r="F13" s="24"/>
      <c r="G13" s="24"/>
      <c r="H13" s="24"/>
      <c r="I13" s="47">
        <f>VLOOKUP($E$7,'131'!$B$6:$H$42,2,0)</f>
        <v>0</v>
      </c>
      <c r="J13" s="47">
        <f>VLOOKUP($E$7,'131'!$B$6:$H$42,3,0)</f>
        <v>0</v>
      </c>
    </row>
    <row r="14" spans="1:10" s="18" customFormat="1" ht="18" customHeight="1">
      <c r="A14" s="9">
        <f ca="1">IF(ROWS($1:1)&gt;COUNT(Dong14),"",OFFSET(TH!C$1,SMALL(Dong14,ROWS($1:1)),))</f>
        <v>41288</v>
      </c>
      <c r="B14" s="9" t="str">
        <f ca="1">IF(ROWS($1:1)&gt;COUNT(Dong14),"",OFFSET(TH!D$1,SMALL(Dong14,ROWS($1:1)),))</f>
        <v>TP/X05</v>
      </c>
      <c r="C14" s="9">
        <f ca="1">IF(ROWS($1:1)&gt;COUNT(Dong14),"",OFFSET(TH!E$1,SMALL(Dong14,ROWS($1:1)),))</f>
        <v>41288</v>
      </c>
      <c r="D14" s="226" t="str">
        <f ca="1">IF(ROWS($1:1)&gt;COUNT(Dong14),"",OFFSET(TH!F$1,SMALL(Dong14,ROWS($1:1)),))</f>
        <v>Thùng (46.5x29.5x14)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6560000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6560000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41288</v>
      </c>
      <c r="B15" s="9" t="str">
        <f ca="1">IF(ROWS($1:2)&gt;COUNT(Dong14),"",OFFSET(TH!D$1,SMALL(Dong14,ROWS($1:2)),))</f>
        <v>TP/X05</v>
      </c>
      <c r="C15" s="9">
        <f ca="1">IF(ROWS($1:2)&gt;COUNT(Dong14),"",OFFSET(TH!E$1,SMALL(Dong14,ROWS($1:2)),))</f>
        <v>41288</v>
      </c>
      <c r="D15" s="226" t="str">
        <f ca="1">IF(ROWS($1:2)&gt;COUNT(Dong14),"",OFFSET(TH!F$1,SMALL(Dong14,ROWS($1:2)),))</f>
        <v>VAT Thùng carton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656000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7216000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41288</v>
      </c>
      <c r="B16" s="9" t="str">
        <f ca="1">IF(ROWS($1:3)&gt;COUNT(Dong14),"",OFFSET(TH!D$1,SMALL(Dong14,ROWS($1:3)),))</f>
        <v>TP/X05</v>
      </c>
      <c r="C16" s="9">
        <f ca="1">IF(ROWS($1:3)&gt;COUNT(Dong14),"",OFFSET(TH!E$1,SMALL(Dong14,ROWS($1:3)),))</f>
        <v>41288</v>
      </c>
      <c r="D16" s="226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1111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7216000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41303</v>
      </c>
      <c r="B17" s="9" t="str">
        <f ca="1">IF(ROWS($1:4)&gt;COUNT(Dong14),"",OFFSET(TH!D$1,SMALL(Dong14,ROWS($1:4)),))</f>
        <v>TP/X11</v>
      </c>
      <c r="C17" s="9">
        <f ca="1">IF(ROWS($1:4)&gt;COUNT(Dong14),"",OFFSET(TH!E$1,SMALL(Dong14,ROWS($1:4)),))</f>
        <v>41303</v>
      </c>
      <c r="D17" s="226" t="str">
        <f ca="1">IF(ROWS($1:4)&gt;COUNT(Dong14),"",OFFSET(TH!F$1,SMALL(Dong14,ROWS($1:4)),))</f>
        <v>Thùng (46.5x29.5x14)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4744000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4744000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41303</v>
      </c>
      <c r="B18" s="9" t="str">
        <f ca="1">IF(ROWS($1:5)&gt;COUNT(Dong14),"",OFFSET(TH!D$1,SMALL(Dong14,ROWS($1:5)),))</f>
        <v>TP/X11</v>
      </c>
      <c r="C18" s="9">
        <f ca="1">IF(ROWS($1:5)&gt;COUNT(Dong14),"",OFFSET(TH!E$1,SMALL(Dong14,ROWS($1:5)),))</f>
        <v>41303</v>
      </c>
      <c r="D18" s="226" t="str">
        <f ca="1">IF(ROWS($1:5)&gt;COUNT(Dong14),"",OFFSET(TH!F$1,SMALL(Dong14,ROWS($1:5)),))</f>
        <v>Thùng (46.5x29.5x16)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3327280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8071280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41303</v>
      </c>
      <c r="B19" s="9" t="str">
        <f ca="1">IF(ROWS($1:6)&gt;COUNT(Dong14),"",OFFSET(TH!D$1,SMALL(Dong14,ROWS($1:6)),))</f>
        <v>TP/X11</v>
      </c>
      <c r="C19" s="9">
        <f ca="1">IF(ROWS($1:6)&gt;COUNT(Dong14),"",OFFSET(TH!E$1,SMALL(Dong14,ROWS($1:6)),))</f>
        <v>41303</v>
      </c>
      <c r="D19" s="226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807128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8878408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41303</v>
      </c>
      <c r="B20" s="9" t="str">
        <f ca="1">IF(ROWS($1:7)&gt;COUNT(Dong14),"",OFFSET(TH!D$1,SMALL(Dong14,ROWS($1:7)),))</f>
        <v>TP/X11</v>
      </c>
      <c r="C20" s="9">
        <f ca="1">IF(ROWS($1:7)&gt;COUNT(Dong14),"",OFFSET(TH!E$1,SMALL(Dong14,ROWS($1:7)),))</f>
        <v>41303</v>
      </c>
      <c r="D20" s="226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1111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8878408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41337</v>
      </c>
      <c r="B21" s="9" t="str">
        <f ca="1">IF(ROWS($1:8)&gt;COUNT(Dong14),"",OFFSET(TH!D$1,SMALL(Dong14,ROWS($1:8)),))</f>
        <v>TP/X17</v>
      </c>
      <c r="C21" s="9">
        <f ca="1">IF(ROWS($1:8)&gt;COUNT(Dong14),"",OFFSET(TH!E$1,SMALL(Dong14,ROWS($1:8)),))</f>
        <v>41337</v>
      </c>
      <c r="D21" s="226" t="str">
        <f ca="1">IF(ROWS($1:8)&gt;COUNT(Dong14),"",OFFSET(TH!F$1,SMALL(Dong14,ROWS($1:8)),))</f>
        <v>Thùng (45.5x36.5x19)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6820000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6820000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41337</v>
      </c>
      <c r="B22" s="9" t="str">
        <f ca="1">IF(ROWS($1:9)&gt;COUNT(Dong14),"",OFFSET(TH!D$1,SMALL(Dong14,ROWS($1:9)),))</f>
        <v>TP/X17</v>
      </c>
      <c r="C22" s="9">
        <f ca="1">IF(ROWS($1:9)&gt;COUNT(Dong14),"",OFFSET(TH!E$1,SMALL(Dong14,ROWS($1:9)),))</f>
        <v>41337</v>
      </c>
      <c r="D22" s="226" t="str">
        <f ca="1">IF(ROWS($1:9)&gt;COUNT(Dong14),"",OFFSET(TH!F$1,SMALL(Dong14,ROWS($1:9)),))</f>
        <v>VAT Thùng carton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682000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7502000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41337</v>
      </c>
      <c r="B23" s="9" t="str">
        <f ca="1">IF(ROWS($1:10)&gt;COUNT(Dong14),"",OFFSET(TH!D$1,SMALL(Dong14,ROWS($1:10)),))</f>
        <v>TP/X17</v>
      </c>
      <c r="C23" s="9">
        <f ca="1">IF(ROWS($1:10)&gt;COUNT(Dong14),"",OFFSET(TH!E$1,SMALL(Dong14,ROWS($1:10)),))</f>
        <v>41337</v>
      </c>
      <c r="D23" s="226" t="str">
        <f ca="1">IF(ROWS($1:10)&gt;COUNT(Dong14),"",OFFSET(TH!F$1,SMALL(Dong14,ROWS($1:10)),))</f>
        <v>Thu tiền hàng</v>
      </c>
      <c r="E23" s="46" t="str">
        <f ca="1">IF(ROWS($1:10)&gt;COUNT(Dong14),"",IF(OFFSET(TH!L$1,SMALL(Dong14,ROWS($1:10)),)="331",OFFSET(TH!M$1,SMALL(Dong14,ROWS($1:10)),),OFFSET(TH!L$1,SMALL(Dong14,ROWS($1:10)),)))</f>
        <v>1111</v>
      </c>
      <c r="F23" s="46"/>
      <c r="G23" s="58">
        <f ca="1">IF(ROWS($1:10)&gt;COUNT(Dong14),"",IF(OFFSET(TH!L$1,SMALL(Dong14,ROWS($1:10)),)="131",OFFSET(TH!K$1,SMALL(Dong14,ROWS($1:10)),),0))</f>
        <v>0</v>
      </c>
      <c r="H23" s="58">
        <f ca="1">IF(ROWS($1:10)&gt;COUNT(Dong14),"",IF(OFFSET(TH!M$1,SMALL(Dong14,ROWS($1:10)),)="131",OFFSET(TH!K$1,SMALL(Dong14,ROWS($1:10)),),0))</f>
        <v>7502000</v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41345</v>
      </c>
      <c r="B24" s="9" t="str">
        <f ca="1">IF(ROWS($1:11)&gt;COUNT(Dong14),"",OFFSET(TH!D$1,SMALL(Dong14,ROWS($1:11)),))</f>
        <v>TP/X20</v>
      </c>
      <c r="C24" s="9">
        <f ca="1">IF(ROWS($1:11)&gt;COUNT(Dong14),"",OFFSET(TH!E$1,SMALL(Dong14,ROWS($1:11)),))</f>
        <v>41345</v>
      </c>
      <c r="D24" s="226" t="str">
        <f ca="1">IF(ROWS($1:11)&gt;COUNT(Dong14),"",OFFSET(TH!F$1,SMALL(Dong14,ROWS($1:11)),))</f>
        <v>Thùng (46.5x29.5x14)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4000000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4000000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41345</v>
      </c>
      <c r="B25" s="9" t="str">
        <f ca="1">IF(ROWS($1:12)&gt;COUNT(Dong14),"",OFFSET(TH!D$1,SMALL(Dong14,ROWS($1:12)),))</f>
        <v>TP/X20</v>
      </c>
      <c r="C25" s="9">
        <f ca="1">IF(ROWS($1:12)&gt;COUNT(Dong14),"",OFFSET(TH!E$1,SMALL(Dong14,ROWS($1:12)),))</f>
        <v>41345</v>
      </c>
      <c r="D25" s="226" t="str">
        <f ca="1">IF(ROWS($1:12)&gt;COUNT(Dong14),"",OFFSET(TH!F$1,SMALL(Dong14,ROWS($1:12)),))</f>
        <v>Thùng (46.5x29.5x16)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2835000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6835000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41345</v>
      </c>
      <c r="B26" s="9" t="str">
        <f ca="1">IF(ROWS($1:13)&gt;COUNT(Dong14),"",OFFSET(TH!D$1,SMALL(Dong14,ROWS($1:13)),))</f>
        <v>TP/X20</v>
      </c>
      <c r="C26" s="9">
        <f ca="1">IF(ROWS($1:13)&gt;COUNT(Dong14),"",OFFSET(TH!E$1,SMALL(Dong14,ROWS($1:13)),))</f>
        <v>41345</v>
      </c>
      <c r="D26" s="226" t="str">
        <f ca="1">IF(ROWS($1:13)&gt;COUNT(Dong14),"",OFFSET(TH!F$1,SMALL(Dong14,ROWS($1:13)),))</f>
        <v>VAT Thùng carton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683500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7518500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41345</v>
      </c>
      <c r="B27" s="9" t="str">
        <f ca="1">IF(ROWS($1:14)&gt;COUNT(Dong14),"",OFFSET(TH!D$1,SMALL(Dong14,ROWS($1:14)),))</f>
        <v>TP/X20</v>
      </c>
      <c r="C27" s="9">
        <f ca="1">IF(ROWS($1:14)&gt;COUNT(Dong14),"",OFFSET(TH!E$1,SMALL(Dong14,ROWS($1:14)),))</f>
        <v>41345</v>
      </c>
      <c r="D27" s="226" t="str">
        <f ca="1">IF(ROWS($1:14)&gt;COUNT(Dong14),"",OFFSET(TH!F$1,SMALL(Dong14,ROWS($1:14)),))</f>
        <v>Thu tiền hàng</v>
      </c>
      <c r="E27" s="46" t="str">
        <f ca="1">IF(ROWS($1:14)&gt;COUNT(Dong14),"",IF(OFFSET(TH!L$1,SMALL(Dong14,ROWS($1:14)),)="331",OFFSET(TH!M$1,SMALL(Dong14,ROWS($1:14)),),OFFSET(TH!L$1,SMALL(Dong14,ROWS($1:14)),)))</f>
        <v>1111</v>
      </c>
      <c r="F27" s="46"/>
      <c r="G27" s="58">
        <f ca="1">IF(ROWS($1:14)&gt;COUNT(Dong14),"",IF(OFFSET(TH!L$1,SMALL(Dong14,ROWS($1:14)),)="131",OFFSET(TH!K$1,SMALL(Dong14,ROWS($1:14)),),0))</f>
        <v>0</v>
      </c>
      <c r="H27" s="58">
        <f ca="1">IF(ROWS($1:14)&gt;COUNT(Dong14),"",IF(OFFSET(TH!M$1,SMALL(Dong14,ROWS($1:14)),)="131",OFFSET(TH!K$1,SMALL(Dong14,ROWS($1:14)),),0))</f>
        <v>7518500</v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41368</v>
      </c>
      <c r="B28" s="9" t="str">
        <f ca="1">IF(ROWS($1:15)&gt;COUNT(Dong14),"",OFFSET(TH!D$1,SMALL(Dong14,ROWS($1:15)),))</f>
        <v>TP/X02</v>
      </c>
      <c r="C28" s="9">
        <f ca="1">IF(ROWS($1:15)&gt;COUNT(Dong14),"",OFFSET(TH!E$1,SMALL(Dong14,ROWS($1:15)),))</f>
        <v>41368</v>
      </c>
      <c r="D28" s="226" t="str">
        <f ca="1">IF(ROWS($1:15)&gt;COUNT(Dong14),"",OFFSET(TH!F$1,SMALL(Dong14,ROWS($1:15)),))</f>
        <v>Thùng (46.5x29.5x14)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4000000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4000000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41368</v>
      </c>
      <c r="B29" s="9" t="str">
        <f ca="1">IF(ROWS($1:16)&gt;COUNT(Dong14),"",OFFSET(TH!D$1,SMALL(Dong14,ROWS($1:16)),))</f>
        <v>TP/X02</v>
      </c>
      <c r="C29" s="9">
        <f ca="1">IF(ROWS($1:16)&gt;COUNT(Dong14),"",OFFSET(TH!E$1,SMALL(Dong14,ROWS($1:16)),))</f>
        <v>41368</v>
      </c>
      <c r="D29" s="226" t="str">
        <f ca="1">IF(ROWS($1:16)&gt;COUNT(Dong14),"",OFFSET(TH!F$1,SMALL(Dong14,ROWS($1:16)),))</f>
        <v>VAT Thùng carton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400000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4400000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41368</v>
      </c>
      <c r="B30" s="9" t="str">
        <f ca="1">IF(ROWS($1:17)&gt;COUNT(Dong14),"",OFFSET(TH!D$1,SMALL(Dong14,ROWS($1:17)),))</f>
        <v>TP/X02</v>
      </c>
      <c r="C30" s="9">
        <f ca="1">IF(ROWS($1:17)&gt;COUNT(Dong14),"",OFFSET(TH!E$1,SMALL(Dong14,ROWS($1:17)),))</f>
        <v>41368</v>
      </c>
      <c r="D30" s="226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1111</v>
      </c>
      <c r="F30" s="46"/>
      <c r="G30" s="58">
        <f ca="1">IF(ROWS($1:17)&gt;COUNT(Dong14),"",IF(OFFSET(TH!L$1,SMALL(Dong14,ROWS($1:17)),)="131",OFFSET(TH!K$1,SMALL(Dong14,ROWS($1:17)),),0))</f>
        <v>0</v>
      </c>
      <c r="H30" s="58">
        <f ca="1">IF(ROWS($1:17)&gt;COUNT(Dong14),"",IF(OFFSET(TH!M$1,SMALL(Dong14,ROWS($1:17)),)="131",OFFSET(TH!K$1,SMALL(Dong14,ROWS($1:17)),),0))</f>
        <v>4400000</v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4"/>
      <c r="C32" s="26"/>
      <c r="D32" s="23" t="s">
        <v>33</v>
      </c>
      <c r="E32" s="614" t="s">
        <v>19</v>
      </c>
      <c r="F32" s="614" t="s">
        <v>19</v>
      </c>
      <c r="G32" s="27">
        <f ca="1">SUM(G14:G30)</f>
        <v>35514908</v>
      </c>
      <c r="H32" s="27">
        <f ca="1">SUM(H14:H30)</f>
        <v>35514908</v>
      </c>
      <c r="I32" s="27" t="s">
        <v>19</v>
      </c>
      <c r="J32" s="27" t="s">
        <v>19</v>
      </c>
    </row>
    <row r="33" spans="1:11" s="18" customFormat="1" ht="18" customHeight="1">
      <c r="A33" s="24"/>
      <c r="B33" s="614"/>
      <c r="C33" s="614"/>
      <c r="D33" s="23" t="s">
        <v>10</v>
      </c>
      <c r="E33" s="614" t="s">
        <v>19</v>
      </c>
      <c r="F33" s="614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8"/>
      <c r="C34" s="608"/>
      <c r="E34" s="608"/>
    </row>
    <row r="35" spans="1:11" s="18" customFormat="1" ht="14.25" customHeight="1">
      <c r="A35" s="28" t="s">
        <v>152</v>
      </c>
      <c r="B35" s="608"/>
      <c r="C35" s="608"/>
      <c r="E35" s="608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14/1/ 2013</v>
      </c>
      <c r="B36" s="608"/>
      <c r="C36" s="608"/>
      <c r="E36" s="608"/>
      <c r="K36" s="28" t="s">
        <v>34</v>
      </c>
    </row>
    <row r="37" spans="1:11" s="18" customFormat="1" ht="14.25" customHeight="1">
      <c r="B37" s="608"/>
      <c r="C37" s="608"/>
      <c r="E37" s="971" t="str">
        <f ca="1">"Ngày 31 tháng  12  năm  "&amp;YEAR($A$14)</f>
        <v>Ngày 31 tháng  12  năm  2013</v>
      </c>
      <c r="F37" s="971"/>
      <c r="G37" s="971"/>
      <c r="H37" s="971"/>
      <c r="I37" s="971"/>
      <c r="J37" s="971"/>
    </row>
    <row r="38" spans="1:11" s="18" customFormat="1" ht="14.25" customHeight="1">
      <c r="C38" s="608" t="s">
        <v>11</v>
      </c>
      <c r="E38" s="971" t="s">
        <v>12</v>
      </c>
      <c r="F38" s="971"/>
      <c r="G38" s="971"/>
      <c r="H38" s="971"/>
      <c r="I38" s="971"/>
      <c r="J38" s="971"/>
    </row>
    <row r="39" spans="1:11" s="18" customFormat="1" ht="14.25" customHeight="1">
      <c r="C39" s="608" t="s">
        <v>13</v>
      </c>
      <c r="E39" s="971" t="s">
        <v>13</v>
      </c>
      <c r="F39" s="971"/>
      <c r="G39" s="971"/>
      <c r="H39" s="971"/>
      <c r="I39" s="971"/>
      <c r="J39" s="971"/>
    </row>
    <row r="40" spans="1:11" s="29" customFormat="1"/>
    <row r="46" spans="1:11" ht="15">
      <c r="C46" s="609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3"/>
  <sheetViews>
    <sheetView showZeros="0" workbookViewId="0">
      <pane ySplit="5" topLeftCell="A6" activePane="bottomLeft" state="frozen"/>
      <selection pane="bottomLeft" activeCell="B7" sqref="B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72" t="str">
        <f>TH!$A$1</f>
        <v>Đơn vị: CÔNG TY TNHH SX TM KIM DUNG PHÁT</v>
      </c>
    </row>
    <row r="2" spans="1:9">
      <c r="A2" s="873" t="str">
        <f>TH!$A$2</f>
        <v>Địa chỉ: 1A227/1 Ấp 1, Phạm Văn Hai, Bình Chánh, TPHCM</v>
      </c>
    </row>
    <row r="3" spans="1:9" ht="27" customHeight="1">
      <c r="A3" s="1006" t="s">
        <v>102</v>
      </c>
      <c r="B3" s="1006"/>
      <c r="C3" s="1006"/>
      <c r="D3" s="1006"/>
      <c r="E3" s="1006"/>
      <c r="F3" s="1006"/>
      <c r="G3" s="1006"/>
      <c r="H3" s="1006"/>
    </row>
    <row r="4" spans="1:9" s="10" customFormat="1" ht="14.25" customHeight="1">
      <c r="A4" s="1007" t="s">
        <v>35</v>
      </c>
      <c r="B4" s="1009" t="s">
        <v>36</v>
      </c>
      <c r="C4" s="1011" t="s">
        <v>37</v>
      </c>
      <c r="D4" s="1012"/>
      <c r="E4" s="1011" t="s">
        <v>38</v>
      </c>
      <c r="F4" s="1012"/>
      <c r="G4" s="1011" t="s">
        <v>41</v>
      </c>
      <c r="H4" s="1012"/>
    </row>
    <row r="5" spans="1:9" s="10" customFormat="1" ht="14.25" customHeight="1">
      <c r="A5" s="1008"/>
      <c r="B5" s="1010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375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11" si="0">ROUND(MAX(C6+E6-D6-F6,0),2)</f>
        <v>0</v>
      </c>
      <c r="H6" s="55">
        <f t="shared" ref="H6:H11" si="1">ROUND(MAX(D6+F6-C6-E6,0),2)</f>
        <v>0</v>
      </c>
      <c r="I6" s="10" t="str">
        <f>IF(ISNA(VLOOKUP(B6,[4]!DSKH,1,0)),"","x")</f>
        <v>x</v>
      </c>
    </row>
    <row r="7" spans="1:9" s="10" customFormat="1" ht="16.5" customHeight="1">
      <c r="A7" s="6">
        <f t="shared" ref="A7" si="2">IF(B7&lt;&gt;"",ROW()-5,"")</f>
        <v>2</v>
      </c>
      <c r="B7" s="7" t="s">
        <v>578</v>
      </c>
      <c r="C7" s="8"/>
      <c r="D7" s="8"/>
      <c r="E7" s="8">
        <f t="array" ref="E7">SUM(IF("331"&amp;B7=KHN&amp;KH,TH))</f>
        <v>1925000</v>
      </c>
      <c r="F7" s="8">
        <f t="array" ref="F7">SUM(IF("331"&amp;B7=KHC&amp;KH,TH))</f>
        <v>1925000</v>
      </c>
      <c r="G7" s="803">
        <f t="shared" ref="G7" si="3">ROUND(MAX(C7+E7-D7-F7,0),2)</f>
        <v>0</v>
      </c>
      <c r="H7" s="803">
        <f t="shared" ref="H7" si="4">ROUND(MAX(D7+F7-C7-E7,0),2)</f>
        <v>0</v>
      </c>
      <c r="I7" s="10" t="str">
        <f>IF(ISNA(VLOOKUP(B7,[4]!DSKH,1,0)),"","x")</f>
        <v/>
      </c>
    </row>
    <row r="8" spans="1:9" s="10" customFormat="1" ht="16.5" customHeight="1">
      <c r="A8" s="6">
        <f t="shared" ref="A8:A15" si="5">IF(B8&lt;&gt;"",ROW()-5,"")</f>
        <v>3</v>
      </c>
      <c r="B8" s="7" t="s">
        <v>498</v>
      </c>
      <c r="C8" s="8"/>
      <c r="D8" s="8"/>
      <c r="E8" s="8">
        <f t="array" ref="E8">SUM(IF("331"&amp;B8=KHN&amp;KH,TH))</f>
        <v>1375000</v>
      </c>
      <c r="F8" s="8">
        <f t="array" ref="F8">SUM(IF("331"&amp;B8=KHC&amp;KH,TH))</f>
        <v>1375000</v>
      </c>
      <c r="G8" s="55">
        <f t="shared" si="0"/>
        <v>0</v>
      </c>
      <c r="H8" s="55">
        <f t="shared" si="1"/>
        <v>0</v>
      </c>
      <c r="I8" s="10" t="str">
        <f>IF(ISNA(VLOOKUP(B8,[4]!DSKH,1,0)),"","x")</f>
        <v/>
      </c>
    </row>
    <row r="9" spans="1:9" s="10" customFormat="1" ht="16.5" customHeight="1">
      <c r="A9" s="6">
        <f t="shared" si="5"/>
        <v>4</v>
      </c>
      <c r="B9" s="193" t="s">
        <v>1112</v>
      </c>
      <c r="C9" s="8"/>
      <c r="D9" s="8">
        <v>94643308</v>
      </c>
      <c r="E9" s="8">
        <f t="array" ref="E9">SUM(IF("331"&amp;B9=KHN&amp;KH,TH))</f>
        <v>94643308</v>
      </c>
      <c r="F9" s="8">
        <f t="array" ref="F9">SUM(IF("331"&amp;B9=KHC&amp;KH,TH))</f>
        <v>0</v>
      </c>
      <c r="G9" s="803">
        <f t="shared" ref="G9" si="6">ROUND(MAX(C9+E9-D9-F9,0),2)</f>
        <v>0</v>
      </c>
      <c r="H9" s="803">
        <f t="shared" ref="H9" si="7">ROUND(MAX(D9+F9-C9-E9,0),2)</f>
        <v>0</v>
      </c>
    </row>
    <row r="10" spans="1:9" s="10" customFormat="1" ht="16.5" customHeight="1">
      <c r="A10" s="6">
        <f t="shared" si="5"/>
        <v>5</v>
      </c>
      <c r="B10" s="193" t="s">
        <v>585</v>
      </c>
      <c r="C10" s="8"/>
      <c r="D10" s="8">
        <v>135994582</v>
      </c>
      <c r="E10" s="8">
        <f t="array" ref="E10">SUM(IF("331"&amp;B10=KHN&amp;KH,TH))</f>
        <v>349572812</v>
      </c>
      <c r="F10" s="8">
        <f t="array" ref="F10">SUM(IF("331"&amp;B10=KHC&amp;KH,TH))</f>
        <v>213578230</v>
      </c>
      <c r="G10" s="55">
        <f t="shared" si="0"/>
        <v>0</v>
      </c>
      <c r="H10" s="55">
        <f t="shared" si="1"/>
        <v>0</v>
      </c>
      <c r="I10" s="10" t="str">
        <f>IF(ISNA(VLOOKUP(B10,[4]!DSKH,1,0)),"","x")</f>
        <v/>
      </c>
    </row>
    <row r="11" spans="1:9" s="10" customFormat="1" ht="16.5" customHeight="1">
      <c r="A11" s="6">
        <f t="shared" si="5"/>
        <v>6</v>
      </c>
      <c r="B11" s="193" t="s">
        <v>643</v>
      </c>
      <c r="C11" s="8"/>
      <c r="D11" s="8"/>
      <c r="E11" s="8">
        <f t="array" ref="E11">SUM(IF("331"&amp;B11=KHN&amp;KH,TH))</f>
        <v>140300380</v>
      </c>
      <c r="F11" s="8">
        <f t="array" ref="F11">SUM(IF("331"&amp;B11=KHC&amp;KH,TH))</f>
        <v>140300380</v>
      </c>
      <c r="G11" s="55">
        <f t="shared" si="0"/>
        <v>0</v>
      </c>
      <c r="H11" s="55">
        <f t="shared" si="1"/>
        <v>0</v>
      </c>
      <c r="I11" s="10" t="str">
        <f>IF(ISNA(VLOOKUP(B11,[4]!DSKH,1,0)),"","x")</f>
        <v/>
      </c>
    </row>
    <row r="12" spans="1:9" s="10" customFormat="1" ht="16.5" customHeight="1">
      <c r="A12" s="6">
        <f t="shared" si="5"/>
        <v>7</v>
      </c>
      <c r="B12" s="193" t="s">
        <v>676</v>
      </c>
      <c r="C12" s="8"/>
      <c r="D12" s="8"/>
      <c r="E12" s="8">
        <f t="array" ref="E12">SUM(IF("331"&amp;B12=KHN&amp;KH,TH))</f>
        <v>63853515</v>
      </c>
      <c r="F12" s="8">
        <f t="array" ref="F12">SUM(IF("331"&amp;B12=KHC&amp;KH,TH))</f>
        <v>63853515</v>
      </c>
      <c r="G12" s="55">
        <f t="shared" ref="G12:G14" si="8">ROUND(MAX(C12+E12-D12-F12,0),2)</f>
        <v>0</v>
      </c>
      <c r="H12" s="55">
        <f t="shared" ref="H12:H14" si="9">ROUND(MAX(D12+F12-C12-E12,0),2)</f>
        <v>0</v>
      </c>
      <c r="I12" s="10" t="str">
        <f>IF(ISNA(VLOOKUP(B12,[4]!DSKH,1,0)),"","x")</f>
        <v/>
      </c>
    </row>
    <row r="13" spans="1:9" s="10" customFormat="1" ht="16.5" customHeight="1">
      <c r="A13" s="6">
        <f t="shared" si="5"/>
        <v>8</v>
      </c>
      <c r="B13" s="193" t="s">
        <v>687</v>
      </c>
      <c r="C13" s="8"/>
      <c r="D13" s="8"/>
      <c r="E13" s="8">
        <f t="array" ref="E13">SUM(IF("331"&amp;B13=KHN&amp;KH,TH))</f>
        <v>109505000</v>
      </c>
      <c r="F13" s="8">
        <f t="array" ref="F13">SUM(IF("331"&amp;B13=KHC&amp;KH,TH))</f>
        <v>109505000</v>
      </c>
      <c r="G13" s="55">
        <f t="shared" si="8"/>
        <v>0</v>
      </c>
      <c r="H13" s="55">
        <f t="shared" si="9"/>
        <v>0</v>
      </c>
      <c r="I13" s="10" t="str">
        <f>IF(ISNA(VLOOKUP(B13,[4]!DSKH,1,0)),"","x")</f>
        <v/>
      </c>
    </row>
    <row r="14" spans="1:9" s="10" customFormat="1" ht="16.5" customHeight="1">
      <c r="A14" s="6">
        <f t="shared" si="5"/>
        <v>9</v>
      </c>
      <c r="B14" s="193" t="s">
        <v>696</v>
      </c>
      <c r="C14" s="8"/>
      <c r="D14" s="8"/>
      <c r="E14" s="8">
        <f t="array" ref="E14">SUM(IF("331"&amp;B14=KHN&amp;KH,TH))</f>
        <v>134882711</v>
      </c>
      <c r="F14" s="8">
        <f t="array" ref="F14">SUM(IF("331"&amp;B14=KHC&amp;KH,TH))</f>
        <v>134882711</v>
      </c>
      <c r="G14" s="55">
        <f t="shared" si="8"/>
        <v>0</v>
      </c>
      <c r="H14" s="55">
        <f t="shared" si="9"/>
        <v>0</v>
      </c>
      <c r="I14" s="10" t="str">
        <f>IF(ISNA(VLOOKUP(B14,[4]!DSKH,1,0)),"","x")</f>
        <v/>
      </c>
    </row>
    <row r="15" spans="1:9" s="10" customFormat="1" ht="16.5" customHeight="1">
      <c r="A15" s="6">
        <f t="shared" si="5"/>
        <v>10</v>
      </c>
      <c r="B15" s="193" t="s">
        <v>705</v>
      </c>
      <c r="C15" s="8"/>
      <c r="D15" s="8"/>
      <c r="E15" s="8">
        <f t="array" ref="E15">SUM(IF("331"&amp;B15=KHN&amp;KH,TH))</f>
        <v>55000000</v>
      </c>
      <c r="F15" s="8">
        <f t="array" ref="F15">SUM(IF("331"&amp;B15=KHC&amp;KH,TH))</f>
        <v>55000000</v>
      </c>
      <c r="G15" s="55">
        <f t="shared" ref="G15" si="10">ROUND(MAX(C15+E15-D15-F15,0),2)</f>
        <v>0</v>
      </c>
      <c r="H15" s="55">
        <f t="shared" ref="H15" si="11">ROUND(MAX(D15+F15-C15-E15,0),2)</f>
        <v>0</v>
      </c>
      <c r="I15" s="10" t="str">
        <f>IF(ISNA(VLOOKUP(B15,[4]!DSKH,1,0)),"","x")</f>
        <v/>
      </c>
    </row>
    <row r="16" spans="1:9" s="10" customFormat="1" ht="16.5" customHeight="1">
      <c r="A16" s="6" t="str">
        <f>IF(B16&lt;&gt;"",ROW()-3,"")</f>
        <v/>
      </c>
      <c r="B16" s="44"/>
      <c r="C16" s="8"/>
      <c r="D16" s="8"/>
      <c r="E16" s="481"/>
      <c r="F16" s="481"/>
      <c r="G16" s="482"/>
      <c r="H16" s="482"/>
      <c r="I16" s="10" t="str">
        <f>IF(ISNA(VLOOKUP(B16,[4]!DSKH,1,0)),"","x")</f>
        <v/>
      </c>
    </row>
    <row r="17" spans="1:8" s="14" customFormat="1" ht="14.25" customHeight="1">
      <c r="A17" s="11"/>
      <c r="B17" s="12" t="s">
        <v>39</v>
      </c>
      <c r="C17" s="13">
        <f t="shared" ref="C17:H17" si="12">SUM(C6:C16)</f>
        <v>0</v>
      </c>
      <c r="D17" s="13">
        <f t="shared" si="12"/>
        <v>230637890</v>
      </c>
      <c r="E17" s="13">
        <f t="shared" si="12"/>
        <v>956707326</v>
      </c>
      <c r="F17" s="13">
        <f t="shared" si="12"/>
        <v>726069436</v>
      </c>
      <c r="G17" s="13">
        <f t="shared" si="12"/>
        <v>0</v>
      </c>
      <c r="H17" s="13">
        <f t="shared" si="12"/>
        <v>0</v>
      </c>
    </row>
    <row r="18" spans="1:8">
      <c r="E18" s="15">
        <f>CDPS!E28</f>
        <v>956707326</v>
      </c>
      <c r="F18" s="15">
        <f>CDPS!F28</f>
        <v>726069436</v>
      </c>
    </row>
    <row r="19" spans="1:8">
      <c r="E19" s="15">
        <f>E17-E18</f>
        <v>0</v>
      </c>
      <c r="F19" s="15">
        <f>F17-F18</f>
        <v>0</v>
      </c>
    </row>
    <row r="21" spans="1:8">
      <c r="E21" s="15"/>
      <c r="F21" s="1005" t="s">
        <v>492</v>
      </c>
      <c r="G21" s="1005"/>
      <c r="H21" s="1005"/>
    </row>
    <row r="22" spans="1:8">
      <c r="F22" s="1005" t="s">
        <v>109</v>
      </c>
      <c r="G22" s="1005"/>
      <c r="H22" s="1005"/>
    </row>
    <row r="23" spans="1:8">
      <c r="E23" s="183"/>
      <c r="F23" s="1005" t="s">
        <v>136</v>
      </c>
      <c r="G23" s="1005"/>
      <c r="H23" s="1005"/>
    </row>
  </sheetData>
  <mergeCells count="9">
    <mergeCell ref="F21:H21"/>
    <mergeCell ref="F22:H22"/>
    <mergeCell ref="F23:H23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1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9" t="str">
        <f>TH!A1</f>
        <v>Đơn vị: CÔNG TY TNHH SX TM KIM DUNG PHÁT</v>
      </c>
      <c r="B1" s="16"/>
      <c r="C1" s="16"/>
      <c r="G1" s="2"/>
      <c r="H1" s="1015" t="s">
        <v>46</v>
      </c>
      <c r="I1" s="1015"/>
      <c r="J1" s="1015"/>
    </row>
    <row r="2" spans="1:10" s="3" customFormat="1" ht="14.25" customHeight="1">
      <c r="A2" s="618" t="str">
        <f>TH!A2</f>
        <v>Địa chỉ: 1A227/1 Ấp 1, Phạm Văn Hai, Bình Chánh, TPHCM</v>
      </c>
      <c r="B2" s="16"/>
      <c r="C2" s="16"/>
      <c r="G2" s="17"/>
      <c r="H2" s="1016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1016"/>
      <c r="J2" s="1016"/>
    </row>
    <row r="3" spans="1:10" s="3" customFormat="1" ht="14.25" customHeight="1">
      <c r="A3" s="4"/>
      <c r="B3" s="16"/>
      <c r="C3" s="16"/>
      <c r="G3" s="17"/>
      <c r="H3" s="1016"/>
      <c r="I3" s="1016"/>
      <c r="J3" s="1016"/>
    </row>
    <row r="4" spans="1:10" s="5" customFormat="1" ht="28.5" customHeight="1">
      <c r="A4" s="1017" t="s">
        <v>26</v>
      </c>
      <c r="B4" s="1017"/>
      <c r="C4" s="1017"/>
      <c r="D4" s="1017"/>
      <c r="E4" s="1017"/>
      <c r="F4" s="1017"/>
      <c r="G4" s="1017"/>
      <c r="H4" s="1017"/>
      <c r="I4" s="1017"/>
      <c r="J4" s="1017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8" t="s">
        <v>1112</v>
      </c>
      <c r="F7" s="1018"/>
      <c r="G7" s="1018"/>
      <c r="H7" s="1018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9"/>
      <c r="D9" s="1019"/>
      <c r="E9" s="1019"/>
      <c r="F9" s="1019"/>
      <c r="G9" s="1019"/>
      <c r="H9" s="1019"/>
      <c r="I9" s="1019"/>
      <c r="J9" s="1019"/>
    </row>
    <row r="10" spans="1:10" s="18" customFormat="1" ht="14.25" customHeight="1">
      <c r="A10" s="983" t="s">
        <v>20</v>
      </c>
      <c r="B10" s="1020" t="s">
        <v>1</v>
      </c>
      <c r="C10" s="1020"/>
      <c r="D10" s="983" t="s">
        <v>0</v>
      </c>
      <c r="E10" s="983" t="s">
        <v>14</v>
      </c>
      <c r="F10" s="983" t="s">
        <v>30</v>
      </c>
      <c r="G10" s="1013" t="s">
        <v>21</v>
      </c>
      <c r="H10" s="1014"/>
      <c r="I10" s="1013" t="s">
        <v>31</v>
      </c>
      <c r="J10" s="1014"/>
    </row>
    <row r="11" spans="1:10" s="18" customFormat="1" ht="24.75" customHeight="1">
      <c r="A11" s="983"/>
      <c r="B11" s="30" t="s">
        <v>15</v>
      </c>
      <c r="C11" s="30" t="s">
        <v>32</v>
      </c>
      <c r="D11" s="983"/>
      <c r="E11" s="983"/>
      <c r="F11" s="983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VLOOKUP($E$7,'331'!$B$6:$H$16,2,0)</f>
        <v>0</v>
      </c>
      <c r="J13" s="47">
        <f>VLOOKUP($E$7,'331'!$B$6:$H$16,3,0)</f>
        <v>94643308</v>
      </c>
    </row>
    <row r="14" spans="1:10" s="18" customFormat="1" ht="18" customHeight="1">
      <c r="A14" s="9">
        <f ca="1">IF(ROWS($1:1)&gt;COUNT(Dong),"",OFFSET(TH!C$1,SMALL(Dong,ROWS($1:1)),))</f>
        <v>41277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41277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40160922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54482386</v>
      </c>
    </row>
    <row r="15" spans="1:10" s="18" customFormat="1" ht="18" customHeight="1">
      <c r="A15" s="9">
        <f ca="1">IF(ROWS($1:2)&gt;COUNT(Dong),"",OFFSET(TH!C$1,SMALL(Dong,ROWS($1:2)),))</f>
        <v>41299</v>
      </c>
      <c r="B15" s="9" t="str">
        <f ca="1">IF(ROWS($1:2)&gt;COUNT(Dong),"",OFFSET(TH!D$1,SMALL(Dong,ROWS($1:2)),))</f>
        <v>GBN</v>
      </c>
      <c r="C15" s="9">
        <f ca="1">IF(ROWS($1:2)&gt;COUNT(Dong),"",OFFSET(TH!E$1,SMALL(Dong,ROWS($1:2)),))</f>
        <v>41299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6512000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47970386</v>
      </c>
    </row>
    <row r="16" spans="1:10" s="18" customFormat="1" ht="18" customHeight="1">
      <c r="A16" s="9">
        <f ca="1">IF(ROWS($1:3)&gt;COUNT(Dong),"",OFFSET(TH!C$1,SMALL(Dong,ROWS($1:3)),))</f>
        <v>41311</v>
      </c>
      <c r="B16" s="9" t="str">
        <f ca="1">IF(ROWS($1:3)&gt;COUNT(Dong),"",OFFSET(TH!D$1,SMALL(Dong,ROWS($1:3)),))</f>
        <v>GBN</v>
      </c>
      <c r="C16" s="9">
        <f ca="1">IF(ROWS($1:3)&gt;COUNT(Dong),"",OFFSET(TH!E$1,SMALL(Dong,ROWS($1:3)),))</f>
        <v>41311</v>
      </c>
      <c r="D16" s="226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1121</v>
      </c>
      <c r="F16" s="46"/>
      <c r="G16" s="58">
        <f ca="1">IF(ROWS($1:3)&gt;COUNT(Dong),"",IF(OFFSET(TH!L$1,SMALL(Dong,ROWS($1:3)),)="331",OFFSET(TH!K$1,SMALL(Dong,ROWS($1:3)),),0))</f>
        <v>6500000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41470386</v>
      </c>
    </row>
    <row r="17" spans="1:10" s="18" customFormat="1" ht="18" customHeight="1">
      <c r="A17" s="9">
        <f ca="1">IF(ROWS($1:4)&gt;COUNT(Dong),"",OFFSET(TH!C$1,SMALL(Dong,ROWS($1:4)),))</f>
        <v>41337</v>
      </c>
      <c r="B17" s="9" t="str">
        <f ca="1">IF(ROWS($1:4)&gt;COUNT(Dong),"",OFFSET(TH!D$1,SMALL(Dong,ROWS($1:4)),))</f>
        <v>GBN</v>
      </c>
      <c r="C17" s="9">
        <f ca="1">IF(ROWS($1:4)&gt;COUNT(Dong),"",OFFSET(TH!E$1,SMALL(Dong,ROWS($1:4)),))</f>
        <v>41337</v>
      </c>
      <c r="D17" s="226" t="str">
        <f ca="1">IF(ROWS($1:4)&gt;COUNT(Dong),"",OFFSET(TH!F$1,SMALL(Dong,ROWS($1:4)),))</f>
        <v>Thanh toán tiền hàng</v>
      </c>
      <c r="E17" s="46" t="str">
        <f ca="1">IF(ROWS($1:4)&gt;COUNT(Dong),"",IF(OFFSET(TH!L$1,SMALL(Dong,ROWS($1:4)),)="331",OFFSET(TH!M$1,SMALL(Dong,ROWS($1:4)),),OFFSET(TH!L$1,SMALL(Dong,ROWS($1:4)),)))</f>
        <v>1121</v>
      </c>
      <c r="F17" s="46"/>
      <c r="G17" s="58">
        <f ca="1">IF(ROWS($1:4)&gt;COUNT(Dong),"",IF(OFFSET(TH!L$1,SMALL(Dong,ROWS($1:4)),)="331",OFFSET(TH!K$1,SMALL(Dong,ROWS($1:4)),),0))</f>
        <v>8500000</v>
      </c>
      <c r="H17" s="58">
        <f ca="1">IF(ROWS($1:4)&gt;COUNT(Dong),"",IF(OFFSET(TH!M$1,SMALL(Dong,ROWS($1:4)),)="331",OFFSET(TH!K$1,SMALL(Dong,ROWS($1:4)),),0))</f>
        <v>0</v>
      </c>
      <c r="I17" s="25">
        <f t="shared" ca="1" si="0"/>
        <v>0</v>
      </c>
      <c r="J17" s="25">
        <f t="shared" ca="1" si="1"/>
        <v>32970386</v>
      </c>
    </row>
    <row r="18" spans="1:10" s="18" customFormat="1" ht="18" customHeight="1">
      <c r="A18" s="9">
        <f ca="1">IF(ROWS($1:5)&gt;COUNT(Dong),"",OFFSET(TH!C$1,SMALL(Dong,ROWS($1:5)),))</f>
        <v>41411</v>
      </c>
      <c r="B18" s="9" t="str">
        <f ca="1">IF(ROWS($1:5)&gt;COUNT(Dong),"",OFFSET(TH!D$1,SMALL(Dong,ROWS($1:5)),))</f>
        <v>GBN</v>
      </c>
      <c r="C18" s="9">
        <f ca="1">IF(ROWS($1:5)&gt;COUNT(Dong),"",OFFSET(TH!E$1,SMALL(Dong,ROWS($1:5)),))</f>
        <v>41411</v>
      </c>
      <c r="D18" s="226" t="str">
        <f ca="1">IF(ROWS($1:5)&gt;COUNT(Dong),"",OFFSET(TH!F$1,SMALL(Dong,ROWS($1:5)),))</f>
        <v>Thanh toán tiền hàng</v>
      </c>
      <c r="E18" s="46" t="str">
        <f ca="1">IF(ROWS($1:5)&gt;COUNT(Dong),"",IF(OFFSET(TH!L$1,SMALL(Dong,ROWS($1:5)),)="331",OFFSET(TH!M$1,SMALL(Dong,ROWS($1:5)),),OFFSET(TH!L$1,SMALL(Dong,ROWS($1:5)),)))</f>
        <v>1121</v>
      </c>
      <c r="F18" s="46"/>
      <c r="G18" s="58">
        <f ca="1">IF(ROWS($1:5)&gt;COUNT(Dong),"",IF(OFFSET(TH!L$1,SMALL(Dong,ROWS($1:5)),)="331",OFFSET(TH!K$1,SMALL(Dong,ROWS($1:5)),),0))</f>
        <v>10000000</v>
      </c>
      <c r="H18" s="58">
        <f ca="1">IF(ROWS($1:5)&gt;COUNT(Dong),"",IF(OFFSET(TH!M$1,SMALL(Dong,ROWS($1:5)),)="331",OFFSET(TH!K$1,SMALL(Dong,ROWS($1:5)),),0))</f>
        <v>0</v>
      </c>
      <c r="I18" s="25">
        <f t="shared" ca="1" si="0"/>
        <v>0</v>
      </c>
      <c r="J18" s="25">
        <f t="shared" ca="1" si="1"/>
        <v>22970386</v>
      </c>
    </row>
    <row r="19" spans="1:10" s="18" customFormat="1" ht="18" customHeight="1">
      <c r="A19" s="9">
        <f ca="1">IF(ROWS($1:6)&gt;COUNT(Dong),"",OFFSET(TH!C$1,SMALL(Dong,ROWS($1:6)),))</f>
        <v>41502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41502</v>
      </c>
      <c r="D19" s="226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15500000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7470386</v>
      </c>
    </row>
    <row r="20" spans="1:10" s="18" customFormat="1" ht="18" customHeight="1">
      <c r="A20" s="9">
        <f ca="1">IF(ROWS($1:7)&gt;COUNT(Dong),"",OFFSET(TH!C$1,SMALL(Dong,ROWS($1:7)),))</f>
        <v>41508</v>
      </c>
      <c r="B20" s="9" t="str">
        <f ca="1">IF(ROWS($1:7)&gt;COUNT(Dong),"",OFFSET(TH!D$1,SMALL(Dong,ROWS($1:7)),))</f>
        <v>NL/N04</v>
      </c>
      <c r="C20" s="9">
        <f ca="1">IF(ROWS($1:7)&gt;COUNT(Dong),"",OFFSET(TH!E$1,SMALL(Dong,ROWS($1:7)),))</f>
        <v>41508</v>
      </c>
      <c r="D20" s="226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1111</v>
      </c>
      <c r="F20" s="46"/>
      <c r="G20" s="58">
        <f ca="1">IF(ROWS($1:7)&gt;COUNT(Dong),"",IF(OFFSET(TH!L$1,SMALL(Dong,ROWS($1:7)),)="331",OFFSET(TH!K$1,SMALL(Dong,ROWS($1:7)),),0))</f>
        <v>7470386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0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0" s="18" customFormat="1" ht="18" customHeight="1">
      <c r="A50" s="9" t="str">
        <f ca="1">IF(ROWS($1:37)&gt;COUNT(Dong),"",OFFSET(TH!C$1,SMALL(Dong,ROWS($1:37)),))</f>
        <v/>
      </c>
      <c r="B50" s="9" t="str">
        <f ca="1">IF(ROWS($1:37)&gt;COUNT(Dong),"",OFFSET(TH!D$1,SMALL(Dong,ROWS($1:37)),))</f>
        <v/>
      </c>
      <c r="C50" s="9" t="str">
        <f ca="1">IF(ROWS($1:37)&gt;COUNT(Dong),"",OFFSET(TH!E$1,SMALL(Dong,ROWS($1:37)),))</f>
        <v/>
      </c>
      <c r="D50" s="226" t="str">
        <f ca="1">IF(ROWS($1:37)&gt;COUNT(Dong),"",OFFSET(TH!F$1,SMALL(Dong,ROWS($1:37)),))</f>
        <v/>
      </c>
      <c r="E50" s="46" t="str">
        <f ca="1">IF(ROWS($1:37)&gt;COUNT(Dong),"",IF(OFFSET(TH!L$1,SMALL(Dong,ROWS($1:37)),)="331",OFFSET(TH!M$1,SMALL(Dong,ROWS($1:37)),),OFFSET(TH!L$1,SMALL(Dong,ROWS($1:37)),)))</f>
        <v/>
      </c>
      <c r="F50" s="46"/>
      <c r="G50" s="58" t="str">
        <f ca="1">IF(ROWS($1:37)&gt;COUNT(Dong),"",IF(OFFSET(TH!L$1,SMALL(Dong,ROWS($1:37)),)="331",OFFSET(TH!K$1,SMALL(Dong,ROWS($1:37)),),0))</f>
        <v/>
      </c>
      <c r="H50" s="58" t="str">
        <f ca="1">IF(ROWS($1:37)&gt;COUNT(Dong),"",IF(OFFSET(TH!M$1,SMALL(Dong,ROWS($1:37)),)="331",OFFSET(TH!K$1,SMALL(Dong,ROWS($1:37)),),0))</f>
        <v/>
      </c>
      <c r="I50" s="25">
        <f t="shared" ref="I50:I100" ca="1" si="8">IF(D50&lt;&gt;"",MAX(I49+G50-H50-J49,0),0)</f>
        <v>0</v>
      </c>
      <c r="J50" s="25">
        <f t="shared" ref="J50:J100" ca="1" si="9">IF(D50&lt;&gt;"",MAX(J49+H50-I49-G50,0),0)</f>
        <v>0</v>
      </c>
    </row>
    <row r="51" spans="1:10" s="18" customFormat="1" ht="18" customHeight="1">
      <c r="A51" s="9" t="str">
        <f ca="1">IF(ROWS($1:38)&gt;COUNT(Dong),"",OFFSET(TH!C$1,SMALL(Dong,ROWS($1:38)),))</f>
        <v/>
      </c>
      <c r="B51" s="9" t="str">
        <f ca="1">IF(ROWS($1:38)&gt;COUNT(Dong),"",OFFSET(TH!D$1,SMALL(Dong,ROWS($1:38)),))</f>
        <v/>
      </c>
      <c r="C51" s="9" t="str">
        <f ca="1">IF(ROWS($1:38)&gt;COUNT(Dong),"",OFFSET(TH!E$1,SMALL(Dong,ROWS($1:38)),))</f>
        <v/>
      </c>
      <c r="D51" s="226" t="str">
        <f ca="1">IF(ROWS($1:38)&gt;COUNT(Dong),"",OFFSET(TH!F$1,SMALL(Dong,ROWS($1:38)),))</f>
        <v/>
      </c>
      <c r="E51" s="46" t="str">
        <f ca="1">IF(ROWS($1:38)&gt;COUNT(Dong),"",IF(OFFSET(TH!L$1,SMALL(Dong,ROWS($1:38)),)="331",OFFSET(TH!M$1,SMALL(Dong,ROWS($1:38)),),OFFSET(TH!L$1,SMALL(Dong,ROWS($1:38)),)))</f>
        <v/>
      </c>
      <c r="F51" s="46"/>
      <c r="G51" s="58" t="str">
        <f ca="1">IF(ROWS($1:38)&gt;COUNT(Dong),"",IF(OFFSET(TH!L$1,SMALL(Dong,ROWS($1:38)),)="331",OFFSET(TH!K$1,SMALL(Dong,ROWS($1:38)),),0))</f>
        <v/>
      </c>
      <c r="H51" s="58" t="str">
        <f ca="1">IF(ROWS($1:38)&gt;COUNT(Dong),"",IF(OFFSET(TH!M$1,SMALL(Dong,ROWS($1:38)),)="331",OFFSET(TH!K$1,SMALL(Dong,ROWS($1:38)),),0))</f>
        <v/>
      </c>
      <c r="I51" s="25">
        <f t="shared" ca="1" si="8"/>
        <v>0</v>
      </c>
      <c r="J51" s="25">
        <f t="shared" ca="1" si="9"/>
        <v>0</v>
      </c>
    </row>
    <row r="52" spans="1:10" s="18" customFormat="1" ht="18" customHeight="1">
      <c r="A52" s="9" t="str">
        <f ca="1">IF(ROWS($1:39)&gt;COUNT(Dong),"",OFFSET(TH!C$1,SMALL(Dong,ROWS($1:39)),))</f>
        <v/>
      </c>
      <c r="B52" s="9" t="str">
        <f ca="1">IF(ROWS($1:39)&gt;COUNT(Dong),"",OFFSET(TH!D$1,SMALL(Dong,ROWS($1:39)),))</f>
        <v/>
      </c>
      <c r="C52" s="9" t="str">
        <f ca="1">IF(ROWS($1:39)&gt;COUNT(Dong),"",OFFSET(TH!E$1,SMALL(Dong,ROWS($1:39)),))</f>
        <v/>
      </c>
      <c r="D52" s="226" t="str">
        <f ca="1">IF(ROWS($1:39)&gt;COUNT(Dong),"",OFFSET(TH!F$1,SMALL(Dong,ROWS($1:39)),))</f>
        <v/>
      </c>
      <c r="E52" s="46" t="str">
        <f ca="1">IF(ROWS($1:39)&gt;COUNT(Dong),"",IF(OFFSET(TH!L$1,SMALL(Dong,ROWS($1:39)),)="331",OFFSET(TH!M$1,SMALL(Dong,ROWS($1:39)),),OFFSET(TH!L$1,SMALL(Dong,ROWS($1:39)),)))</f>
        <v/>
      </c>
      <c r="F52" s="46"/>
      <c r="G52" s="58" t="str">
        <f ca="1">IF(ROWS($1:39)&gt;COUNT(Dong),"",IF(OFFSET(TH!L$1,SMALL(Dong,ROWS($1:39)),)="331",OFFSET(TH!K$1,SMALL(Dong,ROWS($1:39)),),0))</f>
        <v/>
      </c>
      <c r="H52" s="58" t="str">
        <f ca="1">IF(ROWS($1:39)&gt;COUNT(Dong),"",IF(OFFSET(TH!M$1,SMALL(Dong,ROWS($1:39)),)="331",OFFSET(TH!K$1,SMALL(Dong,ROWS($1:39)),),0))</f>
        <v/>
      </c>
      <c r="I52" s="25">
        <f t="shared" ca="1" si="8"/>
        <v>0</v>
      </c>
      <c r="J52" s="25">
        <f t="shared" ca="1" si="9"/>
        <v>0</v>
      </c>
    </row>
    <row r="53" spans="1:10" s="18" customFormat="1" ht="18" customHeight="1">
      <c r="A53" s="9" t="str">
        <f ca="1">IF(ROWS($1:40)&gt;COUNT(Dong),"",OFFSET(TH!C$1,SMALL(Dong,ROWS($1:40)),))</f>
        <v/>
      </c>
      <c r="B53" s="9" t="str">
        <f ca="1">IF(ROWS($1:40)&gt;COUNT(Dong),"",OFFSET(TH!D$1,SMALL(Dong,ROWS($1:40)),))</f>
        <v/>
      </c>
      <c r="C53" s="9" t="str">
        <f ca="1">IF(ROWS($1:40)&gt;COUNT(Dong),"",OFFSET(TH!E$1,SMALL(Dong,ROWS($1:40)),))</f>
        <v/>
      </c>
      <c r="D53" s="226" t="str">
        <f ca="1">IF(ROWS($1:40)&gt;COUNT(Dong),"",OFFSET(TH!F$1,SMALL(Dong,ROWS($1:40)),))</f>
        <v/>
      </c>
      <c r="E53" s="46" t="str">
        <f ca="1">IF(ROWS($1:40)&gt;COUNT(Dong),"",IF(OFFSET(TH!L$1,SMALL(Dong,ROWS($1:40)),)="331",OFFSET(TH!M$1,SMALL(Dong,ROWS($1:40)),),OFFSET(TH!L$1,SMALL(Dong,ROWS($1:40)),)))</f>
        <v/>
      </c>
      <c r="F53" s="46"/>
      <c r="G53" s="58" t="str">
        <f ca="1">IF(ROWS($1:40)&gt;COUNT(Dong),"",IF(OFFSET(TH!L$1,SMALL(Dong,ROWS($1:40)),)="331",OFFSET(TH!K$1,SMALL(Dong,ROWS($1:40)),),0))</f>
        <v/>
      </c>
      <c r="H53" s="58" t="str">
        <f ca="1">IF(ROWS($1:40)&gt;COUNT(Dong),"",IF(OFFSET(TH!M$1,SMALL(Dong,ROWS($1:40)),)="331",OFFSET(TH!K$1,SMALL(Dong,ROWS($1:40)),),0))</f>
        <v/>
      </c>
      <c r="I53" s="25">
        <f t="shared" ca="1" si="8"/>
        <v>0</v>
      </c>
      <c r="J53" s="25">
        <f t="shared" ca="1" si="9"/>
        <v>0</v>
      </c>
    </row>
    <row r="54" spans="1:10" s="18" customFormat="1" ht="18" customHeight="1">
      <c r="A54" s="9" t="str">
        <f ca="1">IF(ROWS($1:41)&gt;COUNT(Dong),"",OFFSET(TH!C$1,SMALL(Dong,ROWS($1:41)),))</f>
        <v/>
      </c>
      <c r="B54" s="9" t="str">
        <f ca="1">IF(ROWS($1:41)&gt;COUNT(Dong),"",OFFSET(TH!D$1,SMALL(Dong,ROWS($1:41)),))</f>
        <v/>
      </c>
      <c r="C54" s="9" t="str">
        <f ca="1">IF(ROWS($1:41)&gt;COUNT(Dong),"",OFFSET(TH!E$1,SMALL(Dong,ROWS($1:41)),))</f>
        <v/>
      </c>
      <c r="D54" s="226" t="str">
        <f ca="1">IF(ROWS($1:41)&gt;COUNT(Dong),"",OFFSET(TH!F$1,SMALL(Dong,ROWS($1:41)),))</f>
        <v/>
      </c>
      <c r="E54" s="46" t="str">
        <f ca="1">IF(ROWS($1:41)&gt;COUNT(Dong),"",IF(OFFSET(TH!L$1,SMALL(Dong,ROWS($1:41)),)="331",OFFSET(TH!M$1,SMALL(Dong,ROWS($1:41)),),OFFSET(TH!L$1,SMALL(Dong,ROWS($1:41)),)))</f>
        <v/>
      </c>
      <c r="F54" s="46"/>
      <c r="G54" s="58" t="str">
        <f ca="1">IF(ROWS($1:41)&gt;COUNT(Dong),"",IF(OFFSET(TH!L$1,SMALL(Dong,ROWS($1:41)),)="331",OFFSET(TH!K$1,SMALL(Dong,ROWS($1:41)),),0))</f>
        <v/>
      </c>
      <c r="H54" s="58" t="str">
        <f ca="1">IF(ROWS($1:41)&gt;COUNT(Dong),"",IF(OFFSET(TH!M$1,SMALL(Dong,ROWS($1:41)),)="331",OFFSET(TH!K$1,SMALL(Dong,ROWS($1:41)),),0))</f>
        <v/>
      </c>
      <c r="I54" s="25">
        <f t="shared" ca="1" si="8"/>
        <v>0</v>
      </c>
      <c r="J54" s="25">
        <f t="shared" ca="1" si="9"/>
        <v>0</v>
      </c>
    </row>
    <row r="55" spans="1:10" s="18" customFormat="1" ht="18" customHeight="1">
      <c r="A55" s="9" t="str">
        <f ca="1">IF(ROWS($1:42)&gt;COUNT(Dong),"",OFFSET(TH!C$1,SMALL(Dong,ROWS($1:42)),))</f>
        <v/>
      </c>
      <c r="B55" s="9" t="str">
        <f ca="1">IF(ROWS($1:42)&gt;COUNT(Dong),"",OFFSET(TH!D$1,SMALL(Dong,ROWS($1:42)),))</f>
        <v/>
      </c>
      <c r="C55" s="9" t="str">
        <f ca="1">IF(ROWS($1:42)&gt;COUNT(Dong),"",OFFSET(TH!E$1,SMALL(Dong,ROWS($1:42)),))</f>
        <v/>
      </c>
      <c r="D55" s="226" t="str">
        <f ca="1">IF(ROWS($1:42)&gt;COUNT(Dong),"",OFFSET(TH!F$1,SMALL(Dong,ROWS($1:42)),))</f>
        <v/>
      </c>
      <c r="E55" s="46" t="str">
        <f ca="1">IF(ROWS($1:42)&gt;COUNT(Dong),"",IF(OFFSET(TH!L$1,SMALL(Dong,ROWS($1:42)),)="331",OFFSET(TH!M$1,SMALL(Dong,ROWS($1:42)),),OFFSET(TH!L$1,SMALL(Dong,ROWS($1:42)),)))</f>
        <v/>
      </c>
      <c r="F55" s="46"/>
      <c r="G55" s="58" t="str">
        <f ca="1">IF(ROWS($1:42)&gt;COUNT(Dong),"",IF(OFFSET(TH!L$1,SMALL(Dong,ROWS($1:42)),)="331",OFFSET(TH!K$1,SMALL(Dong,ROWS($1:42)),),0))</f>
        <v/>
      </c>
      <c r="H55" s="58" t="str">
        <f ca="1">IF(ROWS($1:42)&gt;COUNT(Dong),"",IF(OFFSET(TH!M$1,SMALL(Dong,ROWS($1:42)),)="331",OFFSET(TH!K$1,SMALL(Dong,ROWS($1:42)),),0))</f>
        <v/>
      </c>
      <c r="I55" s="25">
        <f t="shared" ca="1" si="8"/>
        <v>0</v>
      </c>
      <c r="J55" s="25">
        <f t="shared" ca="1" si="9"/>
        <v>0</v>
      </c>
    </row>
    <row r="56" spans="1:10" s="18" customFormat="1" ht="18" customHeight="1">
      <c r="A56" s="9" t="str">
        <f ca="1">IF(ROWS($1:43)&gt;COUNT(Dong),"",OFFSET(TH!C$1,SMALL(Dong,ROWS($1:43)),))</f>
        <v/>
      </c>
      <c r="B56" s="9" t="str">
        <f ca="1">IF(ROWS($1:43)&gt;COUNT(Dong),"",OFFSET(TH!D$1,SMALL(Dong,ROWS($1:43)),))</f>
        <v/>
      </c>
      <c r="C56" s="9" t="str">
        <f ca="1">IF(ROWS($1:43)&gt;COUNT(Dong),"",OFFSET(TH!E$1,SMALL(Dong,ROWS($1:43)),))</f>
        <v/>
      </c>
      <c r="D56" s="226" t="str">
        <f ca="1">IF(ROWS($1:43)&gt;COUNT(Dong),"",OFFSET(TH!F$1,SMALL(Dong,ROWS($1:43)),))</f>
        <v/>
      </c>
      <c r="E56" s="46" t="str">
        <f ca="1">IF(ROWS($1:43)&gt;COUNT(Dong),"",IF(OFFSET(TH!L$1,SMALL(Dong,ROWS($1:43)),)="331",OFFSET(TH!M$1,SMALL(Dong,ROWS($1:43)),),OFFSET(TH!L$1,SMALL(Dong,ROWS($1:43)),)))</f>
        <v/>
      </c>
      <c r="F56" s="46"/>
      <c r="G56" s="58" t="str">
        <f ca="1">IF(ROWS($1:43)&gt;COUNT(Dong),"",IF(OFFSET(TH!L$1,SMALL(Dong,ROWS($1:43)),)="331",OFFSET(TH!K$1,SMALL(Dong,ROWS($1:43)),),0))</f>
        <v/>
      </c>
      <c r="H56" s="58" t="str">
        <f ca="1">IF(ROWS($1:43)&gt;COUNT(Dong),"",IF(OFFSET(TH!M$1,SMALL(Dong,ROWS($1:43)),)="331",OFFSET(TH!K$1,SMALL(Dong,ROWS($1:43)),),0))</f>
        <v/>
      </c>
      <c r="I56" s="25">
        <f t="shared" ca="1" si="8"/>
        <v>0</v>
      </c>
      <c r="J56" s="25">
        <f t="shared" ca="1" si="9"/>
        <v>0</v>
      </c>
    </row>
    <row r="57" spans="1:10" s="18" customFormat="1" ht="18" customHeight="1">
      <c r="A57" s="9" t="str">
        <f ca="1">IF(ROWS($1:44)&gt;COUNT(Dong),"",OFFSET(TH!C$1,SMALL(Dong,ROWS($1:44)),))</f>
        <v/>
      </c>
      <c r="B57" s="9" t="str">
        <f ca="1">IF(ROWS($1:44)&gt;COUNT(Dong),"",OFFSET(TH!D$1,SMALL(Dong,ROWS($1:44)),))</f>
        <v/>
      </c>
      <c r="C57" s="9" t="str">
        <f ca="1">IF(ROWS($1:44)&gt;COUNT(Dong),"",OFFSET(TH!E$1,SMALL(Dong,ROWS($1:44)),))</f>
        <v/>
      </c>
      <c r="D57" s="226" t="str">
        <f ca="1">IF(ROWS($1:44)&gt;COUNT(Dong),"",OFFSET(TH!F$1,SMALL(Dong,ROWS($1:44)),))</f>
        <v/>
      </c>
      <c r="E57" s="46" t="str">
        <f ca="1">IF(ROWS($1:44)&gt;COUNT(Dong),"",IF(OFFSET(TH!L$1,SMALL(Dong,ROWS($1:44)),)="331",OFFSET(TH!M$1,SMALL(Dong,ROWS($1:44)),),OFFSET(TH!L$1,SMALL(Dong,ROWS($1:44)),)))</f>
        <v/>
      </c>
      <c r="F57" s="46"/>
      <c r="G57" s="58" t="str">
        <f ca="1">IF(ROWS($1:44)&gt;COUNT(Dong),"",IF(OFFSET(TH!L$1,SMALL(Dong,ROWS($1:44)),)="331",OFFSET(TH!K$1,SMALL(Dong,ROWS($1:44)),),0))</f>
        <v/>
      </c>
      <c r="H57" s="58" t="str">
        <f ca="1">IF(ROWS($1:44)&gt;COUNT(Dong),"",IF(OFFSET(TH!M$1,SMALL(Dong,ROWS($1:44)),)="331",OFFSET(TH!K$1,SMALL(Dong,ROWS($1:44)),),0))</f>
        <v/>
      </c>
      <c r="I57" s="25">
        <f t="shared" ca="1" si="8"/>
        <v>0</v>
      </c>
      <c r="J57" s="25">
        <f t="shared" ca="1" si="9"/>
        <v>0</v>
      </c>
    </row>
    <row r="58" spans="1:10" s="18" customFormat="1" ht="18" customHeight="1">
      <c r="A58" s="9" t="str">
        <f ca="1">IF(ROWS($1:45)&gt;COUNT(Dong),"",OFFSET(TH!C$1,SMALL(Dong,ROWS($1:45)),))</f>
        <v/>
      </c>
      <c r="B58" s="9" t="str">
        <f ca="1">IF(ROWS($1:45)&gt;COUNT(Dong),"",OFFSET(TH!D$1,SMALL(Dong,ROWS($1:45)),))</f>
        <v/>
      </c>
      <c r="C58" s="9" t="str">
        <f ca="1">IF(ROWS($1:45)&gt;COUNT(Dong),"",OFFSET(TH!E$1,SMALL(Dong,ROWS($1:45)),))</f>
        <v/>
      </c>
      <c r="D58" s="226" t="str">
        <f ca="1">IF(ROWS($1:45)&gt;COUNT(Dong),"",OFFSET(TH!F$1,SMALL(Dong,ROWS($1:45)),))</f>
        <v/>
      </c>
      <c r="E58" s="46" t="str">
        <f ca="1">IF(ROWS($1:45)&gt;COUNT(Dong),"",IF(OFFSET(TH!L$1,SMALL(Dong,ROWS($1:45)),)="331",OFFSET(TH!M$1,SMALL(Dong,ROWS($1:45)),),OFFSET(TH!L$1,SMALL(Dong,ROWS($1:45)),)))</f>
        <v/>
      </c>
      <c r="F58" s="46"/>
      <c r="G58" s="58" t="str">
        <f ca="1">IF(ROWS($1:45)&gt;COUNT(Dong),"",IF(OFFSET(TH!L$1,SMALL(Dong,ROWS($1:45)),)="331",OFFSET(TH!K$1,SMALL(Dong,ROWS($1:45)),),0))</f>
        <v/>
      </c>
      <c r="H58" s="58" t="str">
        <f ca="1">IF(ROWS($1:45)&gt;COUNT(Dong),"",IF(OFFSET(TH!M$1,SMALL(Dong,ROWS($1:45)),)="331",OFFSET(TH!K$1,SMALL(Dong,ROWS($1:45)),),0))</f>
        <v/>
      </c>
      <c r="I58" s="25">
        <f t="shared" ca="1" si="8"/>
        <v>0</v>
      </c>
      <c r="J58" s="25">
        <f t="shared" ca="1" si="9"/>
        <v>0</v>
      </c>
    </row>
    <row r="59" spans="1:10" s="18" customFormat="1" ht="18" customHeight="1">
      <c r="A59" s="9" t="str">
        <f ca="1">IF(ROWS($1:46)&gt;COUNT(Dong),"",OFFSET(TH!C$1,SMALL(Dong,ROWS($1:46)),))</f>
        <v/>
      </c>
      <c r="B59" s="9" t="str">
        <f ca="1">IF(ROWS($1:46)&gt;COUNT(Dong),"",OFFSET(TH!D$1,SMALL(Dong,ROWS($1:46)),))</f>
        <v/>
      </c>
      <c r="C59" s="9" t="str">
        <f ca="1">IF(ROWS($1:46)&gt;COUNT(Dong),"",OFFSET(TH!E$1,SMALL(Dong,ROWS($1:46)),))</f>
        <v/>
      </c>
      <c r="D59" s="226" t="str">
        <f ca="1">IF(ROWS($1:46)&gt;COUNT(Dong),"",OFFSET(TH!F$1,SMALL(Dong,ROWS($1:46)),))</f>
        <v/>
      </c>
      <c r="E59" s="46" t="str">
        <f ca="1">IF(ROWS($1:46)&gt;COUNT(Dong),"",IF(OFFSET(TH!L$1,SMALL(Dong,ROWS($1:46)),)="331",OFFSET(TH!M$1,SMALL(Dong,ROWS($1:46)),),OFFSET(TH!L$1,SMALL(Dong,ROWS($1:46)),)))</f>
        <v/>
      </c>
      <c r="F59" s="46"/>
      <c r="G59" s="58" t="str">
        <f ca="1">IF(ROWS($1:46)&gt;COUNT(Dong),"",IF(OFFSET(TH!L$1,SMALL(Dong,ROWS($1:46)),)="331",OFFSET(TH!K$1,SMALL(Dong,ROWS($1:46)),),0))</f>
        <v/>
      </c>
      <c r="H59" s="58" t="str">
        <f ca="1">IF(ROWS($1:46)&gt;COUNT(Dong),"",IF(OFFSET(TH!M$1,SMALL(Dong,ROWS($1:46)),)="331",OFFSET(TH!K$1,SMALL(Dong,ROWS($1:46)),),0))</f>
        <v/>
      </c>
      <c r="I59" s="25">
        <f t="shared" ca="1" si="8"/>
        <v>0</v>
      </c>
      <c r="J59" s="25">
        <f t="shared" ca="1" si="9"/>
        <v>0</v>
      </c>
    </row>
    <row r="60" spans="1:10" s="18" customFormat="1" ht="18" customHeight="1">
      <c r="A60" s="9" t="str">
        <f ca="1">IF(ROWS($1:47)&gt;COUNT(Dong),"",OFFSET(TH!C$1,SMALL(Dong,ROWS($1:47)),))</f>
        <v/>
      </c>
      <c r="B60" s="9" t="str">
        <f ca="1">IF(ROWS($1:47)&gt;COUNT(Dong),"",OFFSET(TH!D$1,SMALL(Dong,ROWS($1:47)),))</f>
        <v/>
      </c>
      <c r="C60" s="9" t="str">
        <f ca="1">IF(ROWS($1:47)&gt;COUNT(Dong),"",OFFSET(TH!E$1,SMALL(Dong,ROWS($1:47)),))</f>
        <v/>
      </c>
      <c r="D60" s="226" t="str">
        <f ca="1">IF(ROWS($1:47)&gt;COUNT(Dong),"",OFFSET(TH!F$1,SMALL(Dong,ROWS($1:47)),))</f>
        <v/>
      </c>
      <c r="E60" s="46" t="str">
        <f ca="1">IF(ROWS($1:47)&gt;COUNT(Dong),"",IF(OFFSET(TH!L$1,SMALL(Dong,ROWS($1:47)),)="331",OFFSET(TH!M$1,SMALL(Dong,ROWS($1:47)),),OFFSET(TH!L$1,SMALL(Dong,ROWS($1:47)),)))</f>
        <v/>
      </c>
      <c r="F60" s="46"/>
      <c r="G60" s="58" t="str">
        <f ca="1">IF(ROWS($1:47)&gt;COUNT(Dong),"",IF(OFFSET(TH!L$1,SMALL(Dong,ROWS($1:47)),)="331",OFFSET(TH!K$1,SMALL(Dong,ROWS($1:47)),),0))</f>
        <v/>
      </c>
      <c r="H60" s="58" t="str">
        <f ca="1">IF(ROWS($1:47)&gt;COUNT(Dong),"",IF(OFFSET(TH!M$1,SMALL(Dong,ROWS($1:47)),)="331",OFFSET(TH!K$1,SMALL(Dong,ROWS($1:47)),),0))</f>
        <v/>
      </c>
      <c r="I60" s="25">
        <f t="shared" ca="1" si="8"/>
        <v>0</v>
      </c>
      <c r="J60" s="25">
        <f t="shared" ca="1" si="9"/>
        <v>0</v>
      </c>
    </row>
    <row r="61" spans="1:10" s="18" customFormat="1" ht="18" customHeight="1">
      <c r="A61" s="9" t="str">
        <f ca="1">IF(ROWS($1:48)&gt;COUNT(Dong),"",OFFSET(TH!C$1,SMALL(Dong,ROWS($1:48)),))</f>
        <v/>
      </c>
      <c r="B61" s="9" t="str">
        <f ca="1">IF(ROWS($1:48)&gt;COUNT(Dong),"",OFFSET(TH!D$1,SMALL(Dong,ROWS($1:48)),))</f>
        <v/>
      </c>
      <c r="C61" s="9" t="str">
        <f ca="1">IF(ROWS($1:48)&gt;COUNT(Dong),"",OFFSET(TH!E$1,SMALL(Dong,ROWS($1:48)),))</f>
        <v/>
      </c>
      <c r="D61" s="226" t="str">
        <f ca="1">IF(ROWS($1:48)&gt;COUNT(Dong),"",OFFSET(TH!F$1,SMALL(Dong,ROWS($1:48)),))</f>
        <v/>
      </c>
      <c r="E61" s="46" t="str">
        <f ca="1">IF(ROWS($1:48)&gt;COUNT(Dong),"",IF(OFFSET(TH!L$1,SMALL(Dong,ROWS($1:48)),)="331",OFFSET(TH!M$1,SMALL(Dong,ROWS($1:48)),),OFFSET(TH!L$1,SMALL(Dong,ROWS($1:48)),)))</f>
        <v/>
      </c>
      <c r="F61" s="46"/>
      <c r="G61" s="58" t="str">
        <f ca="1">IF(ROWS($1:48)&gt;COUNT(Dong),"",IF(OFFSET(TH!L$1,SMALL(Dong,ROWS($1:48)),)="331",OFFSET(TH!K$1,SMALL(Dong,ROWS($1:48)),),0))</f>
        <v/>
      </c>
      <c r="H61" s="58" t="str">
        <f ca="1">IF(ROWS($1:48)&gt;COUNT(Dong),"",IF(OFFSET(TH!M$1,SMALL(Dong,ROWS($1:48)),)="331",OFFSET(TH!K$1,SMALL(Dong,ROWS($1:48)),),0))</f>
        <v/>
      </c>
      <c r="I61" s="25">
        <f t="shared" ca="1" si="8"/>
        <v>0</v>
      </c>
      <c r="J61" s="25">
        <f t="shared" ca="1" si="9"/>
        <v>0</v>
      </c>
    </row>
    <row r="62" spans="1:10" s="18" customFormat="1" ht="18" customHeight="1">
      <c r="A62" s="9" t="str">
        <f ca="1">IF(ROWS($1:49)&gt;COUNT(Dong),"",OFFSET(TH!C$1,SMALL(Dong,ROWS($1:49)),))</f>
        <v/>
      </c>
      <c r="B62" s="9" t="str">
        <f ca="1">IF(ROWS($1:49)&gt;COUNT(Dong),"",OFFSET(TH!D$1,SMALL(Dong,ROWS($1:49)),))</f>
        <v/>
      </c>
      <c r="C62" s="9" t="str">
        <f ca="1">IF(ROWS($1:49)&gt;COUNT(Dong),"",OFFSET(TH!E$1,SMALL(Dong,ROWS($1:49)),))</f>
        <v/>
      </c>
      <c r="D62" s="226" t="str">
        <f ca="1">IF(ROWS($1:49)&gt;COUNT(Dong),"",OFFSET(TH!F$1,SMALL(Dong,ROWS($1:49)),))</f>
        <v/>
      </c>
      <c r="E62" s="46" t="str">
        <f ca="1">IF(ROWS($1:49)&gt;COUNT(Dong),"",IF(OFFSET(TH!L$1,SMALL(Dong,ROWS($1:49)),)="331",OFFSET(TH!M$1,SMALL(Dong,ROWS($1:49)),),OFFSET(TH!L$1,SMALL(Dong,ROWS($1:49)),)))</f>
        <v/>
      </c>
      <c r="F62" s="46"/>
      <c r="G62" s="58" t="str">
        <f ca="1">IF(ROWS($1:49)&gt;COUNT(Dong),"",IF(OFFSET(TH!L$1,SMALL(Dong,ROWS($1:49)),)="331",OFFSET(TH!K$1,SMALL(Dong,ROWS($1:49)),),0))</f>
        <v/>
      </c>
      <c r="H62" s="58" t="str">
        <f ca="1">IF(ROWS($1:49)&gt;COUNT(Dong),"",IF(OFFSET(TH!M$1,SMALL(Dong,ROWS($1:49)),)="331",OFFSET(TH!K$1,SMALL(Dong,ROWS($1:49)),),0))</f>
        <v/>
      </c>
      <c r="I62" s="25">
        <f t="shared" ca="1" si="8"/>
        <v>0</v>
      </c>
      <c r="J62" s="25">
        <f t="shared" ca="1" si="9"/>
        <v>0</v>
      </c>
    </row>
    <row r="63" spans="1:10" s="18" customFormat="1" ht="18" customHeight="1">
      <c r="A63" s="9" t="str">
        <f ca="1">IF(ROWS($1:50)&gt;COUNT(Dong),"",OFFSET(TH!C$1,SMALL(Dong,ROWS($1:50)),))</f>
        <v/>
      </c>
      <c r="B63" s="9" t="str">
        <f ca="1">IF(ROWS($1:50)&gt;COUNT(Dong),"",OFFSET(TH!D$1,SMALL(Dong,ROWS($1:50)),))</f>
        <v/>
      </c>
      <c r="C63" s="9" t="str">
        <f ca="1">IF(ROWS($1:50)&gt;COUNT(Dong),"",OFFSET(TH!E$1,SMALL(Dong,ROWS($1:50)),))</f>
        <v/>
      </c>
      <c r="D63" s="226" t="str">
        <f ca="1">IF(ROWS($1:50)&gt;COUNT(Dong),"",OFFSET(TH!F$1,SMALL(Dong,ROWS($1:50)),))</f>
        <v/>
      </c>
      <c r="E63" s="46" t="str">
        <f ca="1">IF(ROWS($1:50)&gt;COUNT(Dong),"",IF(OFFSET(TH!L$1,SMALL(Dong,ROWS($1:50)),)="331",OFFSET(TH!M$1,SMALL(Dong,ROWS($1:50)),),OFFSET(TH!L$1,SMALL(Dong,ROWS($1:50)),)))</f>
        <v/>
      </c>
      <c r="F63" s="46"/>
      <c r="G63" s="58" t="str">
        <f ca="1">IF(ROWS($1:50)&gt;COUNT(Dong),"",IF(OFFSET(TH!L$1,SMALL(Dong,ROWS($1:50)),)="331",OFFSET(TH!K$1,SMALL(Dong,ROWS($1:50)),),0))</f>
        <v/>
      </c>
      <c r="H63" s="58" t="str">
        <f ca="1">IF(ROWS($1:50)&gt;COUNT(Dong),"",IF(OFFSET(TH!M$1,SMALL(Dong,ROWS($1:50)),)="331",OFFSET(TH!K$1,SMALL(Dong,ROWS($1:50)),),0))</f>
        <v/>
      </c>
      <c r="I63" s="25">
        <f t="shared" ca="1" si="8"/>
        <v>0</v>
      </c>
      <c r="J63" s="25">
        <f t="shared" ca="1" si="9"/>
        <v>0</v>
      </c>
    </row>
    <row r="64" spans="1:10" s="18" customFormat="1" ht="18" customHeight="1">
      <c r="A64" s="9" t="str">
        <f ca="1">IF(ROWS($1:51)&gt;COUNT(Dong),"",OFFSET(TH!C$1,SMALL(Dong,ROWS($1:51)),))</f>
        <v/>
      </c>
      <c r="B64" s="9" t="str">
        <f ca="1">IF(ROWS($1:51)&gt;COUNT(Dong),"",OFFSET(TH!D$1,SMALL(Dong,ROWS($1:51)),))</f>
        <v/>
      </c>
      <c r="C64" s="9" t="str">
        <f ca="1">IF(ROWS($1:51)&gt;COUNT(Dong),"",OFFSET(TH!E$1,SMALL(Dong,ROWS($1:51)),))</f>
        <v/>
      </c>
      <c r="D64" s="226" t="str">
        <f ca="1">IF(ROWS($1:51)&gt;COUNT(Dong),"",OFFSET(TH!F$1,SMALL(Dong,ROWS($1:51)),))</f>
        <v/>
      </c>
      <c r="E64" s="46" t="str">
        <f ca="1">IF(ROWS($1:51)&gt;COUNT(Dong),"",IF(OFFSET(TH!L$1,SMALL(Dong,ROWS($1:51)),)="331",OFFSET(TH!M$1,SMALL(Dong,ROWS($1:51)),),OFFSET(TH!L$1,SMALL(Dong,ROWS($1:51)),)))</f>
        <v/>
      </c>
      <c r="F64" s="46"/>
      <c r="G64" s="58" t="str">
        <f ca="1">IF(ROWS($1:51)&gt;COUNT(Dong),"",IF(OFFSET(TH!L$1,SMALL(Dong,ROWS($1:51)),)="331",OFFSET(TH!K$1,SMALL(Dong,ROWS($1:51)),),0))</f>
        <v/>
      </c>
      <c r="H64" s="58" t="str">
        <f ca="1">IF(ROWS($1:51)&gt;COUNT(Dong),"",IF(OFFSET(TH!M$1,SMALL(Dong,ROWS($1:51)),)="331",OFFSET(TH!K$1,SMALL(Dong,ROWS($1:51)),),0))</f>
        <v/>
      </c>
      <c r="I64" s="25">
        <f t="shared" ca="1" si="8"/>
        <v>0</v>
      </c>
      <c r="J64" s="25">
        <f t="shared" ca="1" si="9"/>
        <v>0</v>
      </c>
    </row>
    <row r="65" spans="1:10" s="18" customFormat="1" ht="18" customHeight="1">
      <c r="A65" s="9" t="str">
        <f ca="1">IF(ROWS($1:52)&gt;COUNT(Dong),"",OFFSET(TH!C$1,SMALL(Dong,ROWS($1:52)),))</f>
        <v/>
      </c>
      <c r="B65" s="9" t="str">
        <f ca="1">IF(ROWS($1:52)&gt;COUNT(Dong),"",OFFSET(TH!D$1,SMALL(Dong,ROWS($1:52)),))</f>
        <v/>
      </c>
      <c r="C65" s="9" t="str">
        <f ca="1">IF(ROWS($1:52)&gt;COUNT(Dong),"",OFFSET(TH!E$1,SMALL(Dong,ROWS($1:52)),))</f>
        <v/>
      </c>
      <c r="D65" s="226" t="str">
        <f ca="1">IF(ROWS($1:52)&gt;COUNT(Dong),"",OFFSET(TH!F$1,SMALL(Dong,ROWS($1:52)),))</f>
        <v/>
      </c>
      <c r="E65" s="46" t="str">
        <f ca="1">IF(ROWS($1:52)&gt;COUNT(Dong),"",IF(OFFSET(TH!L$1,SMALL(Dong,ROWS($1:52)),)="331",OFFSET(TH!M$1,SMALL(Dong,ROWS($1:52)),),OFFSET(TH!L$1,SMALL(Dong,ROWS($1:52)),)))</f>
        <v/>
      </c>
      <c r="F65" s="46"/>
      <c r="G65" s="58" t="str">
        <f ca="1">IF(ROWS($1:52)&gt;COUNT(Dong),"",IF(OFFSET(TH!L$1,SMALL(Dong,ROWS($1:52)),)="331",OFFSET(TH!K$1,SMALL(Dong,ROWS($1:52)),),0))</f>
        <v/>
      </c>
      <c r="H65" s="58" t="str">
        <f ca="1">IF(ROWS($1:52)&gt;COUNT(Dong),"",IF(OFFSET(TH!M$1,SMALL(Dong,ROWS($1:52)),)="331",OFFSET(TH!K$1,SMALL(Dong,ROWS($1:52)),),0))</f>
        <v/>
      </c>
      <c r="I65" s="25">
        <f t="shared" ca="1" si="8"/>
        <v>0</v>
      </c>
      <c r="J65" s="25">
        <f t="shared" ca="1" si="9"/>
        <v>0</v>
      </c>
    </row>
    <row r="66" spans="1:10" s="18" customFormat="1" ht="18" customHeight="1">
      <c r="A66" s="9" t="str">
        <f ca="1">IF(ROWS($1:53)&gt;COUNT(Dong),"",OFFSET(TH!C$1,SMALL(Dong,ROWS($1:53)),))</f>
        <v/>
      </c>
      <c r="B66" s="9" t="str">
        <f ca="1">IF(ROWS($1:53)&gt;COUNT(Dong),"",OFFSET(TH!D$1,SMALL(Dong,ROWS($1:53)),))</f>
        <v/>
      </c>
      <c r="C66" s="9" t="str">
        <f ca="1">IF(ROWS($1:53)&gt;COUNT(Dong),"",OFFSET(TH!E$1,SMALL(Dong,ROWS($1:53)),))</f>
        <v/>
      </c>
      <c r="D66" s="226" t="str">
        <f ca="1">IF(ROWS($1:53)&gt;COUNT(Dong),"",OFFSET(TH!F$1,SMALL(Dong,ROWS($1:53)),))</f>
        <v/>
      </c>
      <c r="E66" s="46" t="str">
        <f ca="1">IF(ROWS($1:53)&gt;COUNT(Dong),"",IF(OFFSET(TH!L$1,SMALL(Dong,ROWS($1:53)),)="331",OFFSET(TH!M$1,SMALL(Dong,ROWS($1:53)),),OFFSET(TH!L$1,SMALL(Dong,ROWS($1:53)),)))</f>
        <v/>
      </c>
      <c r="F66" s="46"/>
      <c r="G66" s="58" t="str">
        <f ca="1">IF(ROWS($1:53)&gt;COUNT(Dong),"",IF(OFFSET(TH!L$1,SMALL(Dong,ROWS($1:53)),)="331",OFFSET(TH!K$1,SMALL(Dong,ROWS($1:53)),),0))</f>
        <v/>
      </c>
      <c r="H66" s="58" t="str">
        <f ca="1">IF(ROWS($1:53)&gt;COUNT(Dong),"",IF(OFFSET(TH!M$1,SMALL(Dong,ROWS($1:53)),)="331",OFFSET(TH!K$1,SMALL(Dong,ROWS($1:53)),),0))</f>
        <v/>
      </c>
      <c r="I66" s="25">
        <f t="shared" ca="1" si="8"/>
        <v>0</v>
      </c>
      <c r="J66" s="25">
        <f t="shared" ca="1" si="9"/>
        <v>0</v>
      </c>
    </row>
    <row r="67" spans="1:10" s="18" customFormat="1" ht="18" customHeight="1">
      <c r="A67" s="9" t="str">
        <f ca="1">IF(ROWS($1:54)&gt;COUNT(Dong),"",OFFSET(TH!C$1,SMALL(Dong,ROWS($1:54)),))</f>
        <v/>
      </c>
      <c r="B67" s="9" t="str">
        <f ca="1">IF(ROWS($1:54)&gt;COUNT(Dong),"",OFFSET(TH!D$1,SMALL(Dong,ROWS($1:54)),))</f>
        <v/>
      </c>
      <c r="C67" s="9" t="str">
        <f ca="1">IF(ROWS($1:54)&gt;COUNT(Dong),"",OFFSET(TH!E$1,SMALL(Dong,ROWS($1:54)),))</f>
        <v/>
      </c>
      <c r="D67" s="226" t="str">
        <f ca="1">IF(ROWS($1:54)&gt;COUNT(Dong),"",OFFSET(TH!F$1,SMALL(Dong,ROWS($1:54)),))</f>
        <v/>
      </c>
      <c r="E67" s="46" t="str">
        <f ca="1">IF(ROWS($1:54)&gt;COUNT(Dong),"",IF(OFFSET(TH!L$1,SMALL(Dong,ROWS($1:54)),)="331",OFFSET(TH!M$1,SMALL(Dong,ROWS($1:54)),),OFFSET(TH!L$1,SMALL(Dong,ROWS($1:54)),)))</f>
        <v/>
      </c>
      <c r="F67" s="46"/>
      <c r="G67" s="58" t="str">
        <f ca="1">IF(ROWS($1:54)&gt;COUNT(Dong),"",IF(OFFSET(TH!L$1,SMALL(Dong,ROWS($1:54)),)="331",OFFSET(TH!K$1,SMALL(Dong,ROWS($1:54)),),0))</f>
        <v/>
      </c>
      <c r="H67" s="58" t="str">
        <f ca="1">IF(ROWS($1:54)&gt;COUNT(Dong),"",IF(OFFSET(TH!M$1,SMALL(Dong,ROWS($1:54)),)="331",OFFSET(TH!K$1,SMALL(Dong,ROWS($1:54)),),0))</f>
        <v/>
      </c>
      <c r="I67" s="25">
        <f t="shared" ca="1" si="8"/>
        <v>0</v>
      </c>
      <c r="J67" s="25">
        <f t="shared" ca="1" si="9"/>
        <v>0</v>
      </c>
    </row>
    <row r="68" spans="1:10" s="18" customFormat="1" ht="18" customHeight="1">
      <c r="A68" s="9" t="str">
        <f ca="1">IF(ROWS($1:55)&gt;COUNT(Dong),"",OFFSET(TH!C$1,SMALL(Dong,ROWS($1:55)),))</f>
        <v/>
      </c>
      <c r="B68" s="9" t="str">
        <f ca="1">IF(ROWS($1:55)&gt;COUNT(Dong),"",OFFSET(TH!D$1,SMALL(Dong,ROWS($1:55)),))</f>
        <v/>
      </c>
      <c r="C68" s="9" t="str">
        <f ca="1">IF(ROWS($1:55)&gt;COUNT(Dong),"",OFFSET(TH!E$1,SMALL(Dong,ROWS($1:55)),))</f>
        <v/>
      </c>
      <c r="D68" s="226" t="str">
        <f ca="1">IF(ROWS($1:55)&gt;COUNT(Dong),"",OFFSET(TH!F$1,SMALL(Dong,ROWS($1:55)),))</f>
        <v/>
      </c>
      <c r="E68" s="46" t="str">
        <f ca="1">IF(ROWS($1:55)&gt;COUNT(Dong),"",IF(OFFSET(TH!L$1,SMALL(Dong,ROWS($1:55)),)="331",OFFSET(TH!M$1,SMALL(Dong,ROWS($1:55)),),OFFSET(TH!L$1,SMALL(Dong,ROWS($1:55)),)))</f>
        <v/>
      </c>
      <c r="F68" s="46"/>
      <c r="G68" s="58" t="str">
        <f ca="1">IF(ROWS($1:55)&gt;COUNT(Dong),"",IF(OFFSET(TH!L$1,SMALL(Dong,ROWS($1:55)),)="331",OFFSET(TH!K$1,SMALL(Dong,ROWS($1:55)),),0))</f>
        <v/>
      </c>
      <c r="H68" s="58" t="str">
        <f ca="1">IF(ROWS($1:55)&gt;COUNT(Dong),"",IF(OFFSET(TH!M$1,SMALL(Dong,ROWS($1:55)),)="331",OFFSET(TH!K$1,SMALL(Dong,ROWS($1:55)),),0))</f>
        <v/>
      </c>
      <c r="I68" s="25">
        <f t="shared" ca="1" si="8"/>
        <v>0</v>
      </c>
      <c r="J68" s="25">
        <f t="shared" ca="1" si="9"/>
        <v>0</v>
      </c>
    </row>
    <row r="69" spans="1:10" s="18" customFormat="1" ht="18" customHeight="1">
      <c r="A69" s="9" t="str">
        <f ca="1">IF(ROWS($1:56)&gt;COUNT(Dong),"",OFFSET(TH!C$1,SMALL(Dong,ROWS($1:56)),))</f>
        <v/>
      </c>
      <c r="B69" s="9" t="str">
        <f ca="1">IF(ROWS($1:56)&gt;COUNT(Dong),"",OFFSET(TH!D$1,SMALL(Dong,ROWS($1:56)),))</f>
        <v/>
      </c>
      <c r="C69" s="9" t="str">
        <f ca="1">IF(ROWS($1:56)&gt;COUNT(Dong),"",OFFSET(TH!E$1,SMALL(Dong,ROWS($1:56)),))</f>
        <v/>
      </c>
      <c r="D69" s="226" t="str">
        <f ca="1">IF(ROWS($1:56)&gt;COUNT(Dong),"",OFFSET(TH!F$1,SMALL(Dong,ROWS($1:56)),))</f>
        <v/>
      </c>
      <c r="E69" s="46" t="str">
        <f ca="1">IF(ROWS($1:56)&gt;COUNT(Dong),"",IF(OFFSET(TH!L$1,SMALL(Dong,ROWS($1:56)),)="331",OFFSET(TH!M$1,SMALL(Dong,ROWS($1:56)),),OFFSET(TH!L$1,SMALL(Dong,ROWS($1:56)),)))</f>
        <v/>
      </c>
      <c r="F69" s="46"/>
      <c r="G69" s="58" t="str">
        <f ca="1">IF(ROWS($1:56)&gt;COUNT(Dong),"",IF(OFFSET(TH!L$1,SMALL(Dong,ROWS($1:56)),)="331",OFFSET(TH!K$1,SMALL(Dong,ROWS($1:56)),),0))</f>
        <v/>
      </c>
      <c r="H69" s="58" t="str">
        <f ca="1">IF(ROWS($1:56)&gt;COUNT(Dong),"",IF(OFFSET(TH!M$1,SMALL(Dong,ROWS($1:56)),)="331",OFFSET(TH!K$1,SMALL(Dong,ROWS($1:56)),),0))</f>
        <v/>
      </c>
      <c r="I69" s="25">
        <f t="shared" ca="1" si="8"/>
        <v>0</v>
      </c>
      <c r="J69" s="25">
        <f t="shared" ca="1" si="9"/>
        <v>0</v>
      </c>
    </row>
    <row r="70" spans="1:10" s="18" customFormat="1" ht="18" customHeight="1">
      <c r="A70" s="9" t="str">
        <f ca="1">IF(ROWS($1:57)&gt;COUNT(Dong),"",OFFSET(TH!C$1,SMALL(Dong,ROWS($1:57)),))</f>
        <v/>
      </c>
      <c r="B70" s="9" t="str">
        <f ca="1">IF(ROWS($1:57)&gt;COUNT(Dong),"",OFFSET(TH!D$1,SMALL(Dong,ROWS($1:57)),))</f>
        <v/>
      </c>
      <c r="C70" s="9" t="str">
        <f ca="1">IF(ROWS($1:57)&gt;COUNT(Dong),"",OFFSET(TH!E$1,SMALL(Dong,ROWS($1:57)),))</f>
        <v/>
      </c>
      <c r="D70" s="226" t="str">
        <f ca="1">IF(ROWS($1:57)&gt;COUNT(Dong),"",OFFSET(TH!F$1,SMALL(Dong,ROWS($1:57)),))</f>
        <v/>
      </c>
      <c r="E70" s="46" t="str">
        <f ca="1">IF(ROWS($1:57)&gt;COUNT(Dong),"",IF(OFFSET(TH!L$1,SMALL(Dong,ROWS($1:57)),)="331",OFFSET(TH!M$1,SMALL(Dong,ROWS($1:57)),),OFFSET(TH!L$1,SMALL(Dong,ROWS($1:57)),)))</f>
        <v/>
      </c>
      <c r="F70" s="46"/>
      <c r="G70" s="58" t="str">
        <f ca="1">IF(ROWS($1:57)&gt;COUNT(Dong),"",IF(OFFSET(TH!L$1,SMALL(Dong,ROWS($1:57)),)="331",OFFSET(TH!K$1,SMALL(Dong,ROWS($1:57)),),0))</f>
        <v/>
      </c>
      <c r="H70" s="58" t="str">
        <f ca="1">IF(ROWS($1:57)&gt;COUNT(Dong),"",IF(OFFSET(TH!M$1,SMALL(Dong,ROWS($1:57)),)="331",OFFSET(TH!K$1,SMALL(Dong,ROWS($1:57)),),0))</f>
        <v/>
      </c>
      <c r="I70" s="25">
        <f t="shared" ca="1" si="8"/>
        <v>0</v>
      </c>
      <c r="J70" s="25">
        <f t="shared" ca="1" si="9"/>
        <v>0</v>
      </c>
    </row>
    <row r="71" spans="1:10" s="18" customFormat="1" ht="18" customHeight="1">
      <c r="A71" s="9" t="str">
        <f ca="1">IF(ROWS($1:58)&gt;COUNT(Dong),"",OFFSET(TH!C$1,SMALL(Dong,ROWS($1:58)),))</f>
        <v/>
      </c>
      <c r="B71" s="9" t="str">
        <f ca="1">IF(ROWS($1:58)&gt;COUNT(Dong),"",OFFSET(TH!D$1,SMALL(Dong,ROWS($1:58)),))</f>
        <v/>
      </c>
      <c r="C71" s="9" t="str">
        <f ca="1">IF(ROWS($1:58)&gt;COUNT(Dong),"",OFFSET(TH!E$1,SMALL(Dong,ROWS($1:58)),))</f>
        <v/>
      </c>
      <c r="D71" s="226" t="str">
        <f ca="1">IF(ROWS($1:58)&gt;COUNT(Dong),"",OFFSET(TH!F$1,SMALL(Dong,ROWS($1:58)),))</f>
        <v/>
      </c>
      <c r="E71" s="46" t="str">
        <f ca="1">IF(ROWS($1:58)&gt;COUNT(Dong),"",IF(OFFSET(TH!L$1,SMALL(Dong,ROWS($1:58)),)="331",OFFSET(TH!M$1,SMALL(Dong,ROWS($1:58)),),OFFSET(TH!L$1,SMALL(Dong,ROWS($1:58)),)))</f>
        <v/>
      </c>
      <c r="F71" s="46"/>
      <c r="G71" s="58" t="str">
        <f ca="1">IF(ROWS($1:58)&gt;COUNT(Dong),"",IF(OFFSET(TH!L$1,SMALL(Dong,ROWS($1:58)),)="331",OFFSET(TH!K$1,SMALL(Dong,ROWS($1:58)),),0))</f>
        <v/>
      </c>
      <c r="H71" s="58" t="str">
        <f ca="1">IF(ROWS($1:58)&gt;COUNT(Dong),"",IF(OFFSET(TH!M$1,SMALL(Dong,ROWS($1:58)),)="331",OFFSET(TH!K$1,SMALL(Dong,ROWS($1:58)),),0))</f>
        <v/>
      </c>
      <c r="I71" s="25">
        <f t="shared" ca="1" si="8"/>
        <v>0</v>
      </c>
      <c r="J71" s="25">
        <f t="shared" ca="1" si="9"/>
        <v>0</v>
      </c>
    </row>
    <row r="72" spans="1:10" s="18" customFormat="1" ht="18" customHeight="1">
      <c r="A72" s="9" t="str">
        <f ca="1">IF(ROWS($1:59)&gt;COUNT(Dong),"",OFFSET(TH!C$1,SMALL(Dong,ROWS($1:59)),))</f>
        <v/>
      </c>
      <c r="B72" s="9" t="str">
        <f ca="1">IF(ROWS($1:59)&gt;COUNT(Dong),"",OFFSET(TH!D$1,SMALL(Dong,ROWS($1:59)),))</f>
        <v/>
      </c>
      <c r="C72" s="9" t="str">
        <f ca="1">IF(ROWS($1:59)&gt;COUNT(Dong),"",OFFSET(TH!E$1,SMALL(Dong,ROWS($1:59)),))</f>
        <v/>
      </c>
      <c r="D72" s="226" t="str">
        <f ca="1">IF(ROWS($1:59)&gt;COUNT(Dong),"",OFFSET(TH!F$1,SMALL(Dong,ROWS($1:59)),))</f>
        <v/>
      </c>
      <c r="E72" s="46" t="str">
        <f ca="1">IF(ROWS($1:59)&gt;COUNT(Dong),"",IF(OFFSET(TH!L$1,SMALL(Dong,ROWS($1:59)),)="331",OFFSET(TH!M$1,SMALL(Dong,ROWS($1:59)),),OFFSET(TH!L$1,SMALL(Dong,ROWS($1:59)),)))</f>
        <v/>
      </c>
      <c r="F72" s="46"/>
      <c r="G72" s="58" t="str">
        <f ca="1">IF(ROWS($1:59)&gt;COUNT(Dong),"",IF(OFFSET(TH!L$1,SMALL(Dong,ROWS($1:59)),)="331",OFFSET(TH!K$1,SMALL(Dong,ROWS($1:59)),),0))</f>
        <v/>
      </c>
      <c r="H72" s="58" t="str">
        <f ca="1">IF(ROWS($1:59)&gt;COUNT(Dong),"",IF(OFFSET(TH!M$1,SMALL(Dong,ROWS($1:59)),)="331",OFFSET(TH!K$1,SMALL(Dong,ROWS($1:59)),),0))</f>
        <v/>
      </c>
      <c r="I72" s="25">
        <f t="shared" ca="1" si="8"/>
        <v>0</v>
      </c>
      <c r="J72" s="25">
        <f t="shared" ca="1" si="9"/>
        <v>0</v>
      </c>
    </row>
    <row r="73" spans="1:10" s="18" customFormat="1" ht="18" customHeight="1">
      <c r="A73" s="9" t="str">
        <f ca="1">IF(ROWS($1:60)&gt;COUNT(Dong),"",OFFSET(TH!C$1,SMALL(Dong,ROWS($1:60)),))</f>
        <v/>
      </c>
      <c r="B73" s="9" t="str">
        <f ca="1">IF(ROWS($1:60)&gt;COUNT(Dong),"",OFFSET(TH!D$1,SMALL(Dong,ROWS($1:60)),))</f>
        <v/>
      </c>
      <c r="C73" s="9" t="str">
        <f ca="1">IF(ROWS($1:60)&gt;COUNT(Dong),"",OFFSET(TH!E$1,SMALL(Dong,ROWS($1:60)),))</f>
        <v/>
      </c>
      <c r="D73" s="226" t="str">
        <f ca="1">IF(ROWS($1:60)&gt;COUNT(Dong),"",OFFSET(TH!F$1,SMALL(Dong,ROWS($1:60)),))</f>
        <v/>
      </c>
      <c r="E73" s="46" t="str">
        <f ca="1">IF(ROWS($1:60)&gt;COUNT(Dong),"",IF(OFFSET(TH!L$1,SMALL(Dong,ROWS($1:60)),)="331",OFFSET(TH!M$1,SMALL(Dong,ROWS($1:60)),),OFFSET(TH!L$1,SMALL(Dong,ROWS($1:60)),)))</f>
        <v/>
      </c>
      <c r="F73" s="46"/>
      <c r="G73" s="58" t="str">
        <f ca="1">IF(ROWS($1:60)&gt;COUNT(Dong),"",IF(OFFSET(TH!L$1,SMALL(Dong,ROWS($1:60)),)="331",OFFSET(TH!K$1,SMALL(Dong,ROWS($1:60)),),0))</f>
        <v/>
      </c>
      <c r="H73" s="58" t="str">
        <f ca="1">IF(ROWS($1:60)&gt;COUNT(Dong),"",IF(OFFSET(TH!M$1,SMALL(Dong,ROWS($1:60)),)="331",OFFSET(TH!K$1,SMALL(Dong,ROWS($1:60)),),0))</f>
        <v/>
      </c>
      <c r="I73" s="25">
        <f t="shared" ca="1" si="8"/>
        <v>0</v>
      </c>
      <c r="J73" s="25">
        <f t="shared" ca="1" si="9"/>
        <v>0</v>
      </c>
    </row>
    <row r="74" spans="1:10" s="18" customFormat="1" ht="18" customHeight="1">
      <c r="A74" s="9" t="str">
        <f ca="1">IF(ROWS($1:61)&gt;COUNT(Dong),"",OFFSET(TH!C$1,SMALL(Dong,ROWS($1:61)),))</f>
        <v/>
      </c>
      <c r="B74" s="9" t="str">
        <f ca="1">IF(ROWS($1:61)&gt;COUNT(Dong),"",OFFSET(TH!D$1,SMALL(Dong,ROWS($1:61)),))</f>
        <v/>
      </c>
      <c r="C74" s="9" t="str">
        <f ca="1">IF(ROWS($1:61)&gt;COUNT(Dong),"",OFFSET(TH!E$1,SMALL(Dong,ROWS($1:61)),))</f>
        <v/>
      </c>
      <c r="D74" s="226" t="str">
        <f ca="1">IF(ROWS($1:61)&gt;COUNT(Dong),"",OFFSET(TH!F$1,SMALL(Dong,ROWS($1:61)),))</f>
        <v/>
      </c>
      <c r="E74" s="46" t="str">
        <f ca="1">IF(ROWS($1:61)&gt;COUNT(Dong),"",IF(OFFSET(TH!L$1,SMALL(Dong,ROWS($1:61)),)="331",OFFSET(TH!M$1,SMALL(Dong,ROWS($1:61)),),OFFSET(TH!L$1,SMALL(Dong,ROWS($1:61)),)))</f>
        <v/>
      </c>
      <c r="F74" s="46"/>
      <c r="G74" s="58" t="str">
        <f ca="1">IF(ROWS($1:61)&gt;COUNT(Dong),"",IF(OFFSET(TH!L$1,SMALL(Dong,ROWS($1:61)),)="331",OFFSET(TH!K$1,SMALL(Dong,ROWS($1:61)),),0))</f>
        <v/>
      </c>
      <c r="H74" s="58" t="str">
        <f ca="1">IF(ROWS($1:61)&gt;COUNT(Dong),"",IF(OFFSET(TH!M$1,SMALL(Dong,ROWS($1:61)),)="331",OFFSET(TH!K$1,SMALL(Dong,ROWS($1:61)),),0))</f>
        <v/>
      </c>
      <c r="I74" s="25">
        <f t="shared" ca="1" si="8"/>
        <v>0</v>
      </c>
      <c r="J74" s="25">
        <f t="shared" ca="1" si="9"/>
        <v>0</v>
      </c>
    </row>
    <row r="75" spans="1:10" s="18" customFormat="1" ht="18" customHeight="1">
      <c r="A75" s="9" t="str">
        <f ca="1">IF(ROWS($1:62)&gt;COUNT(Dong),"",OFFSET(TH!C$1,SMALL(Dong,ROWS($1:62)),))</f>
        <v/>
      </c>
      <c r="B75" s="9" t="str">
        <f ca="1">IF(ROWS($1:62)&gt;COUNT(Dong),"",OFFSET(TH!D$1,SMALL(Dong,ROWS($1:62)),))</f>
        <v/>
      </c>
      <c r="C75" s="9" t="str">
        <f ca="1">IF(ROWS($1:62)&gt;COUNT(Dong),"",OFFSET(TH!E$1,SMALL(Dong,ROWS($1:62)),))</f>
        <v/>
      </c>
      <c r="D75" s="226" t="str">
        <f ca="1">IF(ROWS($1:62)&gt;COUNT(Dong),"",OFFSET(TH!F$1,SMALL(Dong,ROWS($1:62)),))</f>
        <v/>
      </c>
      <c r="E75" s="46" t="str">
        <f ca="1">IF(ROWS($1:62)&gt;COUNT(Dong),"",IF(OFFSET(TH!L$1,SMALL(Dong,ROWS($1:62)),)="331",OFFSET(TH!M$1,SMALL(Dong,ROWS($1:62)),),OFFSET(TH!L$1,SMALL(Dong,ROWS($1:62)),)))</f>
        <v/>
      </c>
      <c r="F75" s="46"/>
      <c r="G75" s="58" t="str">
        <f ca="1">IF(ROWS($1:62)&gt;COUNT(Dong),"",IF(OFFSET(TH!L$1,SMALL(Dong,ROWS($1:62)),)="331",OFFSET(TH!K$1,SMALL(Dong,ROWS($1:62)),),0))</f>
        <v/>
      </c>
      <c r="H75" s="58" t="str">
        <f ca="1">IF(ROWS($1:62)&gt;COUNT(Dong),"",IF(OFFSET(TH!M$1,SMALL(Dong,ROWS($1:62)),)="331",OFFSET(TH!K$1,SMALL(Dong,ROWS($1:62)),),0))</f>
        <v/>
      </c>
      <c r="I75" s="25">
        <f t="shared" ca="1" si="8"/>
        <v>0</v>
      </c>
      <c r="J75" s="25">
        <f t="shared" ca="1" si="9"/>
        <v>0</v>
      </c>
    </row>
    <row r="76" spans="1:10" s="18" customFormat="1" ht="18" customHeight="1">
      <c r="A76" s="9" t="str">
        <f ca="1">IF(ROWS($1:63)&gt;COUNT(Dong),"",OFFSET(TH!C$1,SMALL(Dong,ROWS($1:63)),))</f>
        <v/>
      </c>
      <c r="B76" s="9" t="str">
        <f ca="1">IF(ROWS($1:63)&gt;COUNT(Dong),"",OFFSET(TH!D$1,SMALL(Dong,ROWS($1:63)),))</f>
        <v/>
      </c>
      <c r="C76" s="9" t="str">
        <f ca="1">IF(ROWS($1:63)&gt;COUNT(Dong),"",OFFSET(TH!E$1,SMALL(Dong,ROWS($1:63)),))</f>
        <v/>
      </c>
      <c r="D76" s="226" t="str">
        <f ca="1">IF(ROWS($1:63)&gt;COUNT(Dong),"",OFFSET(TH!F$1,SMALL(Dong,ROWS($1:63)),))</f>
        <v/>
      </c>
      <c r="E76" s="46" t="str">
        <f ca="1">IF(ROWS($1:63)&gt;COUNT(Dong),"",IF(OFFSET(TH!L$1,SMALL(Dong,ROWS($1:63)),)="331",OFFSET(TH!M$1,SMALL(Dong,ROWS($1:63)),),OFFSET(TH!L$1,SMALL(Dong,ROWS($1:63)),)))</f>
        <v/>
      </c>
      <c r="F76" s="46"/>
      <c r="G76" s="58" t="str">
        <f ca="1">IF(ROWS($1:63)&gt;COUNT(Dong),"",IF(OFFSET(TH!L$1,SMALL(Dong,ROWS($1:63)),)="331",OFFSET(TH!K$1,SMALL(Dong,ROWS($1:63)),),0))</f>
        <v/>
      </c>
      <c r="H76" s="58" t="str">
        <f ca="1">IF(ROWS($1:63)&gt;COUNT(Dong),"",IF(OFFSET(TH!M$1,SMALL(Dong,ROWS($1:63)),)="331",OFFSET(TH!K$1,SMALL(Dong,ROWS($1:63)),),0))</f>
        <v/>
      </c>
      <c r="I76" s="25">
        <f t="shared" ca="1" si="8"/>
        <v>0</v>
      </c>
      <c r="J76" s="25">
        <f t="shared" ca="1" si="9"/>
        <v>0</v>
      </c>
    </row>
    <row r="77" spans="1:10" s="18" customFormat="1" ht="18" customHeight="1">
      <c r="A77" s="9" t="str">
        <f ca="1">IF(ROWS($1:64)&gt;COUNT(Dong),"",OFFSET(TH!C$1,SMALL(Dong,ROWS($1:64)),))</f>
        <v/>
      </c>
      <c r="B77" s="9" t="str">
        <f ca="1">IF(ROWS($1:64)&gt;COUNT(Dong),"",OFFSET(TH!D$1,SMALL(Dong,ROWS($1:64)),))</f>
        <v/>
      </c>
      <c r="C77" s="9" t="str">
        <f ca="1">IF(ROWS($1:64)&gt;COUNT(Dong),"",OFFSET(TH!E$1,SMALL(Dong,ROWS($1:64)),))</f>
        <v/>
      </c>
      <c r="D77" s="226" t="str">
        <f ca="1">IF(ROWS($1:64)&gt;COUNT(Dong),"",OFFSET(TH!F$1,SMALL(Dong,ROWS($1:64)),))</f>
        <v/>
      </c>
      <c r="E77" s="46" t="str">
        <f ca="1">IF(ROWS($1:64)&gt;COUNT(Dong),"",IF(OFFSET(TH!L$1,SMALL(Dong,ROWS($1:64)),)="331",OFFSET(TH!M$1,SMALL(Dong,ROWS($1:64)),),OFFSET(TH!L$1,SMALL(Dong,ROWS($1:64)),)))</f>
        <v/>
      </c>
      <c r="F77" s="46"/>
      <c r="G77" s="58" t="str">
        <f ca="1">IF(ROWS($1:64)&gt;COUNT(Dong),"",IF(OFFSET(TH!L$1,SMALL(Dong,ROWS($1:64)),)="331",OFFSET(TH!K$1,SMALL(Dong,ROWS($1:64)),),0))</f>
        <v/>
      </c>
      <c r="H77" s="58" t="str">
        <f ca="1">IF(ROWS($1:64)&gt;COUNT(Dong),"",IF(OFFSET(TH!M$1,SMALL(Dong,ROWS($1:64)),)="331",OFFSET(TH!K$1,SMALL(Dong,ROWS($1:64)),),0))</f>
        <v/>
      </c>
      <c r="I77" s="25">
        <f t="shared" ca="1" si="8"/>
        <v>0</v>
      </c>
      <c r="J77" s="25">
        <f t="shared" ca="1" si="9"/>
        <v>0</v>
      </c>
    </row>
    <row r="78" spans="1:10" s="18" customFormat="1" ht="18" customHeight="1">
      <c r="A78" s="9" t="str">
        <f ca="1">IF(ROWS($1:65)&gt;COUNT(Dong),"",OFFSET(TH!C$1,SMALL(Dong,ROWS($1:65)),))</f>
        <v/>
      </c>
      <c r="B78" s="9" t="str">
        <f ca="1">IF(ROWS($1:65)&gt;COUNT(Dong),"",OFFSET(TH!D$1,SMALL(Dong,ROWS($1:65)),))</f>
        <v/>
      </c>
      <c r="C78" s="9" t="str">
        <f ca="1">IF(ROWS($1:65)&gt;COUNT(Dong),"",OFFSET(TH!E$1,SMALL(Dong,ROWS($1:65)),))</f>
        <v/>
      </c>
      <c r="D78" s="226" t="str">
        <f ca="1">IF(ROWS($1:65)&gt;COUNT(Dong),"",OFFSET(TH!F$1,SMALL(Dong,ROWS($1:65)),))</f>
        <v/>
      </c>
      <c r="E78" s="46" t="str">
        <f ca="1">IF(ROWS($1:65)&gt;COUNT(Dong),"",IF(OFFSET(TH!L$1,SMALL(Dong,ROWS($1:65)),)="331",OFFSET(TH!M$1,SMALL(Dong,ROWS($1:65)),),OFFSET(TH!L$1,SMALL(Dong,ROWS($1:65)),)))</f>
        <v/>
      </c>
      <c r="F78" s="46"/>
      <c r="G78" s="58" t="str">
        <f ca="1">IF(ROWS($1:65)&gt;COUNT(Dong),"",IF(OFFSET(TH!L$1,SMALL(Dong,ROWS($1:65)),)="331",OFFSET(TH!K$1,SMALL(Dong,ROWS($1:65)),),0))</f>
        <v/>
      </c>
      <c r="H78" s="58" t="str">
        <f ca="1">IF(ROWS($1:65)&gt;COUNT(Dong),"",IF(OFFSET(TH!M$1,SMALL(Dong,ROWS($1:65)),)="331",OFFSET(TH!K$1,SMALL(Dong,ROWS($1:65)),),0))</f>
        <v/>
      </c>
      <c r="I78" s="25">
        <f t="shared" ca="1" si="8"/>
        <v>0</v>
      </c>
      <c r="J78" s="25">
        <f t="shared" ca="1" si="9"/>
        <v>0</v>
      </c>
    </row>
    <row r="79" spans="1:10" s="18" customFormat="1" ht="18" customHeight="1">
      <c r="A79" s="9" t="str">
        <f ca="1">IF(ROWS($1:66)&gt;COUNT(Dong),"",OFFSET(TH!C$1,SMALL(Dong,ROWS($1:66)),))</f>
        <v/>
      </c>
      <c r="B79" s="9" t="str">
        <f ca="1">IF(ROWS($1:66)&gt;COUNT(Dong),"",OFFSET(TH!D$1,SMALL(Dong,ROWS($1:66)),))</f>
        <v/>
      </c>
      <c r="C79" s="9" t="str">
        <f ca="1">IF(ROWS($1:66)&gt;COUNT(Dong),"",OFFSET(TH!E$1,SMALL(Dong,ROWS($1:66)),))</f>
        <v/>
      </c>
      <c r="D79" s="226" t="str">
        <f ca="1">IF(ROWS($1:66)&gt;COUNT(Dong),"",OFFSET(TH!F$1,SMALL(Dong,ROWS($1:66)),))</f>
        <v/>
      </c>
      <c r="E79" s="46" t="str">
        <f ca="1">IF(ROWS($1:66)&gt;COUNT(Dong),"",IF(OFFSET(TH!L$1,SMALL(Dong,ROWS($1:66)),)="331",OFFSET(TH!M$1,SMALL(Dong,ROWS($1:66)),),OFFSET(TH!L$1,SMALL(Dong,ROWS($1:66)),)))</f>
        <v/>
      </c>
      <c r="F79" s="46"/>
      <c r="G79" s="58" t="str">
        <f ca="1">IF(ROWS($1:66)&gt;COUNT(Dong),"",IF(OFFSET(TH!L$1,SMALL(Dong,ROWS($1:66)),)="331",OFFSET(TH!K$1,SMALL(Dong,ROWS($1:66)),),0))</f>
        <v/>
      </c>
      <c r="H79" s="58" t="str">
        <f ca="1">IF(ROWS($1:66)&gt;COUNT(Dong),"",IF(OFFSET(TH!M$1,SMALL(Dong,ROWS($1:66)),)="331",OFFSET(TH!K$1,SMALL(Dong,ROWS($1:66)),),0))</f>
        <v/>
      </c>
      <c r="I79" s="25">
        <f t="shared" ca="1" si="8"/>
        <v>0</v>
      </c>
      <c r="J79" s="25">
        <f t="shared" ca="1" si="9"/>
        <v>0</v>
      </c>
    </row>
    <row r="80" spans="1:10" s="18" customFormat="1" ht="18" customHeight="1">
      <c r="A80" s="9" t="str">
        <f ca="1">IF(ROWS($1:67)&gt;COUNT(Dong),"",OFFSET(TH!C$1,SMALL(Dong,ROWS($1:67)),))</f>
        <v/>
      </c>
      <c r="B80" s="9" t="str">
        <f ca="1">IF(ROWS($1:67)&gt;COUNT(Dong),"",OFFSET(TH!D$1,SMALL(Dong,ROWS($1:67)),))</f>
        <v/>
      </c>
      <c r="C80" s="9" t="str">
        <f ca="1">IF(ROWS($1:67)&gt;COUNT(Dong),"",OFFSET(TH!E$1,SMALL(Dong,ROWS($1:67)),))</f>
        <v/>
      </c>
      <c r="D80" s="226" t="str">
        <f ca="1">IF(ROWS($1:67)&gt;COUNT(Dong),"",OFFSET(TH!F$1,SMALL(Dong,ROWS($1:67)),))</f>
        <v/>
      </c>
      <c r="E80" s="46" t="str">
        <f ca="1">IF(ROWS($1:67)&gt;COUNT(Dong),"",IF(OFFSET(TH!L$1,SMALL(Dong,ROWS($1:67)),)="331",OFFSET(TH!M$1,SMALL(Dong,ROWS($1:67)),),OFFSET(TH!L$1,SMALL(Dong,ROWS($1:67)),)))</f>
        <v/>
      </c>
      <c r="F80" s="46"/>
      <c r="G80" s="58" t="str">
        <f ca="1">IF(ROWS($1:67)&gt;COUNT(Dong),"",IF(OFFSET(TH!L$1,SMALL(Dong,ROWS($1:67)),)="331",OFFSET(TH!K$1,SMALL(Dong,ROWS($1:67)),),0))</f>
        <v/>
      </c>
      <c r="H80" s="58" t="str">
        <f ca="1">IF(ROWS($1:67)&gt;COUNT(Dong),"",IF(OFFSET(TH!M$1,SMALL(Dong,ROWS($1:67)),)="331",OFFSET(TH!K$1,SMALL(Dong,ROWS($1:67)),),0))</f>
        <v/>
      </c>
      <c r="I80" s="25">
        <f t="shared" ca="1" si="8"/>
        <v>0</v>
      </c>
      <c r="J80" s="25">
        <f t="shared" ca="1" si="9"/>
        <v>0</v>
      </c>
    </row>
    <row r="81" spans="1:10" s="18" customFormat="1" ht="18" customHeight="1">
      <c r="A81" s="9" t="str">
        <f ca="1">IF(ROWS($1:68)&gt;COUNT(Dong),"",OFFSET(TH!C$1,SMALL(Dong,ROWS($1:68)),))</f>
        <v/>
      </c>
      <c r="B81" s="9" t="str">
        <f ca="1">IF(ROWS($1:68)&gt;COUNT(Dong),"",OFFSET(TH!D$1,SMALL(Dong,ROWS($1:68)),))</f>
        <v/>
      </c>
      <c r="C81" s="9" t="str">
        <f ca="1">IF(ROWS($1:68)&gt;COUNT(Dong),"",OFFSET(TH!E$1,SMALL(Dong,ROWS($1:68)),))</f>
        <v/>
      </c>
      <c r="D81" s="226" t="str">
        <f ca="1">IF(ROWS($1:68)&gt;COUNT(Dong),"",OFFSET(TH!F$1,SMALL(Dong,ROWS($1:68)),))</f>
        <v/>
      </c>
      <c r="E81" s="46" t="str">
        <f ca="1">IF(ROWS($1:68)&gt;COUNT(Dong),"",IF(OFFSET(TH!L$1,SMALL(Dong,ROWS($1:68)),)="331",OFFSET(TH!M$1,SMALL(Dong,ROWS($1:68)),),OFFSET(TH!L$1,SMALL(Dong,ROWS($1:68)),)))</f>
        <v/>
      </c>
      <c r="F81" s="46"/>
      <c r="G81" s="58" t="str">
        <f ca="1">IF(ROWS($1:68)&gt;COUNT(Dong),"",IF(OFFSET(TH!L$1,SMALL(Dong,ROWS($1:68)),)="331",OFFSET(TH!K$1,SMALL(Dong,ROWS($1:68)),),0))</f>
        <v/>
      </c>
      <c r="H81" s="58" t="str">
        <f ca="1">IF(ROWS($1:68)&gt;COUNT(Dong),"",IF(OFFSET(TH!M$1,SMALL(Dong,ROWS($1:68)),)="331",OFFSET(TH!K$1,SMALL(Dong,ROWS($1:68)),),0))</f>
        <v/>
      </c>
      <c r="I81" s="25">
        <f t="shared" ca="1" si="8"/>
        <v>0</v>
      </c>
      <c r="J81" s="25">
        <f t="shared" ca="1" si="9"/>
        <v>0</v>
      </c>
    </row>
    <row r="82" spans="1:10" s="18" customFormat="1" ht="18" customHeight="1">
      <c r="A82" s="9" t="str">
        <f ca="1">IF(ROWS($1:69)&gt;COUNT(Dong),"",OFFSET(TH!C$1,SMALL(Dong,ROWS($1:69)),))</f>
        <v/>
      </c>
      <c r="B82" s="9" t="str">
        <f ca="1">IF(ROWS($1:69)&gt;COUNT(Dong),"",OFFSET(TH!D$1,SMALL(Dong,ROWS($1:69)),))</f>
        <v/>
      </c>
      <c r="C82" s="9" t="str">
        <f ca="1">IF(ROWS($1:69)&gt;COUNT(Dong),"",OFFSET(TH!E$1,SMALL(Dong,ROWS($1:69)),))</f>
        <v/>
      </c>
      <c r="D82" s="226" t="str">
        <f ca="1">IF(ROWS($1:69)&gt;COUNT(Dong),"",OFFSET(TH!F$1,SMALL(Dong,ROWS($1:69)),))</f>
        <v/>
      </c>
      <c r="E82" s="46" t="str">
        <f ca="1">IF(ROWS($1:69)&gt;COUNT(Dong),"",IF(OFFSET(TH!L$1,SMALL(Dong,ROWS($1:69)),)="331",OFFSET(TH!M$1,SMALL(Dong,ROWS($1:69)),),OFFSET(TH!L$1,SMALL(Dong,ROWS($1:69)),)))</f>
        <v/>
      </c>
      <c r="F82" s="46"/>
      <c r="G82" s="58" t="str">
        <f ca="1">IF(ROWS($1:69)&gt;COUNT(Dong),"",IF(OFFSET(TH!L$1,SMALL(Dong,ROWS($1:69)),)="331",OFFSET(TH!K$1,SMALL(Dong,ROWS($1:69)),),0))</f>
        <v/>
      </c>
      <c r="H82" s="58" t="str">
        <f ca="1">IF(ROWS($1:69)&gt;COUNT(Dong),"",IF(OFFSET(TH!M$1,SMALL(Dong,ROWS($1:69)),)="331",OFFSET(TH!K$1,SMALL(Dong,ROWS($1:69)),),0))</f>
        <v/>
      </c>
      <c r="I82" s="25">
        <f t="shared" ca="1" si="8"/>
        <v>0</v>
      </c>
      <c r="J82" s="25">
        <f t="shared" ca="1" si="9"/>
        <v>0</v>
      </c>
    </row>
    <row r="83" spans="1:10" s="18" customFormat="1" ht="18" customHeight="1">
      <c r="A83" s="9" t="str">
        <f ca="1">IF(ROWS($1:70)&gt;COUNT(Dong),"",OFFSET(TH!C$1,SMALL(Dong,ROWS($1:70)),))</f>
        <v/>
      </c>
      <c r="B83" s="9" t="str">
        <f ca="1">IF(ROWS($1:70)&gt;COUNT(Dong),"",OFFSET(TH!D$1,SMALL(Dong,ROWS($1:70)),))</f>
        <v/>
      </c>
      <c r="C83" s="9" t="str">
        <f ca="1">IF(ROWS($1:70)&gt;COUNT(Dong),"",OFFSET(TH!E$1,SMALL(Dong,ROWS($1:70)),))</f>
        <v/>
      </c>
      <c r="D83" s="226" t="str">
        <f ca="1">IF(ROWS($1:70)&gt;COUNT(Dong),"",OFFSET(TH!F$1,SMALL(Dong,ROWS($1:70)),))</f>
        <v/>
      </c>
      <c r="E83" s="46" t="str">
        <f ca="1">IF(ROWS($1:70)&gt;COUNT(Dong),"",IF(OFFSET(TH!L$1,SMALL(Dong,ROWS($1:70)),)="331",OFFSET(TH!M$1,SMALL(Dong,ROWS($1:70)),),OFFSET(TH!L$1,SMALL(Dong,ROWS($1:70)),)))</f>
        <v/>
      </c>
      <c r="F83" s="46"/>
      <c r="G83" s="58" t="str">
        <f ca="1">IF(ROWS($1:70)&gt;COUNT(Dong),"",IF(OFFSET(TH!L$1,SMALL(Dong,ROWS($1:70)),)="331",OFFSET(TH!K$1,SMALL(Dong,ROWS($1:70)),),0))</f>
        <v/>
      </c>
      <c r="H83" s="58" t="str">
        <f ca="1">IF(ROWS($1:70)&gt;COUNT(Dong),"",IF(OFFSET(TH!M$1,SMALL(Dong,ROWS($1:70)),)="331",OFFSET(TH!K$1,SMALL(Dong,ROWS($1:70)),),0))</f>
        <v/>
      </c>
      <c r="I83" s="25">
        <f t="shared" ca="1" si="8"/>
        <v>0</v>
      </c>
      <c r="J83" s="25">
        <f t="shared" ca="1" si="9"/>
        <v>0</v>
      </c>
    </row>
    <row r="84" spans="1:10" s="18" customFormat="1" ht="18" customHeight="1">
      <c r="A84" s="9" t="str">
        <f ca="1">IF(ROWS($1:71)&gt;COUNT(Dong),"",OFFSET(TH!C$1,SMALL(Dong,ROWS($1:71)),))</f>
        <v/>
      </c>
      <c r="B84" s="9" t="str">
        <f ca="1">IF(ROWS($1:71)&gt;COUNT(Dong),"",OFFSET(TH!D$1,SMALL(Dong,ROWS($1:71)),))</f>
        <v/>
      </c>
      <c r="C84" s="9" t="str">
        <f ca="1">IF(ROWS($1:71)&gt;COUNT(Dong),"",OFFSET(TH!E$1,SMALL(Dong,ROWS($1:71)),))</f>
        <v/>
      </c>
      <c r="D84" s="226" t="str">
        <f ca="1">IF(ROWS($1:71)&gt;COUNT(Dong),"",OFFSET(TH!F$1,SMALL(Dong,ROWS($1:71)),))</f>
        <v/>
      </c>
      <c r="E84" s="46" t="str">
        <f ca="1">IF(ROWS($1:71)&gt;COUNT(Dong),"",IF(OFFSET(TH!L$1,SMALL(Dong,ROWS($1:71)),)="331",OFFSET(TH!M$1,SMALL(Dong,ROWS($1:71)),),OFFSET(TH!L$1,SMALL(Dong,ROWS($1:71)),)))</f>
        <v/>
      </c>
      <c r="F84" s="46"/>
      <c r="G84" s="58" t="str">
        <f ca="1">IF(ROWS($1:71)&gt;COUNT(Dong),"",IF(OFFSET(TH!L$1,SMALL(Dong,ROWS($1:71)),)="331",OFFSET(TH!K$1,SMALL(Dong,ROWS($1:71)),),0))</f>
        <v/>
      </c>
      <c r="H84" s="58" t="str">
        <f ca="1">IF(ROWS($1:71)&gt;COUNT(Dong),"",IF(OFFSET(TH!M$1,SMALL(Dong,ROWS($1:71)),)="331",OFFSET(TH!K$1,SMALL(Dong,ROWS($1:71)),),0))</f>
        <v/>
      </c>
      <c r="I84" s="25">
        <f t="shared" ca="1" si="8"/>
        <v>0</v>
      </c>
      <c r="J84" s="25">
        <f t="shared" ca="1" si="9"/>
        <v>0</v>
      </c>
    </row>
    <row r="85" spans="1:10" s="18" customFormat="1" ht="18" customHeight="1">
      <c r="A85" s="9" t="str">
        <f ca="1">IF(ROWS($1:72)&gt;COUNT(Dong),"",OFFSET(TH!C$1,SMALL(Dong,ROWS($1:72)),))</f>
        <v/>
      </c>
      <c r="B85" s="9" t="str">
        <f ca="1">IF(ROWS($1:72)&gt;COUNT(Dong),"",OFFSET(TH!D$1,SMALL(Dong,ROWS($1:72)),))</f>
        <v/>
      </c>
      <c r="C85" s="9" t="str">
        <f ca="1">IF(ROWS($1:72)&gt;COUNT(Dong),"",OFFSET(TH!E$1,SMALL(Dong,ROWS($1:72)),))</f>
        <v/>
      </c>
      <c r="D85" s="226" t="str">
        <f ca="1">IF(ROWS($1:72)&gt;COUNT(Dong),"",OFFSET(TH!F$1,SMALL(Dong,ROWS($1:72)),))</f>
        <v/>
      </c>
      <c r="E85" s="46" t="str">
        <f ca="1">IF(ROWS($1:72)&gt;COUNT(Dong),"",IF(OFFSET(TH!L$1,SMALL(Dong,ROWS($1:72)),)="331",OFFSET(TH!M$1,SMALL(Dong,ROWS($1:72)),),OFFSET(TH!L$1,SMALL(Dong,ROWS($1:72)),)))</f>
        <v/>
      </c>
      <c r="F85" s="46"/>
      <c r="G85" s="58" t="str">
        <f ca="1">IF(ROWS($1:72)&gt;COUNT(Dong),"",IF(OFFSET(TH!L$1,SMALL(Dong,ROWS($1:72)),)="331",OFFSET(TH!K$1,SMALL(Dong,ROWS($1:72)),),0))</f>
        <v/>
      </c>
      <c r="H85" s="58" t="str">
        <f ca="1">IF(ROWS($1:72)&gt;COUNT(Dong),"",IF(OFFSET(TH!M$1,SMALL(Dong,ROWS($1:72)),)="331",OFFSET(TH!K$1,SMALL(Dong,ROWS($1:72)),),0))</f>
        <v/>
      </c>
      <c r="I85" s="25">
        <f t="shared" ca="1" si="8"/>
        <v>0</v>
      </c>
      <c r="J85" s="25">
        <f t="shared" ca="1" si="9"/>
        <v>0</v>
      </c>
    </row>
    <row r="86" spans="1:10" s="18" customFormat="1" ht="18" customHeight="1">
      <c r="A86" s="9" t="str">
        <f ca="1">IF(ROWS($1:73)&gt;COUNT(Dong),"",OFFSET(TH!C$1,SMALL(Dong,ROWS($1:73)),))</f>
        <v/>
      </c>
      <c r="B86" s="9" t="str">
        <f ca="1">IF(ROWS($1:73)&gt;COUNT(Dong),"",OFFSET(TH!D$1,SMALL(Dong,ROWS($1:73)),))</f>
        <v/>
      </c>
      <c r="C86" s="9" t="str">
        <f ca="1">IF(ROWS($1:73)&gt;COUNT(Dong),"",OFFSET(TH!E$1,SMALL(Dong,ROWS($1:73)),))</f>
        <v/>
      </c>
      <c r="D86" s="226" t="str">
        <f ca="1">IF(ROWS($1:73)&gt;COUNT(Dong),"",OFFSET(TH!F$1,SMALL(Dong,ROWS($1:73)),))</f>
        <v/>
      </c>
      <c r="E86" s="46" t="str">
        <f ca="1">IF(ROWS($1:73)&gt;COUNT(Dong),"",IF(OFFSET(TH!L$1,SMALL(Dong,ROWS($1:73)),)="331",OFFSET(TH!M$1,SMALL(Dong,ROWS($1:73)),),OFFSET(TH!L$1,SMALL(Dong,ROWS($1:73)),)))</f>
        <v/>
      </c>
      <c r="F86" s="46"/>
      <c r="G86" s="58" t="str">
        <f ca="1">IF(ROWS($1:73)&gt;COUNT(Dong),"",IF(OFFSET(TH!L$1,SMALL(Dong,ROWS($1:73)),)="331",OFFSET(TH!K$1,SMALL(Dong,ROWS($1:73)),),0))</f>
        <v/>
      </c>
      <c r="H86" s="58" t="str">
        <f ca="1">IF(ROWS($1:73)&gt;COUNT(Dong),"",IF(OFFSET(TH!M$1,SMALL(Dong,ROWS($1:73)),)="331",OFFSET(TH!K$1,SMALL(Dong,ROWS($1:73)),),0))</f>
        <v/>
      </c>
      <c r="I86" s="25">
        <f t="shared" ca="1" si="8"/>
        <v>0</v>
      </c>
      <c r="J86" s="25">
        <f t="shared" ca="1" si="9"/>
        <v>0</v>
      </c>
    </row>
    <row r="87" spans="1:10" s="18" customFormat="1" ht="18" customHeight="1">
      <c r="A87" s="9" t="str">
        <f ca="1">IF(ROWS($1:74)&gt;COUNT(Dong),"",OFFSET(TH!C$1,SMALL(Dong,ROWS($1:74)),))</f>
        <v/>
      </c>
      <c r="B87" s="9" t="str">
        <f ca="1">IF(ROWS($1:74)&gt;COUNT(Dong),"",OFFSET(TH!D$1,SMALL(Dong,ROWS($1:74)),))</f>
        <v/>
      </c>
      <c r="C87" s="9" t="str">
        <f ca="1">IF(ROWS($1:74)&gt;COUNT(Dong),"",OFFSET(TH!E$1,SMALL(Dong,ROWS($1:74)),))</f>
        <v/>
      </c>
      <c r="D87" s="226" t="str">
        <f ca="1">IF(ROWS($1:74)&gt;COUNT(Dong),"",OFFSET(TH!F$1,SMALL(Dong,ROWS($1:74)),))</f>
        <v/>
      </c>
      <c r="E87" s="46" t="str">
        <f ca="1">IF(ROWS($1:74)&gt;COUNT(Dong),"",IF(OFFSET(TH!L$1,SMALL(Dong,ROWS($1:74)),)="331",OFFSET(TH!M$1,SMALL(Dong,ROWS($1:74)),),OFFSET(TH!L$1,SMALL(Dong,ROWS($1:74)),)))</f>
        <v/>
      </c>
      <c r="F87" s="46"/>
      <c r="G87" s="58" t="str">
        <f ca="1">IF(ROWS($1:74)&gt;COUNT(Dong),"",IF(OFFSET(TH!L$1,SMALL(Dong,ROWS($1:74)),)="331",OFFSET(TH!K$1,SMALL(Dong,ROWS($1:74)),),0))</f>
        <v/>
      </c>
      <c r="H87" s="58" t="str">
        <f ca="1">IF(ROWS($1:74)&gt;COUNT(Dong),"",IF(OFFSET(TH!M$1,SMALL(Dong,ROWS($1:74)),)="331",OFFSET(TH!K$1,SMALL(Dong,ROWS($1:74)),),0))</f>
        <v/>
      </c>
      <c r="I87" s="25">
        <f t="shared" ca="1" si="8"/>
        <v>0</v>
      </c>
      <c r="J87" s="25">
        <f t="shared" ca="1" si="9"/>
        <v>0</v>
      </c>
    </row>
    <row r="88" spans="1:10" s="18" customFormat="1" ht="18" customHeight="1">
      <c r="A88" s="9" t="str">
        <f ca="1">IF(ROWS($1:75)&gt;COUNT(Dong),"",OFFSET(TH!C$1,SMALL(Dong,ROWS($1:75)),))</f>
        <v/>
      </c>
      <c r="B88" s="9" t="str">
        <f ca="1">IF(ROWS($1:75)&gt;COUNT(Dong),"",OFFSET(TH!D$1,SMALL(Dong,ROWS($1:75)),))</f>
        <v/>
      </c>
      <c r="C88" s="9" t="str">
        <f ca="1">IF(ROWS($1:75)&gt;COUNT(Dong),"",OFFSET(TH!E$1,SMALL(Dong,ROWS($1:75)),))</f>
        <v/>
      </c>
      <c r="D88" s="226" t="str">
        <f ca="1">IF(ROWS($1:75)&gt;COUNT(Dong),"",OFFSET(TH!F$1,SMALL(Dong,ROWS($1:75)),))</f>
        <v/>
      </c>
      <c r="E88" s="46" t="str">
        <f ca="1">IF(ROWS($1:75)&gt;COUNT(Dong),"",IF(OFFSET(TH!L$1,SMALL(Dong,ROWS($1:75)),)="331",OFFSET(TH!M$1,SMALL(Dong,ROWS($1:75)),),OFFSET(TH!L$1,SMALL(Dong,ROWS($1:75)),)))</f>
        <v/>
      </c>
      <c r="F88" s="46"/>
      <c r="G88" s="58" t="str">
        <f ca="1">IF(ROWS($1:75)&gt;COUNT(Dong),"",IF(OFFSET(TH!L$1,SMALL(Dong,ROWS($1:75)),)="331",OFFSET(TH!K$1,SMALL(Dong,ROWS($1:75)),),0))</f>
        <v/>
      </c>
      <c r="H88" s="58" t="str">
        <f ca="1">IF(ROWS($1:75)&gt;COUNT(Dong),"",IF(OFFSET(TH!M$1,SMALL(Dong,ROWS($1:75)),)="331",OFFSET(TH!K$1,SMALL(Dong,ROWS($1:75)),),0))</f>
        <v/>
      </c>
      <c r="I88" s="25">
        <f t="shared" ca="1" si="8"/>
        <v>0</v>
      </c>
      <c r="J88" s="25">
        <f t="shared" ca="1" si="9"/>
        <v>0</v>
      </c>
    </row>
    <row r="89" spans="1:10" s="18" customFormat="1" ht="18" customHeight="1">
      <c r="A89" s="9" t="str">
        <f ca="1">IF(ROWS($1:76)&gt;COUNT(Dong),"",OFFSET(TH!C$1,SMALL(Dong,ROWS($1:76)),))</f>
        <v/>
      </c>
      <c r="B89" s="9" t="str">
        <f ca="1">IF(ROWS($1:76)&gt;COUNT(Dong),"",OFFSET(TH!D$1,SMALL(Dong,ROWS($1:76)),))</f>
        <v/>
      </c>
      <c r="C89" s="9" t="str">
        <f ca="1">IF(ROWS($1:76)&gt;COUNT(Dong),"",OFFSET(TH!E$1,SMALL(Dong,ROWS($1:76)),))</f>
        <v/>
      </c>
      <c r="D89" s="226" t="str">
        <f ca="1">IF(ROWS($1:76)&gt;COUNT(Dong),"",OFFSET(TH!F$1,SMALL(Dong,ROWS($1:76)),))</f>
        <v/>
      </c>
      <c r="E89" s="46" t="str">
        <f ca="1">IF(ROWS($1:76)&gt;COUNT(Dong),"",IF(OFFSET(TH!L$1,SMALL(Dong,ROWS($1:76)),)="331",OFFSET(TH!M$1,SMALL(Dong,ROWS($1:76)),),OFFSET(TH!L$1,SMALL(Dong,ROWS($1:76)),)))</f>
        <v/>
      </c>
      <c r="F89" s="46"/>
      <c r="G89" s="58" t="str">
        <f ca="1">IF(ROWS($1:76)&gt;COUNT(Dong),"",IF(OFFSET(TH!L$1,SMALL(Dong,ROWS($1:76)),)="331",OFFSET(TH!K$1,SMALL(Dong,ROWS($1:76)),),0))</f>
        <v/>
      </c>
      <c r="H89" s="58" t="str">
        <f ca="1">IF(ROWS($1:76)&gt;COUNT(Dong),"",IF(OFFSET(TH!M$1,SMALL(Dong,ROWS($1:76)),)="331",OFFSET(TH!K$1,SMALL(Dong,ROWS($1:76)),),0))</f>
        <v/>
      </c>
      <c r="I89" s="25">
        <f t="shared" ca="1" si="8"/>
        <v>0</v>
      </c>
      <c r="J89" s="25">
        <f t="shared" ca="1" si="9"/>
        <v>0</v>
      </c>
    </row>
    <row r="90" spans="1:10" s="18" customFormat="1" ht="18" customHeight="1">
      <c r="A90" s="9" t="str">
        <f ca="1">IF(ROWS($1:77)&gt;COUNT(Dong),"",OFFSET(TH!C$1,SMALL(Dong,ROWS($1:77)),))</f>
        <v/>
      </c>
      <c r="B90" s="9" t="str">
        <f ca="1">IF(ROWS($1:77)&gt;COUNT(Dong),"",OFFSET(TH!D$1,SMALL(Dong,ROWS($1:77)),))</f>
        <v/>
      </c>
      <c r="C90" s="9" t="str">
        <f ca="1">IF(ROWS($1:77)&gt;COUNT(Dong),"",OFFSET(TH!E$1,SMALL(Dong,ROWS($1:77)),))</f>
        <v/>
      </c>
      <c r="D90" s="226" t="str">
        <f ca="1">IF(ROWS($1:77)&gt;COUNT(Dong),"",OFFSET(TH!F$1,SMALL(Dong,ROWS($1:77)),))</f>
        <v/>
      </c>
      <c r="E90" s="46" t="str">
        <f ca="1">IF(ROWS($1:77)&gt;COUNT(Dong),"",IF(OFFSET(TH!L$1,SMALL(Dong,ROWS($1:77)),)="331",OFFSET(TH!M$1,SMALL(Dong,ROWS($1:77)),),OFFSET(TH!L$1,SMALL(Dong,ROWS($1:77)),)))</f>
        <v/>
      </c>
      <c r="F90" s="46"/>
      <c r="G90" s="58" t="str">
        <f ca="1">IF(ROWS($1:77)&gt;COUNT(Dong),"",IF(OFFSET(TH!L$1,SMALL(Dong,ROWS($1:77)),)="331",OFFSET(TH!K$1,SMALL(Dong,ROWS($1:77)),),0))</f>
        <v/>
      </c>
      <c r="H90" s="58" t="str">
        <f ca="1">IF(ROWS($1:77)&gt;COUNT(Dong),"",IF(OFFSET(TH!M$1,SMALL(Dong,ROWS($1:77)),)="331",OFFSET(TH!K$1,SMALL(Dong,ROWS($1:77)),),0))</f>
        <v/>
      </c>
      <c r="I90" s="25">
        <f t="shared" ca="1" si="8"/>
        <v>0</v>
      </c>
      <c r="J90" s="25">
        <f t="shared" ca="1" si="9"/>
        <v>0</v>
      </c>
    </row>
    <row r="91" spans="1:10" s="18" customFormat="1" ht="18" customHeight="1">
      <c r="A91" s="9" t="str">
        <f ca="1">IF(ROWS($1:78)&gt;COUNT(Dong),"",OFFSET(TH!C$1,SMALL(Dong,ROWS($1:78)),))</f>
        <v/>
      </c>
      <c r="B91" s="9" t="str">
        <f ca="1">IF(ROWS($1:78)&gt;COUNT(Dong),"",OFFSET(TH!D$1,SMALL(Dong,ROWS($1:78)),))</f>
        <v/>
      </c>
      <c r="C91" s="9" t="str">
        <f ca="1">IF(ROWS($1:78)&gt;COUNT(Dong),"",OFFSET(TH!E$1,SMALL(Dong,ROWS($1:78)),))</f>
        <v/>
      </c>
      <c r="D91" s="226" t="str">
        <f ca="1">IF(ROWS($1:78)&gt;COUNT(Dong),"",OFFSET(TH!F$1,SMALL(Dong,ROWS($1:78)),))</f>
        <v/>
      </c>
      <c r="E91" s="46" t="str">
        <f ca="1">IF(ROWS($1:78)&gt;COUNT(Dong),"",IF(OFFSET(TH!L$1,SMALL(Dong,ROWS($1:78)),)="331",OFFSET(TH!M$1,SMALL(Dong,ROWS($1:78)),),OFFSET(TH!L$1,SMALL(Dong,ROWS($1:78)),)))</f>
        <v/>
      </c>
      <c r="F91" s="46"/>
      <c r="G91" s="58" t="str">
        <f ca="1">IF(ROWS($1:78)&gt;COUNT(Dong),"",IF(OFFSET(TH!L$1,SMALL(Dong,ROWS($1:78)),)="331",OFFSET(TH!K$1,SMALL(Dong,ROWS($1:78)),),0))</f>
        <v/>
      </c>
      <c r="H91" s="58" t="str">
        <f ca="1">IF(ROWS($1:78)&gt;COUNT(Dong),"",IF(OFFSET(TH!M$1,SMALL(Dong,ROWS($1:78)),)="331",OFFSET(TH!K$1,SMALL(Dong,ROWS($1:78)),),0))</f>
        <v/>
      </c>
      <c r="I91" s="25">
        <f t="shared" ca="1" si="8"/>
        <v>0</v>
      </c>
      <c r="J91" s="25">
        <f t="shared" ca="1" si="9"/>
        <v>0</v>
      </c>
    </row>
    <row r="92" spans="1:10" s="18" customFormat="1" ht="18" customHeight="1">
      <c r="A92" s="9" t="str">
        <f ca="1">IF(ROWS($1:79)&gt;COUNT(Dong),"",OFFSET(TH!C$1,SMALL(Dong,ROWS($1:79)),))</f>
        <v/>
      </c>
      <c r="B92" s="9" t="str">
        <f ca="1">IF(ROWS($1:79)&gt;COUNT(Dong),"",OFFSET(TH!D$1,SMALL(Dong,ROWS($1:79)),))</f>
        <v/>
      </c>
      <c r="C92" s="9" t="str">
        <f ca="1">IF(ROWS($1:79)&gt;COUNT(Dong),"",OFFSET(TH!E$1,SMALL(Dong,ROWS($1:79)),))</f>
        <v/>
      </c>
      <c r="D92" s="226" t="str">
        <f ca="1">IF(ROWS($1:79)&gt;COUNT(Dong),"",OFFSET(TH!F$1,SMALL(Dong,ROWS($1:79)),))</f>
        <v/>
      </c>
      <c r="E92" s="46" t="str">
        <f ca="1">IF(ROWS($1:79)&gt;COUNT(Dong),"",IF(OFFSET(TH!L$1,SMALL(Dong,ROWS($1:79)),)="331",OFFSET(TH!M$1,SMALL(Dong,ROWS($1:79)),),OFFSET(TH!L$1,SMALL(Dong,ROWS($1:79)),)))</f>
        <v/>
      </c>
      <c r="F92" s="46"/>
      <c r="G92" s="58" t="str">
        <f ca="1">IF(ROWS($1:79)&gt;COUNT(Dong),"",IF(OFFSET(TH!L$1,SMALL(Dong,ROWS($1:79)),)="331",OFFSET(TH!K$1,SMALL(Dong,ROWS($1:79)),),0))</f>
        <v/>
      </c>
      <c r="H92" s="58" t="str">
        <f ca="1">IF(ROWS($1:79)&gt;COUNT(Dong),"",IF(OFFSET(TH!M$1,SMALL(Dong,ROWS($1:79)),)="331",OFFSET(TH!K$1,SMALL(Dong,ROWS($1:79)),),0))</f>
        <v/>
      </c>
      <c r="I92" s="25">
        <f t="shared" ca="1" si="8"/>
        <v>0</v>
      </c>
      <c r="J92" s="25">
        <f t="shared" ca="1" si="9"/>
        <v>0</v>
      </c>
    </row>
    <row r="93" spans="1:10" s="18" customFormat="1" ht="18" customHeight="1">
      <c r="A93" s="9" t="str">
        <f ca="1">IF(ROWS($1:80)&gt;COUNT(Dong),"",OFFSET(TH!C$1,SMALL(Dong,ROWS($1:80)),))</f>
        <v/>
      </c>
      <c r="B93" s="9" t="str">
        <f ca="1">IF(ROWS($1:80)&gt;COUNT(Dong),"",OFFSET(TH!D$1,SMALL(Dong,ROWS($1:80)),))</f>
        <v/>
      </c>
      <c r="C93" s="9" t="str">
        <f ca="1">IF(ROWS($1:80)&gt;COUNT(Dong),"",OFFSET(TH!E$1,SMALL(Dong,ROWS($1:80)),))</f>
        <v/>
      </c>
      <c r="D93" s="226" t="str">
        <f ca="1">IF(ROWS($1:80)&gt;COUNT(Dong),"",OFFSET(TH!F$1,SMALL(Dong,ROWS($1:80)),))</f>
        <v/>
      </c>
      <c r="E93" s="46" t="str">
        <f ca="1">IF(ROWS($1:80)&gt;COUNT(Dong),"",IF(OFFSET(TH!L$1,SMALL(Dong,ROWS($1:80)),)="331",OFFSET(TH!M$1,SMALL(Dong,ROWS($1:80)),),OFFSET(TH!L$1,SMALL(Dong,ROWS($1:80)),)))</f>
        <v/>
      </c>
      <c r="F93" s="46"/>
      <c r="G93" s="58" t="str">
        <f ca="1">IF(ROWS($1:80)&gt;COUNT(Dong),"",IF(OFFSET(TH!L$1,SMALL(Dong,ROWS($1:80)),)="331",OFFSET(TH!K$1,SMALL(Dong,ROWS($1:80)),),0))</f>
        <v/>
      </c>
      <c r="H93" s="58" t="str">
        <f ca="1">IF(ROWS($1:80)&gt;COUNT(Dong),"",IF(OFFSET(TH!M$1,SMALL(Dong,ROWS($1:80)),)="331",OFFSET(TH!K$1,SMALL(Dong,ROWS($1:80)),),0))</f>
        <v/>
      </c>
      <c r="I93" s="25">
        <f t="shared" ca="1" si="8"/>
        <v>0</v>
      </c>
      <c r="J93" s="25">
        <f t="shared" ca="1" si="9"/>
        <v>0</v>
      </c>
    </row>
    <row r="94" spans="1:10" s="18" customFormat="1" ht="18" customHeight="1">
      <c r="A94" s="9" t="str">
        <f ca="1">IF(ROWS($1:81)&gt;COUNT(Dong),"",OFFSET(TH!C$1,SMALL(Dong,ROWS($1:81)),))</f>
        <v/>
      </c>
      <c r="B94" s="9" t="str">
        <f ca="1">IF(ROWS($1:81)&gt;COUNT(Dong),"",OFFSET(TH!D$1,SMALL(Dong,ROWS($1:81)),))</f>
        <v/>
      </c>
      <c r="C94" s="9" t="str">
        <f ca="1">IF(ROWS($1:81)&gt;COUNT(Dong),"",OFFSET(TH!E$1,SMALL(Dong,ROWS($1:81)),))</f>
        <v/>
      </c>
      <c r="D94" s="226" t="str">
        <f ca="1">IF(ROWS($1:81)&gt;COUNT(Dong),"",OFFSET(TH!F$1,SMALL(Dong,ROWS($1:81)),))</f>
        <v/>
      </c>
      <c r="E94" s="46" t="str">
        <f ca="1">IF(ROWS($1:81)&gt;COUNT(Dong),"",IF(OFFSET(TH!L$1,SMALL(Dong,ROWS($1:81)),)="331",OFFSET(TH!M$1,SMALL(Dong,ROWS($1:81)),),OFFSET(TH!L$1,SMALL(Dong,ROWS($1:81)),)))</f>
        <v/>
      </c>
      <c r="F94" s="46"/>
      <c r="G94" s="58" t="str">
        <f ca="1">IF(ROWS($1:81)&gt;COUNT(Dong),"",IF(OFFSET(TH!L$1,SMALL(Dong,ROWS($1:81)),)="331",OFFSET(TH!K$1,SMALL(Dong,ROWS($1:81)),),0))</f>
        <v/>
      </c>
      <c r="H94" s="58" t="str">
        <f ca="1">IF(ROWS($1:81)&gt;COUNT(Dong),"",IF(OFFSET(TH!M$1,SMALL(Dong,ROWS($1:81)),)="331",OFFSET(TH!K$1,SMALL(Dong,ROWS($1:81)),),0))</f>
        <v/>
      </c>
      <c r="I94" s="25">
        <f t="shared" ca="1" si="8"/>
        <v>0</v>
      </c>
      <c r="J94" s="25">
        <f t="shared" ca="1" si="9"/>
        <v>0</v>
      </c>
    </row>
    <row r="95" spans="1:10" s="18" customFormat="1" ht="18" customHeight="1">
      <c r="A95" s="9" t="str">
        <f ca="1">IF(ROWS($1:82)&gt;COUNT(Dong),"",OFFSET(TH!C$1,SMALL(Dong,ROWS($1:82)),))</f>
        <v/>
      </c>
      <c r="B95" s="9" t="str">
        <f ca="1">IF(ROWS($1:82)&gt;COUNT(Dong),"",OFFSET(TH!D$1,SMALL(Dong,ROWS($1:82)),))</f>
        <v/>
      </c>
      <c r="C95" s="9" t="str">
        <f ca="1">IF(ROWS($1:82)&gt;COUNT(Dong),"",OFFSET(TH!E$1,SMALL(Dong,ROWS($1:82)),))</f>
        <v/>
      </c>
      <c r="D95" s="226" t="str">
        <f ca="1">IF(ROWS($1:82)&gt;COUNT(Dong),"",OFFSET(TH!F$1,SMALL(Dong,ROWS($1:82)),))</f>
        <v/>
      </c>
      <c r="E95" s="46" t="str">
        <f ca="1">IF(ROWS($1:82)&gt;COUNT(Dong),"",IF(OFFSET(TH!L$1,SMALL(Dong,ROWS($1:82)),)="331",OFFSET(TH!M$1,SMALL(Dong,ROWS($1:82)),),OFFSET(TH!L$1,SMALL(Dong,ROWS($1:82)),)))</f>
        <v/>
      </c>
      <c r="F95" s="46"/>
      <c r="G95" s="58" t="str">
        <f ca="1">IF(ROWS($1:82)&gt;COUNT(Dong),"",IF(OFFSET(TH!L$1,SMALL(Dong,ROWS($1:82)),)="331",OFFSET(TH!K$1,SMALL(Dong,ROWS($1:82)),),0))</f>
        <v/>
      </c>
      <c r="H95" s="58" t="str">
        <f ca="1">IF(ROWS($1:82)&gt;COUNT(Dong),"",IF(OFFSET(TH!M$1,SMALL(Dong,ROWS($1:82)),)="331",OFFSET(TH!K$1,SMALL(Dong,ROWS($1:82)),),0))</f>
        <v/>
      </c>
      <c r="I95" s="25">
        <f t="shared" ca="1" si="8"/>
        <v>0</v>
      </c>
      <c r="J95" s="25">
        <f t="shared" ca="1" si="9"/>
        <v>0</v>
      </c>
    </row>
    <row r="96" spans="1:10" s="18" customFormat="1" ht="18" customHeight="1">
      <c r="A96" s="9" t="str">
        <f ca="1">IF(ROWS($1:83)&gt;COUNT(Dong),"",OFFSET(TH!C$1,SMALL(Dong,ROWS($1:83)),))</f>
        <v/>
      </c>
      <c r="B96" s="9" t="str">
        <f ca="1">IF(ROWS($1:83)&gt;COUNT(Dong),"",OFFSET(TH!D$1,SMALL(Dong,ROWS($1:83)),))</f>
        <v/>
      </c>
      <c r="C96" s="9" t="str">
        <f ca="1">IF(ROWS($1:83)&gt;COUNT(Dong),"",OFFSET(TH!E$1,SMALL(Dong,ROWS($1:83)),))</f>
        <v/>
      </c>
      <c r="D96" s="226" t="str">
        <f ca="1">IF(ROWS($1:83)&gt;COUNT(Dong),"",OFFSET(TH!F$1,SMALL(Dong,ROWS($1:83)),))</f>
        <v/>
      </c>
      <c r="E96" s="46" t="str">
        <f ca="1">IF(ROWS($1:83)&gt;COUNT(Dong),"",IF(OFFSET(TH!L$1,SMALL(Dong,ROWS($1:83)),)="331",OFFSET(TH!M$1,SMALL(Dong,ROWS($1:83)),),OFFSET(TH!L$1,SMALL(Dong,ROWS($1:83)),)))</f>
        <v/>
      </c>
      <c r="F96" s="46"/>
      <c r="G96" s="58" t="str">
        <f ca="1">IF(ROWS($1:83)&gt;COUNT(Dong),"",IF(OFFSET(TH!L$1,SMALL(Dong,ROWS($1:83)),)="331",OFFSET(TH!K$1,SMALL(Dong,ROWS($1:83)),),0))</f>
        <v/>
      </c>
      <c r="H96" s="58" t="str">
        <f ca="1">IF(ROWS($1:83)&gt;COUNT(Dong),"",IF(OFFSET(TH!M$1,SMALL(Dong,ROWS($1:83)),)="331",OFFSET(TH!K$1,SMALL(Dong,ROWS($1:83)),),0))</f>
        <v/>
      </c>
      <c r="I96" s="25">
        <f t="shared" ca="1" si="8"/>
        <v>0</v>
      </c>
      <c r="J96" s="25">
        <f t="shared" ca="1" si="9"/>
        <v>0</v>
      </c>
    </row>
    <row r="97" spans="1:11" s="18" customFormat="1" ht="18" customHeight="1">
      <c r="A97" s="9" t="str">
        <f ca="1">IF(ROWS($1:84)&gt;COUNT(Dong),"",OFFSET(TH!C$1,SMALL(Dong,ROWS($1:84)),))</f>
        <v/>
      </c>
      <c r="B97" s="9" t="str">
        <f ca="1">IF(ROWS($1:84)&gt;COUNT(Dong),"",OFFSET(TH!D$1,SMALL(Dong,ROWS($1:84)),))</f>
        <v/>
      </c>
      <c r="C97" s="9" t="str">
        <f ca="1">IF(ROWS($1:84)&gt;COUNT(Dong),"",OFFSET(TH!E$1,SMALL(Dong,ROWS($1:84)),))</f>
        <v/>
      </c>
      <c r="D97" s="226" t="str">
        <f ca="1">IF(ROWS($1:84)&gt;COUNT(Dong),"",OFFSET(TH!F$1,SMALL(Dong,ROWS($1:84)),))</f>
        <v/>
      </c>
      <c r="E97" s="46" t="str">
        <f ca="1">IF(ROWS($1:84)&gt;COUNT(Dong),"",IF(OFFSET(TH!L$1,SMALL(Dong,ROWS($1:84)),)="331",OFFSET(TH!M$1,SMALL(Dong,ROWS($1:84)),),OFFSET(TH!L$1,SMALL(Dong,ROWS($1:84)),)))</f>
        <v/>
      </c>
      <c r="F97" s="46"/>
      <c r="G97" s="58" t="str">
        <f ca="1">IF(ROWS($1:84)&gt;COUNT(Dong),"",IF(OFFSET(TH!L$1,SMALL(Dong,ROWS($1:84)),)="331",OFFSET(TH!K$1,SMALL(Dong,ROWS($1:84)),),0))</f>
        <v/>
      </c>
      <c r="H97" s="58" t="str">
        <f ca="1">IF(ROWS($1:84)&gt;COUNT(Dong),"",IF(OFFSET(TH!M$1,SMALL(Dong,ROWS($1:84)),)="331",OFFSET(TH!K$1,SMALL(Dong,ROWS($1:84)),),0))</f>
        <v/>
      </c>
      <c r="I97" s="25">
        <f t="shared" ca="1" si="8"/>
        <v>0</v>
      </c>
      <c r="J97" s="25">
        <f t="shared" ca="1" si="9"/>
        <v>0</v>
      </c>
    </row>
    <row r="98" spans="1:11" s="18" customFormat="1" ht="18" customHeight="1">
      <c r="A98" s="9" t="str">
        <f ca="1">IF(ROWS($1:85)&gt;COUNT(Dong),"",OFFSET(TH!C$1,SMALL(Dong,ROWS($1:85)),))</f>
        <v/>
      </c>
      <c r="B98" s="9" t="str">
        <f ca="1">IF(ROWS($1:85)&gt;COUNT(Dong),"",OFFSET(TH!D$1,SMALL(Dong,ROWS($1:85)),))</f>
        <v/>
      </c>
      <c r="C98" s="9" t="str">
        <f ca="1">IF(ROWS($1:85)&gt;COUNT(Dong),"",OFFSET(TH!E$1,SMALL(Dong,ROWS($1:85)),))</f>
        <v/>
      </c>
      <c r="D98" s="226" t="str">
        <f ca="1">IF(ROWS($1:85)&gt;COUNT(Dong),"",OFFSET(TH!F$1,SMALL(Dong,ROWS($1:85)),))</f>
        <v/>
      </c>
      <c r="E98" s="46" t="str">
        <f ca="1">IF(ROWS($1:85)&gt;COUNT(Dong),"",IF(OFFSET(TH!L$1,SMALL(Dong,ROWS($1:85)),)="331",OFFSET(TH!M$1,SMALL(Dong,ROWS($1:85)),),OFFSET(TH!L$1,SMALL(Dong,ROWS($1:85)),)))</f>
        <v/>
      </c>
      <c r="F98" s="46"/>
      <c r="G98" s="58" t="str">
        <f ca="1">IF(ROWS($1:85)&gt;COUNT(Dong),"",IF(OFFSET(TH!L$1,SMALL(Dong,ROWS($1:85)),)="331",OFFSET(TH!K$1,SMALL(Dong,ROWS($1:85)),),0))</f>
        <v/>
      </c>
      <c r="H98" s="58" t="str">
        <f ca="1">IF(ROWS($1:85)&gt;COUNT(Dong),"",IF(OFFSET(TH!M$1,SMALL(Dong,ROWS($1:85)),)="331",OFFSET(TH!K$1,SMALL(Dong,ROWS($1:85)),),0))</f>
        <v/>
      </c>
      <c r="I98" s="25">
        <f t="shared" ca="1" si="8"/>
        <v>0</v>
      </c>
      <c r="J98" s="25">
        <f t="shared" ca="1" si="9"/>
        <v>0</v>
      </c>
    </row>
    <row r="99" spans="1:11" s="18" customFormat="1" ht="18" customHeight="1">
      <c r="A99" s="9" t="str">
        <f ca="1">IF(ROWS($1:86)&gt;COUNT(Dong),"",OFFSET(TH!C$1,SMALL(Dong,ROWS($1:86)),))</f>
        <v/>
      </c>
      <c r="B99" s="9" t="str">
        <f ca="1">IF(ROWS($1:86)&gt;COUNT(Dong),"",OFFSET(TH!D$1,SMALL(Dong,ROWS($1:86)),))</f>
        <v/>
      </c>
      <c r="C99" s="9" t="str">
        <f ca="1">IF(ROWS($1:86)&gt;COUNT(Dong),"",OFFSET(TH!E$1,SMALL(Dong,ROWS($1:86)),))</f>
        <v/>
      </c>
      <c r="D99" s="226" t="str">
        <f ca="1">IF(ROWS($1:86)&gt;COUNT(Dong),"",OFFSET(TH!F$1,SMALL(Dong,ROWS($1:86)),))</f>
        <v/>
      </c>
      <c r="E99" s="46" t="str">
        <f ca="1">IF(ROWS($1:86)&gt;COUNT(Dong),"",IF(OFFSET(TH!L$1,SMALL(Dong,ROWS($1:86)),)="331",OFFSET(TH!M$1,SMALL(Dong,ROWS($1:86)),),OFFSET(TH!L$1,SMALL(Dong,ROWS($1:86)),)))</f>
        <v/>
      </c>
      <c r="F99" s="46"/>
      <c r="G99" s="58" t="str">
        <f ca="1">IF(ROWS($1:86)&gt;COUNT(Dong),"",IF(OFFSET(TH!L$1,SMALL(Dong,ROWS($1:86)),)="331",OFFSET(TH!K$1,SMALL(Dong,ROWS($1:86)),),0))</f>
        <v/>
      </c>
      <c r="H99" s="58" t="str">
        <f ca="1">IF(ROWS($1:86)&gt;COUNT(Dong),"",IF(OFFSET(TH!M$1,SMALL(Dong,ROWS($1:86)),)="331",OFFSET(TH!K$1,SMALL(Dong,ROWS($1:86)),),0))</f>
        <v/>
      </c>
      <c r="I99" s="25">
        <f t="shared" ca="1" si="8"/>
        <v>0</v>
      </c>
      <c r="J99" s="25">
        <f t="shared" ca="1" si="9"/>
        <v>0</v>
      </c>
    </row>
    <row r="100" spans="1:11" s="18" customFormat="1" ht="18" customHeight="1">
      <c r="A100" s="9" t="str">
        <f ca="1">IF(ROWS($1:87)&gt;COUNT(Dong),"",OFFSET(TH!C$1,SMALL(Dong,ROWS($1:87)),))</f>
        <v/>
      </c>
      <c r="B100" s="9" t="str">
        <f ca="1">IF(ROWS($1:87)&gt;COUNT(Dong),"",OFFSET(TH!D$1,SMALL(Dong,ROWS($1:87)),))</f>
        <v/>
      </c>
      <c r="C100" s="9" t="str">
        <f ca="1">IF(ROWS($1:87)&gt;COUNT(Dong),"",OFFSET(TH!E$1,SMALL(Dong,ROWS($1:87)),))</f>
        <v/>
      </c>
      <c r="D100" s="226" t="str">
        <f ca="1">IF(ROWS($1:87)&gt;COUNT(Dong),"",OFFSET(TH!F$1,SMALL(Dong,ROWS($1:87)),))</f>
        <v/>
      </c>
      <c r="E100" s="46" t="str">
        <f ca="1">IF(ROWS($1:87)&gt;COUNT(Dong),"",IF(OFFSET(TH!L$1,SMALL(Dong,ROWS($1:87)),)="331",OFFSET(TH!M$1,SMALL(Dong,ROWS($1:87)),),OFFSET(TH!L$1,SMALL(Dong,ROWS($1:87)),)))</f>
        <v/>
      </c>
      <c r="F100" s="46"/>
      <c r="G100" s="58" t="str">
        <f ca="1">IF(ROWS($1:87)&gt;COUNT(Dong),"",IF(OFFSET(TH!L$1,SMALL(Dong,ROWS($1:87)),)="331",OFFSET(TH!K$1,SMALL(Dong,ROWS($1:87)),),0))</f>
        <v/>
      </c>
      <c r="H100" s="58" t="str">
        <f ca="1">IF(ROWS($1:87)&gt;COUNT(Dong),"",IF(OFFSET(TH!M$1,SMALL(Dong,ROWS($1:87)),)="331",OFFSET(TH!K$1,SMALL(Dong,ROWS($1:87)),),0))</f>
        <v/>
      </c>
      <c r="I100" s="25">
        <f t="shared" ca="1" si="8"/>
        <v>0</v>
      </c>
      <c r="J100" s="25">
        <f t="shared" ca="1" si="9"/>
        <v>0</v>
      </c>
    </row>
    <row r="101" spans="1:11" s="18" customFormat="1" ht="18" customHeight="1">
      <c r="A101" s="9"/>
      <c r="B101" s="9"/>
      <c r="C101" s="9"/>
      <c r="D101" s="226"/>
      <c r="E101" s="46"/>
      <c r="F101" s="46"/>
      <c r="G101" s="58"/>
      <c r="H101" s="58"/>
      <c r="I101" s="25"/>
      <c r="J101" s="25"/>
    </row>
    <row r="102" spans="1:11" s="18" customFormat="1" ht="18" customHeight="1">
      <c r="A102" s="24"/>
      <c r="B102" s="21"/>
      <c r="C102" s="26"/>
      <c r="D102" s="23" t="s">
        <v>33</v>
      </c>
      <c r="E102" s="21" t="s">
        <v>19</v>
      </c>
      <c r="F102" s="21" t="s">
        <v>19</v>
      </c>
      <c r="G102" s="27">
        <f ca="1">SUM(G14:G101)</f>
        <v>94643308</v>
      </c>
      <c r="H102" s="27">
        <f ca="1">SUM(H14:H101)</f>
        <v>0</v>
      </c>
      <c r="I102" s="27" t="s">
        <v>19</v>
      </c>
      <c r="J102" s="27" t="s">
        <v>19</v>
      </c>
    </row>
    <row r="103" spans="1:11" s="18" customFormat="1" ht="18" customHeight="1">
      <c r="A103" s="24"/>
      <c r="B103" s="21"/>
      <c r="C103" s="21"/>
      <c r="D103" s="23" t="s">
        <v>10</v>
      </c>
      <c r="E103" s="21" t="s">
        <v>19</v>
      </c>
      <c r="F103" s="21" t="s">
        <v>19</v>
      </c>
      <c r="G103" s="27" t="s">
        <v>19</v>
      </c>
      <c r="H103" s="27" t="s">
        <v>19</v>
      </c>
      <c r="I103" s="27">
        <f ca="1">MAX(I13+G102-H102-J13,0)</f>
        <v>0</v>
      </c>
      <c r="J103" s="27">
        <f ca="1">MAX(J13+H102-G102-I13,0)</f>
        <v>0</v>
      </c>
    </row>
    <row r="104" spans="1:11" s="18" customFormat="1" ht="6" customHeight="1">
      <c r="B104" s="19"/>
      <c r="C104" s="19"/>
      <c r="E104" s="19"/>
    </row>
    <row r="105" spans="1:11" s="18" customFormat="1" ht="14.25" customHeight="1">
      <c r="A105" s="28" t="s">
        <v>152</v>
      </c>
      <c r="B105" s="19"/>
      <c r="C105" s="19"/>
      <c r="E105" s="19"/>
      <c r="K105" s="28" t="s">
        <v>152</v>
      </c>
    </row>
    <row r="106" spans="1:11" s="18" customFormat="1" ht="14.25" customHeight="1">
      <c r="A106" s="28" t="str">
        <f ca="1">"- Ngày mở sổ: "&amp;DAY($A$14)&amp;"/"&amp;MONTH($A$14)&amp;"/ " &amp;YEAR($A$14)</f>
        <v>- Ngày mở sổ: 3/1/ 2013</v>
      </c>
      <c r="B106" s="19"/>
      <c r="C106" s="19"/>
      <c r="E106" s="19"/>
      <c r="K106" s="28" t="s">
        <v>34</v>
      </c>
    </row>
    <row r="107" spans="1:11" s="18" customFormat="1" ht="14.25" customHeight="1">
      <c r="B107" s="19"/>
      <c r="C107" s="19"/>
      <c r="E107" s="971" t="str">
        <f ca="1">"Ngày 31 tháng  12  năm  "&amp;YEAR($A$14)</f>
        <v>Ngày 31 tháng  12  năm  2013</v>
      </c>
      <c r="F107" s="971"/>
      <c r="G107" s="971"/>
      <c r="H107" s="971"/>
      <c r="I107" s="971"/>
      <c r="J107" s="971"/>
    </row>
    <row r="108" spans="1:11" s="18" customFormat="1" ht="14.25" customHeight="1">
      <c r="C108" s="214" t="s">
        <v>11</v>
      </c>
      <c r="E108" s="971" t="s">
        <v>12</v>
      </c>
      <c r="F108" s="971"/>
      <c r="G108" s="971"/>
      <c r="H108" s="971"/>
      <c r="I108" s="971"/>
      <c r="J108" s="971"/>
    </row>
    <row r="109" spans="1:11" s="18" customFormat="1" ht="14.25" customHeight="1">
      <c r="C109" s="214" t="s">
        <v>13</v>
      </c>
      <c r="E109" s="971" t="s">
        <v>13</v>
      </c>
      <c r="F109" s="971"/>
      <c r="G109" s="971"/>
      <c r="H109" s="971"/>
      <c r="I109" s="971"/>
      <c r="J109" s="971"/>
    </row>
    <row r="110" spans="1:11" s="29" customFormat="1"/>
    <row r="116" spans="3:3" ht="15">
      <c r="C116" s="225" t="s">
        <v>151</v>
      </c>
    </row>
  </sheetData>
  <autoFilter ref="A12:J21"/>
  <mergeCells count="15">
    <mergeCell ref="E108:J108"/>
    <mergeCell ref="E109:J109"/>
    <mergeCell ref="A10:A11"/>
    <mergeCell ref="H1:J1"/>
    <mergeCell ref="H2:J3"/>
    <mergeCell ref="E7:H7"/>
    <mergeCell ref="E107:J107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72" t="str">
        <f>TH!$A$1</f>
        <v>Đơn vị: CÔNG TY TNHH SX TM KIM DUNG PHÁT</v>
      </c>
      <c r="C2" s="265"/>
      <c r="F2" s="266"/>
      <c r="G2" s="266"/>
      <c r="H2" s="266"/>
      <c r="I2" s="266"/>
      <c r="J2" s="1022" t="s">
        <v>179</v>
      </c>
      <c r="K2" s="1022"/>
      <c r="L2" s="1022"/>
      <c r="M2" s="1022"/>
      <c r="N2" s="266"/>
    </row>
    <row r="3" spans="1:14">
      <c r="A3" s="873" t="str">
        <f>TH!$A$2</f>
        <v>Địa chỉ: 1A227/1 Ấp 1, Phạm Văn Hai, Bình Chánh, TPHCM</v>
      </c>
      <c r="C3" s="265"/>
      <c r="F3" s="267"/>
      <c r="G3" s="267"/>
      <c r="H3" s="267"/>
      <c r="I3" s="267"/>
      <c r="J3" s="1021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1"/>
      <c r="L3" s="1021"/>
      <c r="M3" s="1021"/>
      <c r="N3" s="267"/>
    </row>
    <row r="4" spans="1:14">
      <c r="F4" s="267"/>
      <c r="G4" s="267"/>
      <c r="H4" s="267"/>
      <c r="I4" s="267"/>
      <c r="J4" s="1021"/>
      <c r="K4" s="1021"/>
      <c r="L4" s="1021"/>
      <c r="M4" s="1021"/>
      <c r="N4" s="267"/>
    </row>
    <row r="5" spans="1:14" s="268" customFormat="1" ht="23.25" customHeight="1">
      <c r="A5" s="1031" t="s">
        <v>180</v>
      </c>
      <c r="B5" s="1031"/>
      <c r="C5" s="1031"/>
      <c r="D5" s="1031"/>
      <c r="E5" s="1031"/>
      <c r="F5" s="1031"/>
      <c r="G5" s="1031"/>
      <c r="H5" s="1031"/>
      <c r="I5" s="1031"/>
      <c r="J5" s="1031"/>
      <c r="K5" s="1031"/>
      <c r="L5" s="1031"/>
      <c r="M5" s="1031"/>
      <c r="N5" s="1031"/>
    </row>
    <row r="6" spans="1:14">
      <c r="A6" s="1022" t="s">
        <v>493</v>
      </c>
      <c r="B6" s="1022" t="s">
        <v>181</v>
      </c>
      <c r="C6" s="1022"/>
      <c r="D6" s="1022"/>
      <c r="E6" s="1022"/>
      <c r="F6" s="1022"/>
      <c r="G6" s="1022"/>
      <c r="H6" s="1022"/>
      <c r="I6" s="1022"/>
      <c r="J6" s="1022"/>
      <c r="K6" s="1022"/>
      <c r="L6" s="1022"/>
      <c r="M6" s="1022"/>
      <c r="N6" s="1022"/>
    </row>
    <row r="7" spans="1:14">
      <c r="C7" s="1032"/>
      <c r="D7" s="1032"/>
      <c r="E7" s="1032"/>
      <c r="F7" s="1032"/>
      <c r="G7" s="1032"/>
      <c r="H7" s="1032"/>
      <c r="I7" s="1032"/>
      <c r="J7" s="1032"/>
      <c r="K7" s="1032"/>
      <c r="L7" s="1032"/>
      <c r="M7" s="1032"/>
      <c r="N7" s="1032"/>
    </row>
    <row r="8" spans="1:14" ht="15.75" customHeight="1">
      <c r="A8" s="1025" t="s">
        <v>20</v>
      </c>
      <c r="B8" s="1033" t="s">
        <v>1</v>
      </c>
      <c r="C8" s="1034"/>
      <c r="D8" s="1025" t="s">
        <v>0</v>
      </c>
      <c r="E8" s="1025" t="s">
        <v>14</v>
      </c>
      <c r="F8" s="1024" t="s">
        <v>21</v>
      </c>
      <c r="G8" s="1024"/>
      <c r="H8" s="1024"/>
      <c r="I8" s="1024"/>
      <c r="J8" s="1024"/>
      <c r="K8" s="1024"/>
      <c r="L8" s="1024" t="s">
        <v>31</v>
      </c>
      <c r="M8" s="1024"/>
      <c r="N8" s="1024"/>
    </row>
    <row r="9" spans="1:14" ht="15.75" customHeight="1">
      <c r="A9" s="1025"/>
      <c r="B9" s="1035"/>
      <c r="C9" s="1036"/>
      <c r="D9" s="1025"/>
      <c r="E9" s="1025"/>
      <c r="F9" s="1024" t="s">
        <v>182</v>
      </c>
      <c r="G9" s="1024"/>
      <c r="H9" s="1024"/>
      <c r="I9" s="1024" t="s">
        <v>183</v>
      </c>
      <c r="J9" s="1024"/>
      <c r="K9" s="1024"/>
      <c r="L9" s="1025" t="s">
        <v>184</v>
      </c>
      <c r="M9" s="1025" t="s">
        <v>185</v>
      </c>
      <c r="N9" s="1025" t="s">
        <v>186</v>
      </c>
    </row>
    <row r="10" spans="1:14" ht="15.75" customHeight="1">
      <c r="A10" s="1025"/>
      <c r="B10" s="1027" t="s">
        <v>15</v>
      </c>
      <c r="C10" s="1027" t="s">
        <v>32</v>
      </c>
      <c r="D10" s="1025"/>
      <c r="E10" s="1025"/>
      <c r="F10" s="1029" t="s">
        <v>184</v>
      </c>
      <c r="G10" s="1029" t="s">
        <v>185</v>
      </c>
      <c r="H10" s="1029" t="s">
        <v>186</v>
      </c>
      <c r="I10" s="1029" t="s">
        <v>184</v>
      </c>
      <c r="J10" s="1029" t="s">
        <v>185</v>
      </c>
      <c r="K10" s="1029" t="s">
        <v>186</v>
      </c>
      <c r="L10" s="1026"/>
      <c r="M10" s="1026"/>
      <c r="N10" s="1026"/>
    </row>
    <row r="11" spans="1:14">
      <c r="A11" s="1025"/>
      <c r="B11" s="1028"/>
      <c r="C11" s="1028"/>
      <c r="D11" s="1025"/>
      <c r="E11" s="1025"/>
      <c r="F11" s="1030"/>
      <c r="G11" s="1030"/>
      <c r="H11" s="1030"/>
      <c r="I11" s="1030"/>
      <c r="J11" s="1030"/>
      <c r="K11" s="1030"/>
      <c r="L11" s="1026"/>
      <c r="M11" s="1026"/>
      <c r="N11" s="1026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77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CDPS!$D$39</f>
        <v>1900000000</v>
      </c>
      <c r="M13" s="271"/>
      <c r="N13" s="271"/>
    </row>
    <row r="14" spans="1:14">
      <c r="A14" s="876">
        <v>40634</v>
      </c>
      <c r="B14" s="740" t="s">
        <v>376</v>
      </c>
      <c r="C14" s="876">
        <v>40634</v>
      </c>
      <c r="D14" s="274" t="s">
        <v>467</v>
      </c>
      <c r="E14" s="740" t="s">
        <v>47</v>
      </c>
      <c r="F14" s="274"/>
      <c r="G14" s="274"/>
      <c r="H14" s="274"/>
      <c r="I14" s="350">
        <v>1700000000</v>
      </c>
      <c r="J14" s="274"/>
      <c r="K14" s="274"/>
      <c r="L14" s="743">
        <f>L13+I14-G14</f>
        <v>3600000000</v>
      </c>
      <c r="M14" s="274"/>
      <c r="N14" s="274"/>
    </row>
    <row r="15" spans="1:14">
      <c r="A15" s="876">
        <v>40634</v>
      </c>
      <c r="B15" s="740" t="s">
        <v>377</v>
      </c>
      <c r="C15" s="876">
        <v>40634</v>
      </c>
      <c r="D15" s="275" t="s">
        <v>468</v>
      </c>
      <c r="E15" s="741" t="s">
        <v>47</v>
      </c>
      <c r="F15" s="275"/>
      <c r="G15" s="275"/>
      <c r="H15" s="275"/>
      <c r="I15" s="365">
        <v>100000000</v>
      </c>
      <c r="J15" s="275"/>
      <c r="K15" s="275"/>
      <c r="L15" s="743">
        <f t="shared" ref="L15:L16" si="0">L14+I15-G15</f>
        <v>3700000000</v>
      </c>
      <c r="M15" s="275"/>
      <c r="N15" s="275"/>
    </row>
    <row r="16" spans="1:14">
      <c r="A16" s="876">
        <v>40634</v>
      </c>
      <c r="B16" s="740" t="s">
        <v>396</v>
      </c>
      <c r="C16" s="876">
        <v>40634</v>
      </c>
      <c r="D16" s="275" t="s">
        <v>469</v>
      </c>
      <c r="E16" s="741" t="s">
        <v>47</v>
      </c>
      <c r="F16" s="275"/>
      <c r="G16" s="275"/>
      <c r="H16" s="275"/>
      <c r="I16" s="365">
        <v>100000000</v>
      </c>
      <c r="J16" s="275"/>
      <c r="K16" s="275"/>
      <c r="L16" s="743">
        <f t="shared" si="0"/>
        <v>3800000000</v>
      </c>
      <c r="M16" s="275"/>
      <c r="N16" s="275"/>
    </row>
    <row r="17" spans="1:14">
      <c r="A17" s="740"/>
      <c r="B17" s="274"/>
      <c r="C17" s="740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40"/>
      <c r="B18" s="274"/>
      <c r="C18" s="740"/>
      <c r="D18" s="276" t="s">
        <v>133</v>
      </c>
      <c r="E18" s="493" t="s">
        <v>19</v>
      </c>
      <c r="F18" s="277"/>
      <c r="G18" s="277"/>
      <c r="H18" s="277"/>
      <c r="I18" s="742">
        <f>SUM(I13:I17)</f>
        <v>1900000000</v>
      </c>
      <c r="J18" s="277"/>
      <c r="K18" s="277"/>
      <c r="L18" s="744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4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187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23" t="str">
        <f>"Ngày 31 tháng  12  năm  "&amp;YEAR($A$14)</f>
        <v>Ngày 31 tháng  12  năm  2011</v>
      </c>
      <c r="F23" s="1023"/>
      <c r="G23" s="1023"/>
      <c r="H23" s="1023"/>
      <c r="I23" s="1023"/>
      <c r="J23" s="1023"/>
      <c r="K23" s="1023"/>
      <c r="L23" s="1023"/>
      <c r="M23" s="1023"/>
      <c r="N23" s="1023"/>
    </row>
    <row r="24" spans="1:14">
      <c r="A24" s="1023" t="s">
        <v>11</v>
      </c>
      <c r="B24" s="1023"/>
      <c r="C24" s="1023"/>
      <c r="D24" s="1023"/>
      <c r="E24" s="1023" t="s">
        <v>12</v>
      </c>
      <c r="F24" s="1023"/>
      <c r="G24" s="1023"/>
      <c r="H24" s="1023"/>
      <c r="I24" s="1023"/>
      <c r="J24" s="1023"/>
      <c r="K24" s="1023"/>
      <c r="L24" s="1023"/>
      <c r="M24" s="1023"/>
      <c r="N24" s="1023"/>
    </row>
    <row r="25" spans="1:14">
      <c r="A25" s="1023" t="s">
        <v>13</v>
      </c>
      <c r="B25" s="1023"/>
      <c r="C25" s="1023"/>
      <c r="D25" s="1023"/>
      <c r="E25" s="1023" t="s">
        <v>13</v>
      </c>
      <c r="F25" s="1023"/>
      <c r="G25" s="1023"/>
      <c r="H25" s="1023"/>
      <c r="I25" s="1023"/>
      <c r="J25" s="1023"/>
      <c r="K25" s="1023"/>
      <c r="L25" s="1023"/>
      <c r="M25" s="1023"/>
      <c r="N25" s="1023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8"/>
  </sheetPr>
  <dimension ref="A1:N413"/>
  <sheetViews>
    <sheetView topLeftCell="A8" workbookViewId="0">
      <pane ySplit="4" topLeftCell="A150" activePane="bottomLeft" state="frozen"/>
      <selection activeCell="A8" sqref="A8"/>
      <selection pane="bottomLeft" activeCell="K107" sqref="K107:L211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8.42578125" style="309" customWidth="1"/>
    <col min="6" max="6" width="12.7109375" style="309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9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72" t="str">
        <f>TH!$A$1</f>
        <v>Đơn vị: CÔNG TY TNHH SX TM KIM DUNG PHÁT</v>
      </c>
      <c r="C1" s="283"/>
      <c r="D1" s="283"/>
      <c r="E1" s="283"/>
      <c r="F1" s="284"/>
      <c r="G1" s="284"/>
      <c r="H1" s="1015" t="s">
        <v>188</v>
      </c>
      <c r="I1" s="1015"/>
      <c r="J1" s="1015"/>
      <c r="K1" s="1015"/>
      <c r="L1" s="1015"/>
      <c r="M1" s="745"/>
      <c r="N1" s="746"/>
    </row>
    <row r="2" spans="1:14" s="263" customFormat="1" ht="14.25" customHeight="1">
      <c r="B2" s="873" t="str">
        <f>TH!$A$2</f>
        <v>Địa chỉ: 1A227/1 Ấp 1, Phạm Văn Hai, Bình Chánh, TPHCM</v>
      </c>
      <c r="C2" s="285"/>
      <c r="D2" s="285"/>
      <c r="E2" s="285"/>
      <c r="F2" s="285"/>
      <c r="G2" s="285"/>
      <c r="H2" s="1016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16"/>
      <c r="J2" s="1016"/>
      <c r="K2" s="1016"/>
      <c r="L2" s="1016"/>
      <c r="M2" s="751"/>
      <c r="N2" s="746"/>
    </row>
    <row r="3" spans="1:14" s="263" customFormat="1" ht="14.25" customHeight="1">
      <c r="B3" s="285"/>
      <c r="C3" s="285"/>
      <c r="D3" s="285"/>
      <c r="E3" s="285"/>
      <c r="F3" s="285"/>
      <c r="G3" s="285"/>
      <c r="H3" s="1016"/>
      <c r="I3" s="1016"/>
      <c r="J3" s="1016"/>
      <c r="K3" s="1016"/>
      <c r="L3" s="1016"/>
      <c r="M3" s="752"/>
      <c r="N3" s="746"/>
    </row>
    <row r="4" spans="1:14" s="286" customFormat="1" ht="27.75" customHeight="1">
      <c r="B4" s="1038" t="s">
        <v>189</v>
      </c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N4" s="747"/>
    </row>
    <row r="5" spans="1:14" s="286" customFormat="1" ht="15" customHeight="1">
      <c r="B5" s="1037" t="s">
        <v>190</v>
      </c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N5" s="747"/>
    </row>
    <row r="6" spans="1:14" s="286" customFormat="1" ht="12.75" hidden="1" customHeight="1">
      <c r="B6" s="1037" t="s">
        <v>191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N6" s="747"/>
    </row>
    <row r="7" spans="1:14" s="287" customFormat="1" ht="24" hidden="1" customHeight="1">
      <c r="C7" s="1045" t="s">
        <v>192</v>
      </c>
      <c r="D7" s="1045"/>
      <c r="E7" s="1045"/>
      <c r="F7" s="1045"/>
      <c r="G7" s="1045"/>
      <c r="H7" s="1045"/>
      <c r="I7" s="1045"/>
      <c r="J7" s="1045"/>
      <c r="K7" s="1045"/>
      <c r="L7" s="1045"/>
      <c r="N7" s="748"/>
    </row>
    <row r="8" spans="1:14" ht="20.25" customHeight="1">
      <c r="B8" s="1039" t="s">
        <v>35</v>
      </c>
      <c r="C8" s="1040" t="s">
        <v>193</v>
      </c>
      <c r="D8" s="1041" t="s">
        <v>194</v>
      </c>
      <c r="E8" s="1043" t="s">
        <v>139</v>
      </c>
      <c r="F8" s="1043"/>
      <c r="G8" s="1043"/>
      <c r="H8" s="1043"/>
      <c r="I8" s="1043"/>
      <c r="J8" s="1043"/>
      <c r="K8" s="1043"/>
      <c r="L8" s="1043"/>
    </row>
    <row r="9" spans="1:14" ht="20.25" customHeight="1">
      <c r="B9" s="1039"/>
      <c r="C9" s="1040"/>
      <c r="D9" s="1042"/>
      <c r="E9" s="1043" t="s">
        <v>195</v>
      </c>
      <c r="F9" s="1043"/>
      <c r="G9" s="1044" t="s">
        <v>196</v>
      </c>
      <c r="H9" s="1044"/>
      <c r="I9" s="1044" t="s">
        <v>197</v>
      </c>
      <c r="J9" s="1044"/>
      <c r="K9" s="1044" t="s">
        <v>198</v>
      </c>
      <c r="L9" s="1044"/>
    </row>
    <row r="10" spans="1:14" ht="20.25" hidden="1" customHeight="1">
      <c r="B10" s="1039"/>
      <c r="C10" s="1040"/>
      <c r="D10" s="289"/>
      <c r="E10" s="290" t="s">
        <v>199</v>
      </c>
      <c r="F10" s="290" t="s">
        <v>200</v>
      </c>
      <c r="G10" s="290" t="s">
        <v>199</v>
      </c>
      <c r="H10" s="290" t="s">
        <v>200</v>
      </c>
      <c r="I10" s="290" t="s">
        <v>199</v>
      </c>
      <c r="J10" s="290" t="s">
        <v>200</v>
      </c>
      <c r="K10" s="290" t="s">
        <v>199</v>
      </c>
      <c r="L10" s="290" t="s">
        <v>200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49"/>
    </row>
    <row r="12" spans="1:14" ht="18" hidden="1" customHeight="1">
      <c r="A12" s="293" t="str">
        <f>IF(B12&lt;&gt;"","VL","")</f>
        <v>VL</v>
      </c>
      <c r="B12" s="294">
        <f>IF(C12&lt;&gt;"",ROW()-11,"")</f>
        <v>1</v>
      </c>
      <c r="C12" s="189" t="s">
        <v>373</v>
      </c>
      <c r="D12" s="296" t="s">
        <v>345</v>
      </c>
      <c r="E12" s="25">
        <v>50</v>
      </c>
      <c r="F12" s="25">
        <v>1250000</v>
      </c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100</v>
      </c>
      <c r="J12" s="25">
        <f t="array" ref="J12">SUM(IF("1522"&amp;C12=KHC&amp;MH,TH))</f>
        <v>2500000</v>
      </c>
      <c r="K12" s="25">
        <f t="shared" ref="K12:L14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346</v>
      </c>
      <c r="D13" s="296" t="s">
        <v>345</v>
      </c>
      <c r="E13" s="8">
        <v>24</v>
      </c>
      <c r="F13" s="8">
        <v>1008000</v>
      </c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96</v>
      </c>
      <c r="J13" s="25">
        <f t="array" ref="J13">SUM(IF("1522"&amp;C13=KHC&amp;MH,TH))</f>
        <v>4176000</v>
      </c>
      <c r="K13" s="8">
        <f t="shared" si="0"/>
        <v>48</v>
      </c>
      <c r="L13" s="8">
        <f t="shared" si="0"/>
        <v>1968000</v>
      </c>
      <c r="M13" s="293"/>
    </row>
    <row r="14" spans="1:14" ht="18" customHeight="1">
      <c r="A14" s="293" t="str">
        <f>IF(B14&lt;&gt;"","VL","")</f>
        <v>VL</v>
      </c>
      <c r="B14" s="294">
        <f>IF(C14&lt;&gt;"",ROW()-11,"")</f>
        <v>3</v>
      </c>
      <c r="C14" s="829" t="s">
        <v>576</v>
      </c>
      <c r="D14" s="296" t="s">
        <v>345</v>
      </c>
      <c r="E14" s="8"/>
      <c r="F14" s="8"/>
      <c r="G14" s="25">
        <f t="array" ref="G14">SUM(IF("1522"&amp;C14=KHN&amp;MH,SL))</f>
        <v>100</v>
      </c>
      <c r="H14" s="25">
        <f t="array" ref="H14">SUM(IF("1522"&amp;C14=KHN&amp;MH,TH))</f>
        <v>1750000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100</v>
      </c>
      <c r="L14" s="8">
        <f t="shared" si="0"/>
        <v>1750000</v>
      </c>
      <c r="M14" s="293"/>
    </row>
    <row r="15" spans="1:14" ht="18.75" customHeight="1">
      <c r="A15" s="293" t="str">
        <f>IF(B15&lt;&gt;"","VL","")</f>
        <v/>
      </c>
      <c r="B15" s="294" t="str">
        <f>IF(C15&lt;&gt;"",ROW()-11,"")</f>
        <v/>
      </c>
      <c r="C15" s="298"/>
      <c r="D15" s="299"/>
      <c r="E15" s="300"/>
      <c r="F15" s="300"/>
      <c r="G15" s="25"/>
      <c r="H15" s="300"/>
      <c r="I15" s="300"/>
      <c r="J15" s="300"/>
      <c r="K15" s="300"/>
      <c r="L15" s="300"/>
      <c r="M15" s="293"/>
    </row>
    <row r="16" spans="1:14" ht="18.75" customHeight="1">
      <c r="A16" s="293" t="str">
        <f>IF(B16&lt;&gt;"","VL","")</f>
        <v/>
      </c>
      <c r="B16" s="292"/>
      <c r="C16" s="301" t="s">
        <v>344</v>
      </c>
      <c r="D16" s="13"/>
      <c r="E16" s="13">
        <f t="shared" ref="E16:L16" si="1">SUM(E12:E15)</f>
        <v>74</v>
      </c>
      <c r="F16" s="13">
        <f t="shared" si="1"/>
        <v>2258000</v>
      </c>
      <c r="G16" s="13">
        <f t="shared" si="1"/>
        <v>270</v>
      </c>
      <c r="H16" s="13">
        <f t="shared" si="1"/>
        <v>8136000</v>
      </c>
      <c r="I16" s="13">
        <f t="shared" si="1"/>
        <v>196</v>
      </c>
      <c r="J16" s="13">
        <f t="shared" si="1"/>
        <v>6676000</v>
      </c>
      <c r="K16" s="13">
        <f t="shared" si="1"/>
        <v>148</v>
      </c>
      <c r="L16" s="13">
        <f t="shared" si="1"/>
        <v>3718000</v>
      </c>
      <c r="M16" s="293"/>
    </row>
    <row r="17" spans="1:13" ht="18.75" customHeight="1">
      <c r="A17" s="293"/>
      <c r="B17" s="478"/>
      <c r="C17" s="479"/>
      <c r="D17" s="480"/>
      <c r="E17" s="480"/>
      <c r="F17" s="480">
        <f>F16-CDPS!C20</f>
        <v>0</v>
      </c>
      <c r="G17" s="480"/>
      <c r="H17" s="480">
        <f>H16-CDPS!E20</f>
        <v>0</v>
      </c>
      <c r="I17" s="480"/>
      <c r="J17" s="480">
        <f>J16-CDPS!F20</f>
        <v>0</v>
      </c>
      <c r="K17" s="480"/>
      <c r="L17" s="480">
        <f>L16-CDPS!G20</f>
        <v>0</v>
      </c>
      <c r="M17" s="293"/>
    </row>
    <row r="18" spans="1:13" ht="18.75" hidden="1" customHeight="1">
      <c r="A18" s="293" t="str">
        <f t="shared" ref="A18:A81" si="2">IF(B18&lt;&gt;"","NL","")</f>
        <v>NL</v>
      </c>
      <c r="B18" s="477">
        <f t="shared" ref="B18:B49" si="3">IF(C18&lt;&gt;"",ROW()-17,"")</f>
        <v>1</v>
      </c>
      <c r="C18" s="843" t="s">
        <v>1167</v>
      </c>
      <c r="D18" s="296" t="s">
        <v>1168</v>
      </c>
      <c r="E18" s="25">
        <v>150</v>
      </c>
      <c r="F18" s="25">
        <v>1767000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150</v>
      </c>
      <c r="J18" s="25">
        <f t="array" ref="J18">SUM(IF("1521"&amp;C18=KHC&amp;MH,TH))</f>
        <v>1767000</v>
      </c>
      <c r="K18" s="25">
        <f t="shared" ref="K18:K165" si="4">E18+G18-I18</f>
        <v>0</v>
      </c>
      <c r="L18" s="25">
        <f t="shared" ref="L18:L165" si="5">F18+H18-J18</f>
        <v>0</v>
      </c>
      <c r="M18" s="293" t="e">
        <f>L18/K18</f>
        <v>#DIV/0!</v>
      </c>
    </row>
    <row r="19" spans="1:13" ht="18.75" hidden="1" customHeight="1">
      <c r="A19" s="293" t="str">
        <f t="shared" si="2"/>
        <v>NL</v>
      </c>
      <c r="B19" s="477">
        <f t="shared" si="3"/>
        <v>2</v>
      </c>
      <c r="C19" s="843" t="s">
        <v>1169</v>
      </c>
      <c r="D19" s="296" t="s">
        <v>1168</v>
      </c>
      <c r="E19" s="25">
        <v>209</v>
      </c>
      <c r="F19" s="25">
        <v>3827626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209</v>
      </c>
      <c r="J19" s="25">
        <f t="array" ref="J19">SUM(IF("1521"&amp;C19=KHC&amp;MH,TH))</f>
        <v>3827626</v>
      </c>
      <c r="K19" s="25">
        <f t="shared" si="4"/>
        <v>0</v>
      </c>
      <c r="L19" s="25">
        <f t="shared" si="5"/>
        <v>0</v>
      </c>
      <c r="M19" s="293" t="e">
        <f t="shared" ref="M19:M82" si="6">L19/K19</f>
        <v>#DIV/0!</v>
      </c>
    </row>
    <row r="20" spans="1:13" ht="18.75" hidden="1" customHeight="1">
      <c r="A20" s="293" t="str">
        <f t="shared" si="2"/>
        <v>NL</v>
      </c>
      <c r="B20" s="477">
        <f t="shared" si="3"/>
        <v>3</v>
      </c>
      <c r="C20" s="843" t="s">
        <v>1170</v>
      </c>
      <c r="D20" s="296" t="s">
        <v>1168</v>
      </c>
      <c r="E20" s="25">
        <v>202</v>
      </c>
      <c r="F20" s="25">
        <v>4240384</v>
      </c>
      <c r="G20" s="25">
        <f t="array" ref="G20">SUM(IF("1521"&amp;C20=KHN&amp;MH,SL))</f>
        <v>0</v>
      </c>
      <c r="H20" s="25">
        <f t="array" ref="H20">SUM(IF("1521"&amp;C20=KHN&amp;MH,TH))</f>
        <v>0</v>
      </c>
      <c r="I20" s="25">
        <f t="array" ref="I20">SUM(IF("1521"&amp;C20=KHC&amp;MH,SL))</f>
        <v>202</v>
      </c>
      <c r="J20" s="25">
        <f t="array" ref="J20">SUM(IF("1521"&amp;C20=KHC&amp;MH,TH))</f>
        <v>4240384</v>
      </c>
      <c r="K20" s="25">
        <f t="shared" si="4"/>
        <v>0</v>
      </c>
      <c r="L20" s="25">
        <f t="shared" si="5"/>
        <v>0</v>
      </c>
      <c r="M20" s="293" t="e">
        <f t="shared" si="6"/>
        <v>#DIV/0!</v>
      </c>
    </row>
    <row r="21" spans="1:13" ht="18.75" hidden="1" customHeight="1">
      <c r="A21" s="293" t="str">
        <f t="shared" si="2"/>
        <v>NL</v>
      </c>
      <c r="B21" s="477">
        <f t="shared" si="3"/>
        <v>4</v>
      </c>
      <c r="C21" s="843" t="s">
        <v>1171</v>
      </c>
      <c r="D21" s="296" t="s">
        <v>1168</v>
      </c>
      <c r="E21" s="25">
        <v>760</v>
      </c>
      <c r="F21" s="25">
        <v>15819400</v>
      </c>
      <c r="G21" s="25">
        <f t="array" ref="G21">SUM(IF("1521"&amp;C21=KHN&amp;MH,SL))</f>
        <v>0</v>
      </c>
      <c r="H21" s="25">
        <f t="array" ref="H21">SUM(IF("1521"&amp;C21=KHN&amp;MH,TH))</f>
        <v>0</v>
      </c>
      <c r="I21" s="25">
        <f t="array" ref="I21">SUM(IF("1521"&amp;C21=KHC&amp;MH,SL))</f>
        <v>760</v>
      </c>
      <c r="J21" s="25">
        <f t="array" ref="J21">SUM(IF("1521"&amp;C21=KHC&amp;MH,TH))</f>
        <v>15819400</v>
      </c>
      <c r="K21" s="25">
        <f t="shared" si="4"/>
        <v>0</v>
      </c>
      <c r="L21" s="25">
        <f t="shared" si="5"/>
        <v>0</v>
      </c>
      <c r="M21" s="293" t="e">
        <f t="shared" si="6"/>
        <v>#DIV/0!</v>
      </c>
    </row>
    <row r="22" spans="1:13" ht="18.75" hidden="1" customHeight="1">
      <c r="A22" s="293" t="str">
        <f t="shared" si="2"/>
        <v>NL</v>
      </c>
      <c r="B22" s="477">
        <f t="shared" si="3"/>
        <v>5</v>
      </c>
      <c r="C22" s="843" t="s">
        <v>1172</v>
      </c>
      <c r="D22" s="296" t="s">
        <v>1168</v>
      </c>
      <c r="E22" s="25">
        <v>500</v>
      </c>
      <c r="F22" s="25">
        <v>14175000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500</v>
      </c>
      <c r="J22" s="25">
        <f t="array" ref="J22">SUM(IF("1521"&amp;C22=KHC&amp;MH,TH))</f>
        <v>14175000</v>
      </c>
      <c r="K22" s="25">
        <f t="shared" si="4"/>
        <v>0</v>
      </c>
      <c r="L22" s="25">
        <f t="shared" si="5"/>
        <v>0</v>
      </c>
      <c r="M22" s="293" t="e">
        <f t="shared" si="6"/>
        <v>#DIV/0!</v>
      </c>
    </row>
    <row r="23" spans="1:13" ht="18.75" hidden="1" customHeight="1">
      <c r="A23" s="293" t="str">
        <f t="shared" si="2"/>
        <v>NL</v>
      </c>
      <c r="B23" s="477">
        <f t="shared" si="3"/>
        <v>6</v>
      </c>
      <c r="C23" s="843" t="s">
        <v>1173</v>
      </c>
      <c r="D23" s="296" t="s">
        <v>1168</v>
      </c>
      <c r="E23" s="25">
        <v>218</v>
      </c>
      <c r="F23" s="25">
        <v>4558380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218</v>
      </c>
      <c r="J23" s="25">
        <f t="array" ref="J23">SUM(IF("1521"&amp;C23=KHC&amp;MH,TH))</f>
        <v>4558380</v>
      </c>
      <c r="K23" s="25">
        <f t="shared" si="4"/>
        <v>0</v>
      </c>
      <c r="L23" s="25">
        <f t="shared" si="5"/>
        <v>0</v>
      </c>
      <c r="M23" s="293" t="e">
        <f t="shared" si="6"/>
        <v>#DIV/0!</v>
      </c>
    </row>
    <row r="24" spans="1:13" ht="18.75" hidden="1" customHeight="1">
      <c r="A24" s="293" t="str">
        <f t="shared" si="2"/>
        <v>NL</v>
      </c>
      <c r="B24" s="477">
        <f t="shared" si="3"/>
        <v>7</v>
      </c>
      <c r="C24" s="843" t="s">
        <v>1174</v>
      </c>
      <c r="D24" s="296" t="s">
        <v>1168</v>
      </c>
      <c r="E24" s="25">
        <v>988</v>
      </c>
      <c r="F24" s="25">
        <v>22391044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988</v>
      </c>
      <c r="J24" s="25">
        <f t="array" ref="J24">SUM(IF("1521"&amp;C24=KHC&amp;MH,TH))</f>
        <v>22391044</v>
      </c>
      <c r="K24" s="25">
        <f t="shared" si="4"/>
        <v>0</v>
      </c>
      <c r="L24" s="25">
        <f t="shared" si="5"/>
        <v>0</v>
      </c>
      <c r="M24" s="293" t="e">
        <f t="shared" si="6"/>
        <v>#DIV/0!</v>
      </c>
    </row>
    <row r="25" spans="1:13" ht="18.75" hidden="1" customHeight="1">
      <c r="A25" s="293" t="str">
        <f t="shared" si="2"/>
        <v>NL</v>
      </c>
      <c r="B25" s="477">
        <f t="shared" si="3"/>
        <v>8</v>
      </c>
      <c r="C25" s="843" t="s">
        <v>1175</v>
      </c>
      <c r="D25" s="296" t="s">
        <v>1168</v>
      </c>
      <c r="E25" s="25">
        <v>517</v>
      </c>
      <c r="F25" s="25">
        <v>10330694</v>
      </c>
      <c r="G25" s="25">
        <f t="array" ref="G25">SUM(IF("1521"&amp;C25=KHN&amp;MH,SL))</f>
        <v>0</v>
      </c>
      <c r="H25" s="25">
        <f t="array" ref="H25">SUM(IF("1521"&amp;C25=KHN&amp;MH,TH))</f>
        <v>0</v>
      </c>
      <c r="I25" s="25">
        <f t="array" ref="I25">SUM(IF("1521"&amp;C25=KHC&amp;MH,SL))</f>
        <v>517</v>
      </c>
      <c r="J25" s="25">
        <f t="array" ref="J25">SUM(IF("1521"&amp;C25=KHC&amp;MH,TH))</f>
        <v>10330694</v>
      </c>
      <c r="K25" s="25">
        <f t="shared" si="4"/>
        <v>0</v>
      </c>
      <c r="L25" s="25">
        <f t="shared" si="5"/>
        <v>0</v>
      </c>
      <c r="M25" s="293" t="e">
        <f t="shared" si="6"/>
        <v>#DIV/0!</v>
      </c>
    </row>
    <row r="26" spans="1:13" ht="18.75" hidden="1" customHeight="1">
      <c r="A26" s="293" t="str">
        <f t="shared" si="2"/>
        <v>NL</v>
      </c>
      <c r="B26" s="477">
        <f t="shared" si="3"/>
        <v>9</v>
      </c>
      <c r="C26" s="843" t="s">
        <v>1176</v>
      </c>
      <c r="D26" s="296" t="s">
        <v>1168</v>
      </c>
      <c r="E26" s="25">
        <v>60</v>
      </c>
      <c r="F26" s="25">
        <v>1570740</v>
      </c>
      <c r="G26" s="25">
        <f t="array" ref="G26">SUM(IF("1521"&amp;C26=KHN&amp;MH,SL))</f>
        <v>0</v>
      </c>
      <c r="H26" s="25">
        <f t="array" ref="H26">SUM(IF("1521"&amp;C26=KHN&amp;MH,TH))</f>
        <v>0</v>
      </c>
      <c r="I26" s="25">
        <f t="array" ref="I26">SUM(IF("1521"&amp;C26=KHC&amp;MH,SL))</f>
        <v>60</v>
      </c>
      <c r="J26" s="25">
        <f t="array" ref="J26">SUM(IF("1521"&amp;C26=KHC&amp;MH,TH))</f>
        <v>1570740</v>
      </c>
      <c r="K26" s="25">
        <f t="shared" si="4"/>
        <v>0</v>
      </c>
      <c r="L26" s="25">
        <f t="shared" si="5"/>
        <v>0</v>
      </c>
      <c r="M26" s="293" t="e">
        <f t="shared" si="6"/>
        <v>#DIV/0!</v>
      </c>
    </row>
    <row r="27" spans="1:13" ht="18.75" hidden="1" customHeight="1">
      <c r="A27" s="293" t="str">
        <f t="shared" si="2"/>
        <v>NL</v>
      </c>
      <c r="B27" s="477">
        <f t="shared" si="3"/>
        <v>10</v>
      </c>
      <c r="C27" s="843" t="s">
        <v>1177</v>
      </c>
      <c r="D27" s="296" t="s">
        <v>1168</v>
      </c>
      <c r="E27" s="25">
        <v>50</v>
      </c>
      <c r="F27" s="25">
        <v>1641600</v>
      </c>
      <c r="G27" s="25">
        <f t="array" ref="G27">SUM(IF("1521"&amp;C27=KHN&amp;MH,SL))</f>
        <v>0</v>
      </c>
      <c r="H27" s="25">
        <f t="array" ref="H27">SUM(IF("1521"&amp;C27=KHN&amp;MH,TH))</f>
        <v>0</v>
      </c>
      <c r="I27" s="25">
        <f t="array" ref="I27">SUM(IF("1521"&amp;C27=KHC&amp;MH,SL))</f>
        <v>50</v>
      </c>
      <c r="J27" s="25">
        <f t="array" ref="J27">SUM(IF("1521"&amp;C27=KHC&amp;MH,TH))</f>
        <v>1641600</v>
      </c>
      <c r="K27" s="25">
        <f t="shared" si="4"/>
        <v>0</v>
      </c>
      <c r="L27" s="25">
        <f t="shared" si="5"/>
        <v>0</v>
      </c>
      <c r="M27" s="293" t="e">
        <f t="shared" si="6"/>
        <v>#DIV/0!</v>
      </c>
    </row>
    <row r="28" spans="1:13" ht="18.75" hidden="1" customHeight="1">
      <c r="A28" s="293" t="str">
        <f t="shared" si="2"/>
        <v>NL</v>
      </c>
      <c r="B28" s="477">
        <f t="shared" si="3"/>
        <v>11</v>
      </c>
      <c r="C28" s="843" t="s">
        <v>1178</v>
      </c>
      <c r="D28" s="296" t="s">
        <v>1168</v>
      </c>
      <c r="E28" s="25">
        <v>381</v>
      </c>
      <c r="F28" s="25">
        <v>7505319</v>
      </c>
      <c r="G28" s="25">
        <f t="array" ref="G28">SUM(IF("1521"&amp;C28=KHN&amp;MH,SL))</f>
        <v>0</v>
      </c>
      <c r="H28" s="25">
        <f t="array" ref="H28">SUM(IF("1521"&amp;C28=KHN&amp;MH,TH))</f>
        <v>0</v>
      </c>
      <c r="I28" s="25">
        <f t="array" ref="I28">SUM(IF("1521"&amp;C28=KHC&amp;MH,SL))</f>
        <v>381</v>
      </c>
      <c r="J28" s="25">
        <f t="array" ref="J28">SUM(IF("1521"&amp;C28=KHC&amp;MH,TH))</f>
        <v>7505319</v>
      </c>
      <c r="K28" s="25">
        <f t="shared" si="4"/>
        <v>0</v>
      </c>
      <c r="L28" s="25">
        <f t="shared" si="5"/>
        <v>0</v>
      </c>
      <c r="M28" s="293" t="e">
        <f t="shared" si="6"/>
        <v>#DIV/0!</v>
      </c>
    </row>
    <row r="29" spans="1:13" ht="18.75" hidden="1" customHeight="1">
      <c r="A29" s="293" t="str">
        <f t="shared" si="2"/>
        <v>NL</v>
      </c>
      <c r="B29" s="477">
        <f t="shared" si="3"/>
        <v>12</v>
      </c>
      <c r="C29" s="843" t="s">
        <v>1179</v>
      </c>
      <c r="D29" s="296" t="s">
        <v>1168</v>
      </c>
      <c r="E29" s="25">
        <v>670</v>
      </c>
      <c r="F29" s="25">
        <v>4891000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670</v>
      </c>
      <c r="J29" s="25">
        <f t="array" ref="J29">SUM(IF("1521"&amp;C29=KHC&amp;MH,TH))</f>
        <v>4891000</v>
      </c>
      <c r="K29" s="25">
        <f t="shared" si="4"/>
        <v>0</v>
      </c>
      <c r="L29" s="25">
        <f t="shared" si="5"/>
        <v>0</v>
      </c>
      <c r="M29" s="293" t="e">
        <f t="shared" si="6"/>
        <v>#DIV/0!</v>
      </c>
    </row>
    <row r="30" spans="1:13" ht="18.75" hidden="1" customHeight="1">
      <c r="A30" s="293" t="str">
        <f t="shared" si="2"/>
        <v>NL</v>
      </c>
      <c r="B30" s="477">
        <f t="shared" si="3"/>
        <v>13</v>
      </c>
      <c r="C30" s="843" t="s">
        <v>1180</v>
      </c>
      <c r="D30" s="296" t="s">
        <v>1168</v>
      </c>
      <c r="E30" s="25">
        <v>600</v>
      </c>
      <c r="F30" s="25">
        <v>5458800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600</v>
      </c>
      <c r="J30" s="25">
        <f t="array" ref="J30">SUM(IF("1521"&amp;C30=KHC&amp;MH,TH))</f>
        <v>5458800</v>
      </c>
      <c r="K30" s="25">
        <f t="shared" si="4"/>
        <v>0</v>
      </c>
      <c r="L30" s="25">
        <f t="shared" si="5"/>
        <v>0</v>
      </c>
      <c r="M30" s="293" t="e">
        <f t="shared" si="6"/>
        <v>#DIV/0!</v>
      </c>
    </row>
    <row r="31" spans="1:13" ht="18.75" hidden="1" customHeight="1">
      <c r="A31" s="293" t="str">
        <f t="shared" si="2"/>
        <v>NL</v>
      </c>
      <c r="B31" s="477">
        <f t="shared" si="3"/>
        <v>14</v>
      </c>
      <c r="C31" s="843" t="s">
        <v>1181</v>
      </c>
      <c r="D31" s="296" t="s">
        <v>1168</v>
      </c>
      <c r="E31" s="25">
        <v>100</v>
      </c>
      <c r="F31" s="25">
        <v>641300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100</v>
      </c>
      <c r="J31" s="25">
        <f t="array" ref="J31">SUM(IF("1521"&amp;C31=KHC&amp;MH,TH))</f>
        <v>641300</v>
      </c>
      <c r="K31" s="25">
        <f t="shared" si="4"/>
        <v>0</v>
      </c>
      <c r="L31" s="25">
        <f t="shared" si="5"/>
        <v>0</v>
      </c>
      <c r="M31" s="293" t="e">
        <f t="shared" si="6"/>
        <v>#DIV/0!</v>
      </c>
    </row>
    <row r="32" spans="1:13" ht="18.75" hidden="1" customHeight="1">
      <c r="A32" s="293" t="str">
        <f t="shared" si="2"/>
        <v>NL</v>
      </c>
      <c r="B32" s="477">
        <f t="shared" si="3"/>
        <v>15</v>
      </c>
      <c r="C32" s="843" t="s">
        <v>1182</v>
      </c>
      <c r="D32" s="296" t="s">
        <v>1168</v>
      </c>
      <c r="E32" s="25">
        <v>120</v>
      </c>
      <c r="F32" s="25">
        <v>1234440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120</v>
      </c>
      <c r="J32" s="25">
        <f t="array" ref="J32">SUM(IF("1521"&amp;C32=KHC&amp;MH,TH))</f>
        <v>1234440</v>
      </c>
      <c r="K32" s="25">
        <f t="shared" si="4"/>
        <v>0</v>
      </c>
      <c r="L32" s="25">
        <f t="shared" si="5"/>
        <v>0</v>
      </c>
      <c r="M32" s="293" t="e">
        <f t="shared" si="6"/>
        <v>#DIV/0!</v>
      </c>
    </row>
    <row r="33" spans="1:13" ht="18.75" hidden="1" customHeight="1">
      <c r="A33" s="293" t="str">
        <f t="shared" si="2"/>
        <v>NL</v>
      </c>
      <c r="B33" s="477">
        <f t="shared" si="3"/>
        <v>16</v>
      </c>
      <c r="C33" s="843" t="s">
        <v>1183</v>
      </c>
      <c r="D33" s="296" t="s">
        <v>1168</v>
      </c>
      <c r="E33" s="25">
        <v>332</v>
      </c>
      <c r="F33" s="25">
        <v>3546271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332</v>
      </c>
      <c r="J33" s="25">
        <f t="array" ref="J33">SUM(IF("1521"&amp;C33=KHC&amp;MH,TH))</f>
        <v>3546271</v>
      </c>
      <c r="K33" s="25">
        <f t="shared" si="4"/>
        <v>0</v>
      </c>
      <c r="L33" s="25">
        <f t="shared" si="5"/>
        <v>0</v>
      </c>
      <c r="M33" s="293" t="e">
        <f t="shared" si="6"/>
        <v>#DIV/0!</v>
      </c>
    </row>
    <row r="34" spans="1:13" ht="18.75" hidden="1" customHeight="1">
      <c r="A34" s="293" t="str">
        <f t="shared" si="2"/>
        <v>NL</v>
      </c>
      <c r="B34" s="477">
        <f t="shared" si="3"/>
        <v>17</v>
      </c>
      <c r="C34" s="843" t="s">
        <v>1184</v>
      </c>
      <c r="D34" s="296" t="s">
        <v>1168</v>
      </c>
      <c r="E34" s="25">
        <v>11</v>
      </c>
      <c r="F34" s="25">
        <v>159016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11</v>
      </c>
      <c r="J34" s="25">
        <f t="array" ref="J34">SUM(IF("1521"&amp;C34=KHC&amp;MH,TH))</f>
        <v>159016</v>
      </c>
      <c r="K34" s="25">
        <f t="shared" si="4"/>
        <v>0</v>
      </c>
      <c r="L34" s="25">
        <f t="shared" si="5"/>
        <v>0</v>
      </c>
      <c r="M34" s="293" t="e">
        <f t="shared" si="6"/>
        <v>#DIV/0!</v>
      </c>
    </row>
    <row r="35" spans="1:13" ht="18.75" hidden="1" customHeight="1">
      <c r="A35" s="293" t="str">
        <f t="shared" si="2"/>
        <v>NL</v>
      </c>
      <c r="B35" s="477">
        <f t="shared" si="3"/>
        <v>18</v>
      </c>
      <c r="C35" s="843" t="s">
        <v>1185</v>
      </c>
      <c r="D35" s="296" t="s">
        <v>1168</v>
      </c>
      <c r="E35" s="25">
        <v>690</v>
      </c>
      <c r="F35" s="25">
        <v>9319830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690</v>
      </c>
      <c r="J35" s="25">
        <f t="array" ref="J35">SUM(IF("1521"&amp;C35=KHC&amp;MH,TH))</f>
        <v>9319830</v>
      </c>
      <c r="K35" s="25">
        <f t="shared" si="4"/>
        <v>0</v>
      </c>
      <c r="L35" s="25">
        <f t="shared" si="5"/>
        <v>0</v>
      </c>
      <c r="M35" s="293" t="e">
        <f t="shared" si="6"/>
        <v>#DIV/0!</v>
      </c>
    </row>
    <row r="36" spans="1:13" ht="18.75" hidden="1" customHeight="1">
      <c r="A36" s="293" t="str">
        <f t="shared" si="2"/>
        <v>NL</v>
      </c>
      <c r="B36" s="477">
        <f t="shared" si="3"/>
        <v>19</v>
      </c>
      <c r="C36" s="843" t="s">
        <v>1186</v>
      </c>
      <c r="D36" s="296" t="s">
        <v>1168</v>
      </c>
      <c r="E36" s="25">
        <v>510</v>
      </c>
      <c r="F36" s="25">
        <v>4337550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510</v>
      </c>
      <c r="J36" s="25">
        <f t="array" ref="J36">SUM(IF("1521"&amp;C36=KHC&amp;MH,TH))</f>
        <v>4337550</v>
      </c>
      <c r="K36" s="25">
        <f t="shared" si="4"/>
        <v>0</v>
      </c>
      <c r="L36" s="25">
        <f t="shared" si="5"/>
        <v>0</v>
      </c>
      <c r="M36" s="293" t="e">
        <f t="shared" si="6"/>
        <v>#DIV/0!</v>
      </c>
    </row>
    <row r="37" spans="1:13" ht="18.75" hidden="1" customHeight="1">
      <c r="A37" s="293" t="str">
        <f t="shared" si="2"/>
        <v>NL</v>
      </c>
      <c r="B37" s="477">
        <f t="shared" si="3"/>
        <v>20</v>
      </c>
      <c r="C37" s="843" t="s">
        <v>1187</v>
      </c>
      <c r="D37" s="296" t="s">
        <v>1168</v>
      </c>
      <c r="E37" s="25">
        <v>150</v>
      </c>
      <c r="F37" s="25">
        <v>2114100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150</v>
      </c>
      <c r="J37" s="25">
        <f t="array" ref="J37">SUM(IF("1521"&amp;C37=KHC&amp;MH,TH))</f>
        <v>2114100</v>
      </c>
      <c r="K37" s="25">
        <f t="shared" si="4"/>
        <v>0</v>
      </c>
      <c r="L37" s="25">
        <f t="shared" si="5"/>
        <v>0</v>
      </c>
      <c r="M37" s="293" t="e">
        <f t="shared" si="6"/>
        <v>#DIV/0!</v>
      </c>
    </row>
    <row r="38" spans="1:13" ht="18.75" hidden="1" customHeight="1">
      <c r="A38" s="293" t="str">
        <f t="shared" si="2"/>
        <v>NL</v>
      </c>
      <c r="B38" s="477">
        <f t="shared" si="3"/>
        <v>21</v>
      </c>
      <c r="C38" s="843" t="s">
        <v>1188</v>
      </c>
      <c r="D38" s="296" t="s">
        <v>1168</v>
      </c>
      <c r="E38" s="25">
        <v>180</v>
      </c>
      <c r="F38" s="25">
        <v>2721600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180</v>
      </c>
      <c r="J38" s="25">
        <f t="array" ref="J38">SUM(IF("1521"&amp;C38=KHC&amp;MH,TH))</f>
        <v>2721600</v>
      </c>
      <c r="K38" s="25">
        <f t="shared" si="4"/>
        <v>0</v>
      </c>
      <c r="L38" s="25">
        <f t="shared" si="5"/>
        <v>0</v>
      </c>
      <c r="M38" s="293" t="e">
        <f t="shared" si="6"/>
        <v>#DIV/0!</v>
      </c>
    </row>
    <row r="39" spans="1:13" ht="18.75" hidden="1" customHeight="1">
      <c r="A39" s="293" t="str">
        <f t="shared" si="2"/>
        <v>NL</v>
      </c>
      <c r="B39" s="477">
        <f t="shared" si="3"/>
        <v>22</v>
      </c>
      <c r="C39" s="843" t="s">
        <v>1189</v>
      </c>
      <c r="D39" s="296" t="s">
        <v>1168</v>
      </c>
      <c r="E39" s="25">
        <v>100</v>
      </c>
      <c r="F39" s="25">
        <v>678300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100</v>
      </c>
      <c r="J39" s="25">
        <f t="array" ref="J39">SUM(IF("1521"&amp;C39=KHC&amp;MH,TH))</f>
        <v>678300</v>
      </c>
      <c r="K39" s="25">
        <f t="shared" si="4"/>
        <v>0</v>
      </c>
      <c r="L39" s="25">
        <f t="shared" si="5"/>
        <v>0</v>
      </c>
      <c r="M39" s="293" t="e">
        <f t="shared" si="6"/>
        <v>#DIV/0!</v>
      </c>
    </row>
    <row r="40" spans="1:13" ht="18.75" hidden="1" customHeight="1">
      <c r="A40" s="293" t="str">
        <f t="shared" si="2"/>
        <v>NL</v>
      </c>
      <c r="B40" s="477">
        <f t="shared" si="3"/>
        <v>23</v>
      </c>
      <c r="C40" s="843" t="s">
        <v>1190</v>
      </c>
      <c r="D40" s="296" t="s">
        <v>1168</v>
      </c>
      <c r="E40" s="25">
        <v>10</v>
      </c>
      <c r="F40" s="25">
        <v>93240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10</v>
      </c>
      <c r="J40" s="25">
        <f t="array" ref="J40">SUM(IF("1521"&amp;C40=KHC&amp;MH,TH))</f>
        <v>93240</v>
      </c>
      <c r="K40" s="25">
        <f t="shared" si="4"/>
        <v>0</v>
      </c>
      <c r="L40" s="25">
        <f t="shared" si="5"/>
        <v>0</v>
      </c>
      <c r="M40" s="293" t="e">
        <f t="shared" si="6"/>
        <v>#DIV/0!</v>
      </c>
    </row>
    <row r="41" spans="1:13" ht="18.75" hidden="1" customHeight="1">
      <c r="A41" s="293" t="str">
        <f t="shared" si="2"/>
        <v>NL</v>
      </c>
      <c r="B41" s="477">
        <f t="shared" si="3"/>
        <v>24</v>
      </c>
      <c r="C41" s="843" t="s">
        <v>1191</v>
      </c>
      <c r="D41" s="296" t="s">
        <v>1168</v>
      </c>
      <c r="E41" s="25">
        <v>200</v>
      </c>
      <c r="F41" s="25">
        <v>2512600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200</v>
      </c>
      <c r="J41" s="25">
        <f t="array" ref="J41">SUM(IF("1521"&amp;C41=KHC&amp;MH,TH))</f>
        <v>2512600</v>
      </c>
      <c r="K41" s="25">
        <f t="shared" si="4"/>
        <v>0</v>
      </c>
      <c r="L41" s="25">
        <f t="shared" si="5"/>
        <v>0</v>
      </c>
      <c r="M41" s="293" t="e">
        <f t="shared" si="6"/>
        <v>#DIV/0!</v>
      </c>
    </row>
    <row r="42" spans="1:13" ht="18.75" hidden="1" customHeight="1">
      <c r="A42" s="293" t="str">
        <f t="shared" si="2"/>
        <v>NL</v>
      </c>
      <c r="B42" s="477">
        <f t="shared" si="3"/>
        <v>25</v>
      </c>
      <c r="C42" s="843" t="s">
        <v>1192</v>
      </c>
      <c r="D42" s="296" t="s">
        <v>1168</v>
      </c>
      <c r="E42" s="25">
        <v>500</v>
      </c>
      <c r="F42" s="25">
        <v>4688500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500</v>
      </c>
      <c r="J42" s="25">
        <f t="array" ref="J42">SUM(IF("1521"&amp;C42=KHC&amp;MH,TH))</f>
        <v>4688500</v>
      </c>
      <c r="K42" s="25">
        <f t="shared" si="4"/>
        <v>0</v>
      </c>
      <c r="L42" s="25">
        <f t="shared" si="5"/>
        <v>0</v>
      </c>
      <c r="M42" s="293" t="e">
        <f t="shared" si="6"/>
        <v>#DIV/0!</v>
      </c>
    </row>
    <row r="43" spans="1:13" ht="18.75" hidden="1" customHeight="1">
      <c r="A43" s="293" t="str">
        <f t="shared" si="2"/>
        <v>NL</v>
      </c>
      <c r="B43" s="477">
        <f t="shared" si="3"/>
        <v>26</v>
      </c>
      <c r="C43" s="843" t="s">
        <v>1193</v>
      </c>
      <c r="D43" s="296" t="s">
        <v>1168</v>
      </c>
      <c r="E43" s="25">
        <v>500</v>
      </c>
      <c r="F43" s="25">
        <v>4914000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500</v>
      </c>
      <c r="J43" s="25">
        <f t="array" ref="J43">SUM(IF("1521"&amp;C43=KHC&amp;MH,TH))</f>
        <v>4914000</v>
      </c>
      <c r="K43" s="25">
        <f t="shared" si="4"/>
        <v>0</v>
      </c>
      <c r="L43" s="25">
        <f t="shared" si="5"/>
        <v>0</v>
      </c>
      <c r="M43" s="293" t="e">
        <f t="shared" si="6"/>
        <v>#DIV/0!</v>
      </c>
    </row>
    <row r="44" spans="1:13" ht="18.75" hidden="1" customHeight="1">
      <c r="A44" s="293" t="str">
        <f t="shared" si="2"/>
        <v>NL</v>
      </c>
      <c r="B44" s="477">
        <f t="shared" si="3"/>
        <v>27</v>
      </c>
      <c r="C44" s="843" t="s">
        <v>1194</v>
      </c>
      <c r="D44" s="296" t="s">
        <v>1168</v>
      </c>
      <c r="E44" s="25">
        <v>100</v>
      </c>
      <c r="F44" s="25">
        <v>1554400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100</v>
      </c>
      <c r="J44" s="25">
        <f t="array" ref="J44">SUM(IF("1521"&amp;C44=KHC&amp;MH,TH))</f>
        <v>1554400</v>
      </c>
      <c r="K44" s="25">
        <f t="shared" si="4"/>
        <v>0</v>
      </c>
      <c r="L44" s="25">
        <f t="shared" si="5"/>
        <v>0</v>
      </c>
      <c r="M44" s="293" t="e">
        <f t="shared" si="6"/>
        <v>#DIV/0!</v>
      </c>
    </row>
    <row r="45" spans="1:13" ht="18.75" hidden="1" customHeight="1">
      <c r="A45" s="293" t="str">
        <f t="shared" si="2"/>
        <v>NL</v>
      </c>
      <c r="B45" s="477">
        <f t="shared" si="3"/>
        <v>28</v>
      </c>
      <c r="C45" s="843" t="s">
        <v>1195</v>
      </c>
      <c r="D45" s="296" t="s">
        <v>1168</v>
      </c>
      <c r="E45" s="25">
        <v>470</v>
      </c>
      <c r="F45" s="25">
        <v>5243790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470</v>
      </c>
      <c r="J45" s="25">
        <f t="array" ref="J45">SUM(IF("1521"&amp;C45=KHC&amp;MH,TH))</f>
        <v>5243790</v>
      </c>
      <c r="K45" s="25">
        <f t="shared" si="4"/>
        <v>0</v>
      </c>
      <c r="L45" s="25">
        <f t="shared" si="5"/>
        <v>0</v>
      </c>
      <c r="M45" s="293" t="e">
        <f t="shared" si="6"/>
        <v>#DIV/0!</v>
      </c>
    </row>
    <row r="46" spans="1:13" ht="18.75" hidden="1" customHeight="1">
      <c r="A46" s="293" t="str">
        <f t="shared" si="2"/>
        <v>NL</v>
      </c>
      <c r="B46" s="477">
        <f t="shared" si="3"/>
        <v>29</v>
      </c>
      <c r="C46" s="843" t="s">
        <v>1196</v>
      </c>
      <c r="D46" s="296" t="s">
        <v>1168</v>
      </c>
      <c r="E46" s="25">
        <v>105</v>
      </c>
      <c r="F46" s="25">
        <v>1812195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105</v>
      </c>
      <c r="J46" s="25">
        <f t="array" ref="J46">SUM(IF("1521"&amp;C46=KHC&amp;MH,TH))</f>
        <v>1812195</v>
      </c>
      <c r="K46" s="25">
        <f t="shared" si="4"/>
        <v>0</v>
      </c>
      <c r="L46" s="25">
        <f t="shared" si="5"/>
        <v>0</v>
      </c>
      <c r="M46" s="293" t="e">
        <f t="shared" si="6"/>
        <v>#DIV/0!</v>
      </c>
    </row>
    <row r="47" spans="1:13" ht="18.75" hidden="1" customHeight="1">
      <c r="A47" s="293" t="str">
        <f t="shared" si="2"/>
        <v>NL</v>
      </c>
      <c r="B47" s="477">
        <f t="shared" si="3"/>
        <v>30</v>
      </c>
      <c r="C47" s="843" t="s">
        <v>1197</v>
      </c>
      <c r="D47" s="296" t="s">
        <v>1168</v>
      </c>
      <c r="E47" s="25">
        <v>150</v>
      </c>
      <c r="F47" s="25">
        <v>1684050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150</v>
      </c>
      <c r="J47" s="25">
        <f t="array" ref="J47">SUM(IF("1521"&amp;C47=KHC&amp;MH,TH))</f>
        <v>1684050</v>
      </c>
      <c r="K47" s="25">
        <f t="shared" si="4"/>
        <v>0</v>
      </c>
      <c r="L47" s="25">
        <f t="shared" si="5"/>
        <v>0</v>
      </c>
      <c r="M47" s="293" t="e">
        <f t="shared" si="6"/>
        <v>#DIV/0!</v>
      </c>
    </row>
    <row r="48" spans="1:13" ht="18.75" hidden="1" customHeight="1">
      <c r="A48" s="293" t="str">
        <f t="shared" si="2"/>
        <v>NL</v>
      </c>
      <c r="B48" s="477">
        <f t="shared" si="3"/>
        <v>31</v>
      </c>
      <c r="C48" s="843" t="s">
        <v>1198</v>
      </c>
      <c r="D48" s="296" t="s">
        <v>1168</v>
      </c>
      <c r="E48" s="25">
        <v>200</v>
      </c>
      <c r="F48" s="25">
        <v>1633000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200</v>
      </c>
      <c r="J48" s="25">
        <f t="array" ref="J48">SUM(IF("1521"&amp;C48=KHC&amp;MH,TH))</f>
        <v>1633000</v>
      </c>
      <c r="K48" s="25">
        <f t="shared" si="4"/>
        <v>0</v>
      </c>
      <c r="L48" s="25">
        <f t="shared" si="5"/>
        <v>0</v>
      </c>
      <c r="M48" s="293" t="e">
        <f t="shared" si="6"/>
        <v>#DIV/0!</v>
      </c>
    </row>
    <row r="49" spans="1:13" ht="18.75" hidden="1" customHeight="1">
      <c r="A49" s="293" t="str">
        <f t="shared" si="2"/>
        <v>NL</v>
      </c>
      <c r="B49" s="477">
        <f t="shared" si="3"/>
        <v>32</v>
      </c>
      <c r="C49" s="843" t="s">
        <v>1199</v>
      </c>
      <c r="D49" s="296" t="s">
        <v>1168</v>
      </c>
      <c r="E49" s="25">
        <v>220</v>
      </c>
      <c r="F49" s="25">
        <v>3897520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220</v>
      </c>
      <c r="J49" s="25">
        <f t="array" ref="J49">SUM(IF("1521"&amp;C49=KHC&amp;MH,TH))</f>
        <v>3897520</v>
      </c>
      <c r="K49" s="25">
        <f t="shared" si="4"/>
        <v>0</v>
      </c>
      <c r="L49" s="25">
        <f t="shared" si="5"/>
        <v>0</v>
      </c>
      <c r="M49" s="293" t="e">
        <f t="shared" si="6"/>
        <v>#DIV/0!</v>
      </c>
    </row>
    <row r="50" spans="1:13" ht="18.75" hidden="1" customHeight="1">
      <c r="A50" s="293" t="str">
        <f t="shared" si="2"/>
        <v>NL</v>
      </c>
      <c r="B50" s="477">
        <f t="shared" ref="B50:B81" si="7">IF(C50&lt;&gt;"",ROW()-17,"")</f>
        <v>33</v>
      </c>
      <c r="C50" s="843" t="s">
        <v>1200</v>
      </c>
      <c r="D50" s="296" t="s">
        <v>1168</v>
      </c>
      <c r="E50" s="25">
        <v>470</v>
      </c>
      <c r="F50" s="25">
        <v>5223110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470</v>
      </c>
      <c r="J50" s="25">
        <f t="array" ref="J50">SUM(IF("1521"&amp;C50=KHC&amp;MH,TH))</f>
        <v>5223110</v>
      </c>
      <c r="K50" s="25">
        <f t="shared" si="4"/>
        <v>0</v>
      </c>
      <c r="L50" s="25">
        <f t="shared" si="5"/>
        <v>0</v>
      </c>
      <c r="M50" s="293" t="e">
        <f t="shared" si="6"/>
        <v>#DIV/0!</v>
      </c>
    </row>
    <row r="51" spans="1:13" ht="18.75" hidden="1" customHeight="1">
      <c r="A51" s="293" t="str">
        <f t="shared" si="2"/>
        <v>NL</v>
      </c>
      <c r="B51" s="477">
        <f t="shared" si="7"/>
        <v>34</v>
      </c>
      <c r="C51" s="843" t="s">
        <v>1201</v>
      </c>
      <c r="D51" s="296" t="s">
        <v>1168</v>
      </c>
      <c r="E51" s="25">
        <v>100</v>
      </c>
      <c r="F51" s="25">
        <v>1188900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1188900</v>
      </c>
      <c r="K51" s="25">
        <f t="shared" si="4"/>
        <v>0</v>
      </c>
      <c r="L51" s="25">
        <f t="shared" si="5"/>
        <v>0</v>
      </c>
      <c r="M51" s="293" t="e">
        <f t="shared" si="6"/>
        <v>#DIV/0!</v>
      </c>
    </row>
    <row r="52" spans="1:13" ht="18.75" hidden="1" customHeight="1">
      <c r="A52" s="293" t="str">
        <f t="shared" si="2"/>
        <v>NL</v>
      </c>
      <c r="B52" s="477">
        <f t="shared" si="7"/>
        <v>35</v>
      </c>
      <c r="C52" s="843" t="s">
        <v>1202</v>
      </c>
      <c r="D52" s="296" t="s">
        <v>1168</v>
      </c>
      <c r="E52" s="25">
        <v>690</v>
      </c>
      <c r="F52" s="25">
        <v>13723250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690</v>
      </c>
      <c r="J52" s="25">
        <f t="array" ref="J52">SUM(IF("1521"&amp;C52=KHC&amp;MH,TH))</f>
        <v>13723250</v>
      </c>
      <c r="K52" s="25">
        <f t="shared" si="4"/>
        <v>0</v>
      </c>
      <c r="L52" s="25">
        <f t="shared" si="5"/>
        <v>0</v>
      </c>
      <c r="M52" s="293" t="e">
        <f t="shared" si="6"/>
        <v>#DIV/0!</v>
      </c>
    </row>
    <row r="53" spans="1:13" ht="18.75" hidden="1" customHeight="1">
      <c r="A53" s="293" t="str">
        <f t="shared" si="2"/>
        <v>NL</v>
      </c>
      <c r="B53" s="477">
        <f t="shared" si="7"/>
        <v>36</v>
      </c>
      <c r="C53" s="843" t="s">
        <v>1203</v>
      </c>
      <c r="D53" s="296" t="s">
        <v>1168</v>
      </c>
      <c r="E53" s="25">
        <v>150</v>
      </c>
      <c r="F53" s="25">
        <v>1890900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150</v>
      </c>
      <c r="J53" s="25">
        <f t="array" ref="J53">SUM(IF("1521"&amp;C53=KHC&amp;MH,TH))</f>
        <v>1890900</v>
      </c>
      <c r="K53" s="25">
        <f t="shared" si="4"/>
        <v>0</v>
      </c>
      <c r="L53" s="25">
        <f t="shared" si="5"/>
        <v>0</v>
      </c>
      <c r="M53" s="293" t="e">
        <f t="shared" si="6"/>
        <v>#DIV/0!</v>
      </c>
    </row>
    <row r="54" spans="1:13" ht="18.75" hidden="1" customHeight="1">
      <c r="A54" s="293" t="str">
        <f t="shared" si="2"/>
        <v>NL</v>
      </c>
      <c r="B54" s="477">
        <f t="shared" si="7"/>
        <v>37</v>
      </c>
      <c r="C54" s="843" t="s">
        <v>1204</v>
      </c>
      <c r="D54" s="296" t="s">
        <v>1168</v>
      </c>
      <c r="E54" s="25">
        <v>100</v>
      </c>
      <c r="F54" s="25">
        <v>1787600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100</v>
      </c>
      <c r="J54" s="25">
        <f t="array" ref="J54">SUM(IF("1521"&amp;C54=KHC&amp;MH,TH))</f>
        <v>1787600</v>
      </c>
      <c r="K54" s="25">
        <f t="shared" si="4"/>
        <v>0</v>
      </c>
      <c r="L54" s="25">
        <f t="shared" si="5"/>
        <v>0</v>
      </c>
      <c r="M54" s="293" t="e">
        <f t="shared" si="6"/>
        <v>#DIV/0!</v>
      </c>
    </row>
    <row r="55" spans="1:13" ht="18.75" hidden="1" customHeight="1">
      <c r="A55" s="293" t="str">
        <f t="shared" si="2"/>
        <v>NL</v>
      </c>
      <c r="B55" s="477">
        <f t="shared" si="7"/>
        <v>38</v>
      </c>
      <c r="C55" s="843" t="s">
        <v>1205</v>
      </c>
      <c r="D55" s="296" t="s">
        <v>1168</v>
      </c>
      <c r="E55" s="25">
        <v>200</v>
      </c>
      <c r="F55" s="25">
        <v>2342400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200</v>
      </c>
      <c r="J55" s="25">
        <f t="array" ref="J55">SUM(IF("1521"&amp;C55=KHC&amp;MH,TH))</f>
        <v>2342400</v>
      </c>
      <c r="K55" s="25">
        <f t="shared" si="4"/>
        <v>0</v>
      </c>
      <c r="L55" s="25">
        <f t="shared" si="5"/>
        <v>0</v>
      </c>
      <c r="M55" s="293" t="e">
        <f t="shared" si="6"/>
        <v>#DIV/0!</v>
      </c>
    </row>
    <row r="56" spans="1:13" ht="18.75" hidden="1" customHeight="1">
      <c r="A56" s="293" t="str">
        <f t="shared" si="2"/>
        <v>NL</v>
      </c>
      <c r="B56" s="477">
        <f t="shared" si="7"/>
        <v>39</v>
      </c>
      <c r="C56" s="843" t="s">
        <v>1206</v>
      </c>
      <c r="D56" s="296" t="s">
        <v>1168</v>
      </c>
      <c r="E56" s="25">
        <v>360</v>
      </c>
      <c r="F56" s="25">
        <v>5860080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360</v>
      </c>
      <c r="J56" s="25">
        <f t="array" ref="J56">SUM(IF("1521"&amp;C56=KHC&amp;MH,TH))</f>
        <v>5860080</v>
      </c>
      <c r="K56" s="25">
        <f t="shared" si="4"/>
        <v>0</v>
      </c>
      <c r="L56" s="25">
        <f t="shared" si="5"/>
        <v>0</v>
      </c>
      <c r="M56" s="293" t="e">
        <f t="shared" si="6"/>
        <v>#DIV/0!</v>
      </c>
    </row>
    <row r="57" spans="1:13" ht="18.75" hidden="1" customHeight="1">
      <c r="A57" s="293" t="str">
        <f t="shared" si="2"/>
        <v>NL</v>
      </c>
      <c r="B57" s="477">
        <f t="shared" si="7"/>
        <v>40</v>
      </c>
      <c r="C57" s="843" t="s">
        <v>1207</v>
      </c>
      <c r="D57" s="296" t="s">
        <v>1168</v>
      </c>
      <c r="E57" s="25">
        <v>200</v>
      </c>
      <c r="F57" s="25">
        <v>3680400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200</v>
      </c>
      <c r="J57" s="25">
        <f t="array" ref="J57">SUM(IF("1521"&amp;C57=KHC&amp;MH,TH))</f>
        <v>3680400</v>
      </c>
      <c r="K57" s="25">
        <f t="shared" si="4"/>
        <v>0</v>
      </c>
      <c r="L57" s="25">
        <f t="shared" si="5"/>
        <v>0</v>
      </c>
      <c r="M57" s="293" t="e">
        <f t="shared" si="6"/>
        <v>#DIV/0!</v>
      </c>
    </row>
    <row r="58" spans="1:13" ht="18.75" hidden="1" customHeight="1">
      <c r="A58" s="293" t="str">
        <f t="shared" si="2"/>
        <v>NL</v>
      </c>
      <c r="B58" s="477">
        <f t="shared" si="7"/>
        <v>41</v>
      </c>
      <c r="C58" s="843" t="s">
        <v>1208</v>
      </c>
      <c r="D58" s="296" t="s">
        <v>1168</v>
      </c>
      <c r="E58" s="25">
        <v>260</v>
      </c>
      <c r="F58" s="25">
        <v>4607720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260</v>
      </c>
      <c r="J58" s="25">
        <f t="array" ref="J58">SUM(IF("1521"&amp;C58=KHC&amp;MH,TH))</f>
        <v>4607720</v>
      </c>
      <c r="K58" s="25">
        <f t="shared" si="4"/>
        <v>0</v>
      </c>
      <c r="L58" s="25">
        <f t="shared" si="5"/>
        <v>0</v>
      </c>
      <c r="M58" s="293" t="e">
        <f t="shared" si="6"/>
        <v>#DIV/0!</v>
      </c>
    </row>
    <row r="59" spans="1:13" ht="18.75" hidden="1" customHeight="1">
      <c r="A59" s="293" t="str">
        <f t="shared" si="2"/>
        <v>NL</v>
      </c>
      <c r="B59" s="477">
        <f t="shared" si="7"/>
        <v>42</v>
      </c>
      <c r="C59" s="843" t="s">
        <v>1209</v>
      </c>
      <c r="D59" s="296" t="s">
        <v>1168</v>
      </c>
      <c r="E59" s="25">
        <v>135</v>
      </c>
      <c r="F59" s="25">
        <v>2570535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135</v>
      </c>
      <c r="J59" s="25">
        <f t="array" ref="J59">SUM(IF("1521"&amp;C59=KHC&amp;MH,TH))</f>
        <v>2570535</v>
      </c>
      <c r="K59" s="25">
        <f t="shared" si="4"/>
        <v>0</v>
      </c>
      <c r="L59" s="25">
        <f t="shared" si="5"/>
        <v>0</v>
      </c>
      <c r="M59" s="293" t="e">
        <f t="shared" si="6"/>
        <v>#DIV/0!</v>
      </c>
    </row>
    <row r="60" spans="1:13" ht="18.75" hidden="1" customHeight="1">
      <c r="A60" s="293" t="str">
        <f t="shared" si="2"/>
        <v>NL</v>
      </c>
      <c r="B60" s="477">
        <f t="shared" si="7"/>
        <v>43</v>
      </c>
      <c r="C60" s="843" t="s">
        <v>1210</v>
      </c>
      <c r="D60" s="296" t="s">
        <v>1168</v>
      </c>
      <c r="E60" s="25">
        <v>120</v>
      </c>
      <c r="F60" s="25">
        <v>2791440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120</v>
      </c>
      <c r="J60" s="25">
        <f t="array" ref="J60">SUM(IF("1521"&amp;C60=KHC&amp;MH,TH))</f>
        <v>2791440</v>
      </c>
      <c r="K60" s="25">
        <f t="shared" si="4"/>
        <v>0</v>
      </c>
      <c r="L60" s="25">
        <f t="shared" si="5"/>
        <v>0</v>
      </c>
      <c r="M60" s="293" t="e">
        <f t="shared" si="6"/>
        <v>#DIV/0!</v>
      </c>
    </row>
    <row r="61" spans="1:13" ht="18.75" hidden="1" customHeight="1">
      <c r="A61" s="293" t="str">
        <f t="shared" si="2"/>
        <v>NL</v>
      </c>
      <c r="B61" s="477">
        <f t="shared" si="7"/>
        <v>44</v>
      </c>
      <c r="C61" s="843" t="s">
        <v>1211</v>
      </c>
      <c r="D61" s="296" t="s">
        <v>1168</v>
      </c>
      <c r="E61" s="25">
        <v>130</v>
      </c>
      <c r="F61" s="25">
        <v>3052010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130</v>
      </c>
      <c r="J61" s="25">
        <f t="array" ref="J61">SUM(IF("1521"&amp;C61=KHC&amp;MH,TH))</f>
        <v>3052010</v>
      </c>
      <c r="K61" s="25">
        <f t="shared" si="4"/>
        <v>0</v>
      </c>
      <c r="L61" s="25">
        <f t="shared" si="5"/>
        <v>0</v>
      </c>
      <c r="M61" s="293" t="e">
        <f t="shared" si="6"/>
        <v>#DIV/0!</v>
      </c>
    </row>
    <row r="62" spans="1:13" ht="18.75" hidden="1" customHeight="1">
      <c r="A62" s="293" t="str">
        <f t="shared" si="2"/>
        <v>NL</v>
      </c>
      <c r="B62" s="477">
        <f t="shared" si="7"/>
        <v>45</v>
      </c>
      <c r="C62" s="843" t="s">
        <v>1212</v>
      </c>
      <c r="D62" s="296" t="s">
        <v>1168</v>
      </c>
      <c r="E62" s="25">
        <v>200</v>
      </c>
      <c r="F62" s="25">
        <v>3123600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200</v>
      </c>
      <c r="J62" s="25">
        <f t="array" ref="J62">SUM(IF("1521"&amp;C62=KHC&amp;MH,TH))</f>
        <v>3123600</v>
      </c>
      <c r="K62" s="25">
        <f t="shared" si="4"/>
        <v>0</v>
      </c>
      <c r="L62" s="25">
        <f t="shared" si="5"/>
        <v>0</v>
      </c>
      <c r="M62" s="293" t="e">
        <f t="shared" si="6"/>
        <v>#DIV/0!</v>
      </c>
    </row>
    <row r="63" spans="1:13" ht="18.75" hidden="1" customHeight="1">
      <c r="A63" s="293" t="str">
        <f t="shared" si="2"/>
        <v>NL</v>
      </c>
      <c r="B63" s="477">
        <f t="shared" si="7"/>
        <v>46</v>
      </c>
      <c r="C63" s="843" t="s">
        <v>1213</v>
      </c>
      <c r="D63" s="296" t="s">
        <v>1168</v>
      </c>
      <c r="E63" s="25">
        <v>50</v>
      </c>
      <c r="F63" s="25">
        <v>1088100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50</v>
      </c>
      <c r="J63" s="25">
        <f t="array" ref="J63">SUM(IF("1521"&amp;C63=KHC&amp;MH,TH))</f>
        <v>1088100</v>
      </c>
      <c r="K63" s="25">
        <f t="shared" si="4"/>
        <v>0</v>
      </c>
      <c r="L63" s="25">
        <f t="shared" si="5"/>
        <v>0</v>
      </c>
      <c r="M63" s="293" t="e">
        <f t="shared" si="6"/>
        <v>#DIV/0!</v>
      </c>
    </row>
    <row r="64" spans="1:13" ht="18.75" hidden="1" customHeight="1">
      <c r="A64" s="293" t="str">
        <f t="shared" si="2"/>
        <v>NL</v>
      </c>
      <c r="B64" s="477">
        <f t="shared" si="7"/>
        <v>47</v>
      </c>
      <c r="C64" s="843" t="s">
        <v>1214</v>
      </c>
      <c r="D64" s="296" t="s">
        <v>1168</v>
      </c>
      <c r="E64" s="25">
        <v>100</v>
      </c>
      <c r="F64" s="25">
        <v>1275700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100</v>
      </c>
      <c r="J64" s="25">
        <f t="array" ref="J64">SUM(IF("1521"&amp;C64=KHC&amp;MH,TH))</f>
        <v>1275700</v>
      </c>
      <c r="K64" s="25">
        <f t="shared" si="4"/>
        <v>0</v>
      </c>
      <c r="L64" s="25">
        <f t="shared" si="5"/>
        <v>0</v>
      </c>
      <c r="M64" s="293" t="e">
        <f t="shared" si="6"/>
        <v>#DIV/0!</v>
      </c>
    </row>
    <row r="65" spans="1:13" ht="18.75" hidden="1" customHeight="1">
      <c r="A65" s="293" t="str">
        <f t="shared" si="2"/>
        <v>NL</v>
      </c>
      <c r="B65" s="477">
        <f t="shared" si="7"/>
        <v>48</v>
      </c>
      <c r="C65" s="843" t="s">
        <v>1215</v>
      </c>
      <c r="D65" s="296" t="s">
        <v>1168</v>
      </c>
      <c r="E65" s="25">
        <v>100</v>
      </c>
      <c r="F65" s="25">
        <v>1281400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100</v>
      </c>
      <c r="J65" s="25">
        <f t="array" ref="J65">SUM(IF("1521"&amp;C65=KHC&amp;MH,TH))</f>
        <v>1281400</v>
      </c>
      <c r="K65" s="25">
        <f t="shared" si="4"/>
        <v>0</v>
      </c>
      <c r="L65" s="25">
        <f t="shared" si="5"/>
        <v>0</v>
      </c>
      <c r="M65" s="293" t="e">
        <f t="shared" si="6"/>
        <v>#DIV/0!</v>
      </c>
    </row>
    <row r="66" spans="1:13" ht="18.75" hidden="1" customHeight="1">
      <c r="A66" s="293" t="str">
        <f t="shared" si="2"/>
        <v>NL</v>
      </c>
      <c r="B66" s="477">
        <f t="shared" si="7"/>
        <v>49</v>
      </c>
      <c r="C66" s="843" t="s">
        <v>1216</v>
      </c>
      <c r="D66" s="296" t="s">
        <v>1168</v>
      </c>
      <c r="E66" s="25">
        <v>134</v>
      </c>
      <c r="F66" s="25">
        <v>2328384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134</v>
      </c>
      <c r="J66" s="25">
        <f t="array" ref="J66">SUM(IF("1521"&amp;C66=KHC&amp;MH,TH))</f>
        <v>2328384</v>
      </c>
      <c r="K66" s="25">
        <f t="shared" si="4"/>
        <v>0</v>
      </c>
      <c r="L66" s="25">
        <f t="shared" si="5"/>
        <v>0</v>
      </c>
      <c r="M66" s="293" t="e">
        <f t="shared" si="6"/>
        <v>#DIV/0!</v>
      </c>
    </row>
    <row r="67" spans="1:13" ht="18.75" hidden="1" customHeight="1">
      <c r="A67" s="293" t="str">
        <f t="shared" si="2"/>
        <v>NL</v>
      </c>
      <c r="B67" s="477">
        <f t="shared" si="7"/>
        <v>50</v>
      </c>
      <c r="C67" s="843" t="s">
        <v>1217</v>
      </c>
      <c r="D67" s="296" t="s">
        <v>1168</v>
      </c>
      <c r="E67" s="25">
        <v>680</v>
      </c>
      <c r="F67" s="25">
        <v>4898720</v>
      </c>
      <c r="G67" s="25">
        <f t="array" ref="G67">SUM(IF("1521"&amp;C67=KHN&amp;MH,SL))</f>
        <v>0</v>
      </c>
      <c r="H67" s="25">
        <f t="array" ref="H67">SUM(IF("1521"&amp;C67=KHN&amp;MH,TH))</f>
        <v>0</v>
      </c>
      <c r="I67" s="25">
        <f t="array" ref="I67">SUM(IF("1521"&amp;C67=KHC&amp;MH,SL))</f>
        <v>680</v>
      </c>
      <c r="J67" s="25">
        <f t="array" ref="J67">SUM(IF("1521"&amp;C67=KHC&amp;MH,TH))</f>
        <v>4898720</v>
      </c>
      <c r="K67" s="25">
        <f t="shared" si="4"/>
        <v>0</v>
      </c>
      <c r="L67" s="25">
        <f t="shared" si="5"/>
        <v>0</v>
      </c>
      <c r="M67" s="293" t="e">
        <f t="shared" si="6"/>
        <v>#DIV/0!</v>
      </c>
    </row>
    <row r="68" spans="1:13" ht="18.75" hidden="1" customHeight="1">
      <c r="A68" s="293" t="str">
        <f t="shared" si="2"/>
        <v>NL</v>
      </c>
      <c r="B68" s="477">
        <f t="shared" si="7"/>
        <v>51</v>
      </c>
      <c r="C68" s="843" t="s">
        <v>1218</v>
      </c>
      <c r="D68" s="296" t="s">
        <v>1168</v>
      </c>
      <c r="E68" s="25">
        <v>200</v>
      </c>
      <c r="F68" s="25">
        <v>885800</v>
      </c>
      <c r="G68" s="25">
        <f t="array" ref="G68">SUM(IF("1521"&amp;C68=KHN&amp;MH,SL))</f>
        <v>0</v>
      </c>
      <c r="H68" s="25">
        <f t="array" ref="H68">SUM(IF("1521"&amp;C68=KHN&amp;MH,TH))</f>
        <v>0</v>
      </c>
      <c r="I68" s="25">
        <f t="array" ref="I68">SUM(IF("1521"&amp;C68=KHC&amp;MH,SL))</f>
        <v>200</v>
      </c>
      <c r="J68" s="25">
        <f t="array" ref="J68">SUM(IF("1521"&amp;C68=KHC&amp;MH,TH))</f>
        <v>885800</v>
      </c>
      <c r="K68" s="25">
        <f t="shared" si="4"/>
        <v>0</v>
      </c>
      <c r="L68" s="25">
        <f t="shared" si="5"/>
        <v>0</v>
      </c>
      <c r="M68" s="293" t="e">
        <f t="shared" si="6"/>
        <v>#DIV/0!</v>
      </c>
    </row>
    <row r="69" spans="1:13" ht="18.75" hidden="1" customHeight="1">
      <c r="A69" s="293" t="str">
        <f t="shared" si="2"/>
        <v>NL</v>
      </c>
      <c r="B69" s="477">
        <f t="shared" si="7"/>
        <v>52</v>
      </c>
      <c r="C69" s="843" t="s">
        <v>1219</v>
      </c>
      <c r="D69" s="296" t="s">
        <v>1168</v>
      </c>
      <c r="E69" s="25">
        <v>300</v>
      </c>
      <c r="F69" s="25">
        <v>3090600</v>
      </c>
      <c r="G69" s="25">
        <f t="array" ref="G69">SUM(IF("1521"&amp;C69=KHN&amp;MH,SL))</f>
        <v>0</v>
      </c>
      <c r="H69" s="25">
        <f t="array" ref="H69">SUM(IF("1521"&amp;C69=KHN&amp;MH,TH))</f>
        <v>0</v>
      </c>
      <c r="I69" s="25">
        <f t="array" ref="I69">SUM(IF("1521"&amp;C69=KHC&amp;MH,SL))</f>
        <v>300</v>
      </c>
      <c r="J69" s="25">
        <f t="array" ref="J69">SUM(IF("1521"&amp;C69=KHC&amp;MH,TH))</f>
        <v>3090600</v>
      </c>
      <c r="K69" s="25">
        <f t="shared" si="4"/>
        <v>0</v>
      </c>
      <c r="L69" s="25">
        <f t="shared" si="5"/>
        <v>0</v>
      </c>
      <c r="M69" s="293" t="e">
        <f t="shared" si="6"/>
        <v>#DIV/0!</v>
      </c>
    </row>
    <row r="70" spans="1:13" ht="18.75" hidden="1" customHeight="1">
      <c r="A70" s="293" t="str">
        <f t="shared" si="2"/>
        <v>NL</v>
      </c>
      <c r="B70" s="477">
        <f t="shared" si="7"/>
        <v>53</v>
      </c>
      <c r="C70" s="843" t="s">
        <v>1220</v>
      </c>
      <c r="D70" s="296" t="s">
        <v>1168</v>
      </c>
      <c r="E70" s="25">
        <v>100</v>
      </c>
      <c r="F70" s="25">
        <v>1173000</v>
      </c>
      <c r="G70" s="25">
        <f t="array" ref="G70">SUM(IF("1521"&amp;C70=KHN&amp;MH,SL))</f>
        <v>0</v>
      </c>
      <c r="H70" s="25">
        <f t="array" ref="H70">SUM(IF("1521"&amp;C70=KHN&amp;MH,TH))</f>
        <v>0</v>
      </c>
      <c r="I70" s="25">
        <f t="array" ref="I70">SUM(IF("1521"&amp;C70=KHC&amp;MH,SL))</f>
        <v>100</v>
      </c>
      <c r="J70" s="25">
        <f t="array" ref="J70">SUM(IF("1521"&amp;C70=KHC&amp;MH,TH))</f>
        <v>1173000</v>
      </c>
      <c r="K70" s="25">
        <f t="shared" si="4"/>
        <v>0</v>
      </c>
      <c r="L70" s="25">
        <f t="shared" si="5"/>
        <v>0</v>
      </c>
      <c r="M70" s="293" t="e">
        <f t="shared" si="6"/>
        <v>#DIV/0!</v>
      </c>
    </row>
    <row r="71" spans="1:13" ht="18.75" hidden="1" customHeight="1">
      <c r="A71" s="293" t="str">
        <f t="shared" si="2"/>
        <v>NL</v>
      </c>
      <c r="B71" s="477">
        <f t="shared" si="7"/>
        <v>54</v>
      </c>
      <c r="C71" s="843" t="s">
        <v>1221</v>
      </c>
      <c r="D71" s="296" t="s">
        <v>1168</v>
      </c>
      <c r="E71" s="25">
        <v>250</v>
      </c>
      <c r="F71" s="25">
        <v>4393500</v>
      </c>
      <c r="G71" s="25">
        <f t="array" ref="G71">SUM(IF("1521"&amp;C71=KHN&amp;MH,SL))</f>
        <v>0</v>
      </c>
      <c r="H71" s="25">
        <f t="array" ref="H71">SUM(IF("1521"&amp;C71=KHN&amp;MH,TH))</f>
        <v>0</v>
      </c>
      <c r="I71" s="25">
        <f t="array" ref="I71">SUM(IF("1521"&amp;C71=KHC&amp;MH,SL))</f>
        <v>250</v>
      </c>
      <c r="J71" s="25">
        <f t="array" ref="J71">SUM(IF("1521"&amp;C71=KHC&amp;MH,TH))</f>
        <v>4393500</v>
      </c>
      <c r="K71" s="25">
        <f t="shared" si="4"/>
        <v>0</v>
      </c>
      <c r="L71" s="25">
        <f t="shared" si="5"/>
        <v>0</v>
      </c>
      <c r="M71" s="293" t="e">
        <f t="shared" si="6"/>
        <v>#DIV/0!</v>
      </c>
    </row>
    <row r="72" spans="1:13" ht="18.75" hidden="1" customHeight="1">
      <c r="A72" s="293" t="str">
        <f t="shared" si="2"/>
        <v>NL</v>
      </c>
      <c r="B72" s="477">
        <f t="shared" si="7"/>
        <v>55</v>
      </c>
      <c r="C72" s="843" t="s">
        <v>1222</v>
      </c>
      <c r="D72" s="296" t="s">
        <v>1168</v>
      </c>
      <c r="E72" s="25">
        <v>290</v>
      </c>
      <c r="F72" s="25">
        <v>3501392</v>
      </c>
      <c r="G72" s="25">
        <f t="array" ref="G72">SUM(IF("1521"&amp;C72=KHN&amp;MH,SL))</f>
        <v>0</v>
      </c>
      <c r="H72" s="25">
        <f t="array" ref="H72">SUM(IF("1521"&amp;C72=KHN&amp;MH,TH))</f>
        <v>0</v>
      </c>
      <c r="I72" s="25">
        <f t="array" ref="I72">SUM(IF("1521"&amp;C72=KHC&amp;MH,SL))</f>
        <v>290</v>
      </c>
      <c r="J72" s="25">
        <f t="array" ref="J72">SUM(IF("1521"&amp;C72=KHC&amp;MH,TH))</f>
        <v>3501392</v>
      </c>
      <c r="K72" s="25">
        <f t="shared" si="4"/>
        <v>0</v>
      </c>
      <c r="L72" s="25">
        <f t="shared" si="5"/>
        <v>0</v>
      </c>
      <c r="M72" s="293" t="e">
        <f t="shared" si="6"/>
        <v>#DIV/0!</v>
      </c>
    </row>
    <row r="73" spans="1:13" ht="18.75" hidden="1" customHeight="1">
      <c r="A73" s="293" t="str">
        <f t="shared" si="2"/>
        <v>NL</v>
      </c>
      <c r="B73" s="477">
        <f t="shared" si="7"/>
        <v>56</v>
      </c>
      <c r="C73" s="843" t="s">
        <v>1223</v>
      </c>
      <c r="D73" s="296" t="s">
        <v>1168</v>
      </c>
      <c r="E73" s="25">
        <v>3600</v>
      </c>
      <c r="F73" s="25">
        <v>38790000</v>
      </c>
      <c r="G73" s="25">
        <f t="array" ref="G73">SUM(IF("1521"&amp;C73=KHN&amp;MH,SL))</f>
        <v>0</v>
      </c>
      <c r="H73" s="25">
        <f t="array" ref="H73">SUM(IF("1521"&amp;C73=KHN&amp;MH,TH))</f>
        <v>0</v>
      </c>
      <c r="I73" s="25">
        <f t="array" ref="I73">SUM(IF("1521"&amp;C73=KHC&amp;MH,SL))</f>
        <v>3600</v>
      </c>
      <c r="J73" s="25">
        <f t="array" ref="J73">SUM(IF("1521"&amp;C73=KHC&amp;MH,TH))</f>
        <v>38790000</v>
      </c>
      <c r="K73" s="25">
        <f t="shared" si="4"/>
        <v>0</v>
      </c>
      <c r="L73" s="25">
        <f t="shared" si="5"/>
        <v>0</v>
      </c>
      <c r="M73" s="293" t="e">
        <f t="shared" si="6"/>
        <v>#DIV/0!</v>
      </c>
    </row>
    <row r="74" spans="1:13" ht="18.75" hidden="1" customHeight="1">
      <c r="A74" s="293" t="str">
        <f t="shared" si="2"/>
        <v>NL</v>
      </c>
      <c r="B74" s="477">
        <f t="shared" si="7"/>
        <v>57</v>
      </c>
      <c r="C74" s="843" t="s">
        <v>1224</v>
      </c>
      <c r="D74" s="296" t="s">
        <v>1168</v>
      </c>
      <c r="E74" s="25">
        <v>240</v>
      </c>
      <c r="F74" s="25">
        <v>4788000</v>
      </c>
      <c r="G74" s="25">
        <f t="array" ref="G74">SUM(IF("1521"&amp;C74=KHN&amp;MH,SL))</f>
        <v>0</v>
      </c>
      <c r="H74" s="25">
        <f t="array" ref="H74">SUM(IF("1521"&amp;C74=KHN&amp;MH,TH))</f>
        <v>0</v>
      </c>
      <c r="I74" s="25">
        <f t="array" ref="I74">SUM(IF("1521"&amp;C74=KHC&amp;MH,SL))</f>
        <v>240</v>
      </c>
      <c r="J74" s="25">
        <f t="array" ref="J74">SUM(IF("1521"&amp;C74=KHC&amp;MH,TH))</f>
        <v>4788000</v>
      </c>
      <c r="K74" s="25">
        <f t="shared" si="4"/>
        <v>0</v>
      </c>
      <c r="L74" s="25">
        <f t="shared" si="5"/>
        <v>0</v>
      </c>
      <c r="M74" s="293" t="e">
        <f t="shared" si="6"/>
        <v>#DIV/0!</v>
      </c>
    </row>
    <row r="75" spans="1:13" ht="18.75" hidden="1" customHeight="1">
      <c r="A75" s="293" t="str">
        <f t="shared" si="2"/>
        <v>NL</v>
      </c>
      <c r="B75" s="477">
        <f t="shared" si="7"/>
        <v>58</v>
      </c>
      <c r="C75" s="843" t="s">
        <v>1225</v>
      </c>
      <c r="D75" s="296" t="s">
        <v>1168</v>
      </c>
      <c r="E75" s="25">
        <v>340</v>
      </c>
      <c r="F75" s="25">
        <v>5402260</v>
      </c>
      <c r="G75" s="25">
        <f t="array" ref="G75">SUM(IF("1521"&amp;C75=KHN&amp;MH,SL))</f>
        <v>0</v>
      </c>
      <c r="H75" s="25">
        <f t="array" ref="H75">SUM(IF("1521"&amp;C75=KHN&amp;MH,TH))</f>
        <v>0</v>
      </c>
      <c r="I75" s="25">
        <f t="array" ref="I75">SUM(IF("1521"&amp;C75=KHC&amp;MH,SL))</f>
        <v>340</v>
      </c>
      <c r="J75" s="25">
        <f t="array" ref="J75">SUM(IF("1521"&amp;C75=KHC&amp;MH,TH))</f>
        <v>5402260</v>
      </c>
      <c r="K75" s="25">
        <f t="shared" si="4"/>
        <v>0</v>
      </c>
      <c r="L75" s="25">
        <f t="shared" si="5"/>
        <v>0</v>
      </c>
      <c r="M75" s="293" t="e">
        <f t="shared" si="6"/>
        <v>#DIV/0!</v>
      </c>
    </row>
    <row r="76" spans="1:13" ht="18.75" hidden="1" customHeight="1">
      <c r="A76" s="293" t="str">
        <f t="shared" si="2"/>
        <v>NL</v>
      </c>
      <c r="B76" s="477">
        <f t="shared" si="7"/>
        <v>59</v>
      </c>
      <c r="C76" s="843" t="s">
        <v>1226</v>
      </c>
      <c r="D76" s="296" t="s">
        <v>1168</v>
      </c>
      <c r="E76" s="25">
        <v>480</v>
      </c>
      <c r="F76" s="25">
        <v>6706080</v>
      </c>
      <c r="G76" s="25">
        <f t="array" ref="G76">SUM(IF("1521"&amp;C76=KHN&amp;MH,SL))</f>
        <v>0</v>
      </c>
      <c r="H76" s="25">
        <f t="array" ref="H76">SUM(IF("1521"&amp;C76=KHN&amp;MH,TH))</f>
        <v>0</v>
      </c>
      <c r="I76" s="25">
        <f t="array" ref="I76">SUM(IF("1521"&amp;C76=KHC&amp;MH,SL))</f>
        <v>480</v>
      </c>
      <c r="J76" s="25">
        <f t="array" ref="J76">SUM(IF("1521"&amp;C76=KHC&amp;MH,TH))</f>
        <v>6706080</v>
      </c>
      <c r="K76" s="25">
        <f t="shared" si="4"/>
        <v>0</v>
      </c>
      <c r="L76" s="25">
        <f t="shared" si="5"/>
        <v>0</v>
      </c>
      <c r="M76" s="293" t="e">
        <f t="shared" si="6"/>
        <v>#DIV/0!</v>
      </c>
    </row>
    <row r="77" spans="1:13" ht="18.75" hidden="1" customHeight="1">
      <c r="A77" s="293" t="str">
        <f t="shared" si="2"/>
        <v>NL</v>
      </c>
      <c r="B77" s="477">
        <f t="shared" si="7"/>
        <v>60</v>
      </c>
      <c r="C77" s="843" t="s">
        <v>1227</v>
      </c>
      <c r="D77" s="296" t="s">
        <v>1168</v>
      </c>
      <c r="E77" s="25">
        <v>1250</v>
      </c>
      <c r="F77" s="25">
        <v>17498750</v>
      </c>
      <c r="G77" s="25">
        <f t="array" ref="G77">SUM(IF("1521"&amp;C77=KHN&amp;MH,SL))</f>
        <v>0</v>
      </c>
      <c r="H77" s="25">
        <f t="array" ref="H77">SUM(IF("1521"&amp;C77=KHN&amp;MH,TH))</f>
        <v>0</v>
      </c>
      <c r="I77" s="25">
        <f t="array" ref="I77">SUM(IF("1521"&amp;C77=KHC&amp;MH,SL))</f>
        <v>1250</v>
      </c>
      <c r="J77" s="25">
        <f t="array" ref="J77">SUM(IF("1521"&amp;C77=KHC&amp;MH,TH))</f>
        <v>17498750</v>
      </c>
      <c r="K77" s="25">
        <f t="shared" si="4"/>
        <v>0</v>
      </c>
      <c r="L77" s="25">
        <f t="shared" si="5"/>
        <v>0</v>
      </c>
      <c r="M77" s="293" t="e">
        <f t="shared" si="6"/>
        <v>#DIV/0!</v>
      </c>
    </row>
    <row r="78" spans="1:13" ht="18.75" hidden="1" customHeight="1">
      <c r="A78" s="293" t="str">
        <f t="shared" si="2"/>
        <v>NL</v>
      </c>
      <c r="B78" s="477">
        <f t="shared" si="7"/>
        <v>61</v>
      </c>
      <c r="C78" s="843" t="s">
        <v>1228</v>
      </c>
      <c r="D78" s="296" t="s">
        <v>1168</v>
      </c>
      <c r="E78" s="25">
        <v>100</v>
      </c>
      <c r="F78" s="25">
        <v>1666500</v>
      </c>
      <c r="G78" s="25">
        <f t="array" ref="G78">SUM(IF("1521"&amp;C78=KHN&amp;MH,SL))</f>
        <v>0</v>
      </c>
      <c r="H78" s="25">
        <f t="array" ref="H78">SUM(IF("1521"&amp;C78=KHN&amp;MH,TH))</f>
        <v>0</v>
      </c>
      <c r="I78" s="25">
        <f t="array" ref="I78">SUM(IF("1521"&amp;C78=KHC&amp;MH,SL))</f>
        <v>100</v>
      </c>
      <c r="J78" s="25">
        <f t="array" ref="J78">SUM(IF("1521"&amp;C78=KHC&amp;MH,TH))</f>
        <v>1666500</v>
      </c>
      <c r="K78" s="25">
        <f t="shared" si="4"/>
        <v>0</v>
      </c>
      <c r="L78" s="25">
        <f t="shared" si="5"/>
        <v>0</v>
      </c>
      <c r="M78" s="293" t="e">
        <f t="shared" si="6"/>
        <v>#DIV/0!</v>
      </c>
    </row>
    <row r="79" spans="1:13" ht="18.75" hidden="1" customHeight="1">
      <c r="A79" s="293" t="str">
        <f t="shared" si="2"/>
        <v>NL</v>
      </c>
      <c r="B79" s="477">
        <f t="shared" si="7"/>
        <v>62</v>
      </c>
      <c r="C79" s="843" t="s">
        <v>1229</v>
      </c>
      <c r="D79" s="296" t="s">
        <v>1168</v>
      </c>
      <c r="E79" s="25">
        <v>129</v>
      </c>
      <c r="F79" s="25">
        <v>1531617</v>
      </c>
      <c r="G79" s="25">
        <f t="array" ref="G79">SUM(IF("1521"&amp;C79=KHN&amp;MH,SL))</f>
        <v>0</v>
      </c>
      <c r="H79" s="25">
        <f t="array" ref="H79">SUM(IF("1521"&amp;C79=KHN&amp;MH,TH))</f>
        <v>0</v>
      </c>
      <c r="I79" s="25">
        <f t="array" ref="I79">SUM(IF("1521"&amp;C79=KHC&amp;MH,SL))</f>
        <v>129</v>
      </c>
      <c r="J79" s="25">
        <f t="array" ref="J79">SUM(IF("1521"&amp;C79=KHC&amp;MH,TH))</f>
        <v>1531617</v>
      </c>
      <c r="K79" s="25">
        <f>E79+G79-I79</f>
        <v>0</v>
      </c>
      <c r="L79" s="25">
        <f t="shared" si="5"/>
        <v>0</v>
      </c>
      <c r="M79" s="293" t="e">
        <f t="shared" si="6"/>
        <v>#DIV/0!</v>
      </c>
    </row>
    <row r="80" spans="1:13" ht="18.75" hidden="1" customHeight="1">
      <c r="A80" s="293" t="str">
        <f t="shared" si="2"/>
        <v>NL</v>
      </c>
      <c r="B80" s="477">
        <f t="shared" si="7"/>
        <v>63</v>
      </c>
      <c r="C80" s="843" t="s">
        <v>1230</v>
      </c>
      <c r="D80" s="296" t="s">
        <v>1168</v>
      </c>
      <c r="E80" s="25">
        <v>2872</v>
      </c>
      <c r="F80" s="25">
        <v>64048472</v>
      </c>
      <c r="G80" s="25">
        <f t="array" ref="G80">SUM(IF("1521"&amp;C80=KHN&amp;MH,SL))</f>
        <v>0</v>
      </c>
      <c r="H80" s="25">
        <f t="array" ref="H80">SUM(IF("1521"&amp;C80=KHN&amp;MH,TH))</f>
        <v>0</v>
      </c>
      <c r="I80" s="25">
        <f t="array" ref="I80">SUM(IF("1521"&amp;C80=KHC&amp;MH,SL))</f>
        <v>2872</v>
      </c>
      <c r="J80" s="25">
        <f t="array" ref="J80">SUM(IF("1521"&amp;C80=KHC&amp;MH,TH))</f>
        <v>64048472</v>
      </c>
      <c r="K80" s="25">
        <f t="shared" si="4"/>
        <v>0</v>
      </c>
      <c r="L80" s="25">
        <f t="shared" si="5"/>
        <v>0</v>
      </c>
      <c r="M80" s="293" t="e">
        <f t="shared" si="6"/>
        <v>#DIV/0!</v>
      </c>
    </row>
    <row r="81" spans="1:13" ht="18.75" hidden="1" customHeight="1">
      <c r="A81" s="293" t="str">
        <f t="shared" si="2"/>
        <v>NL</v>
      </c>
      <c r="B81" s="477">
        <f t="shared" si="7"/>
        <v>64</v>
      </c>
      <c r="C81" s="843" t="s">
        <v>1231</v>
      </c>
      <c r="D81" s="296" t="s">
        <v>1168</v>
      </c>
      <c r="E81" s="25">
        <v>90</v>
      </c>
      <c r="F81" s="25">
        <v>1003500</v>
      </c>
      <c r="G81" s="25">
        <f t="array" ref="G81">SUM(IF("1521"&amp;C81=KHN&amp;MH,SL))</f>
        <v>0</v>
      </c>
      <c r="H81" s="25">
        <f t="array" ref="H81">SUM(IF("1521"&amp;C81=KHN&amp;MH,TH))</f>
        <v>0</v>
      </c>
      <c r="I81" s="25">
        <f t="array" ref="I81">SUM(IF("1521"&amp;C81=KHC&amp;MH,SL))</f>
        <v>90</v>
      </c>
      <c r="J81" s="25">
        <f t="array" ref="J81">SUM(IF("1521"&amp;C81=KHC&amp;MH,TH))</f>
        <v>1003500</v>
      </c>
      <c r="K81" s="25">
        <f t="shared" si="4"/>
        <v>0</v>
      </c>
      <c r="L81" s="25">
        <f t="shared" si="5"/>
        <v>0</v>
      </c>
      <c r="M81" s="293" t="e">
        <f t="shared" si="6"/>
        <v>#DIV/0!</v>
      </c>
    </row>
    <row r="82" spans="1:13" ht="18.75" hidden="1" customHeight="1">
      <c r="A82" s="293" t="str">
        <f t="shared" ref="A82:A132" si="8">IF(B82&lt;&gt;"","NL","")</f>
        <v>NL</v>
      </c>
      <c r="B82" s="477">
        <f t="shared" ref="B82:B113" si="9">IF(C82&lt;&gt;"",ROW()-17,"")</f>
        <v>65</v>
      </c>
      <c r="C82" s="843" t="s">
        <v>1232</v>
      </c>
      <c r="D82" s="296" t="s">
        <v>1168</v>
      </c>
      <c r="E82" s="25">
        <v>150</v>
      </c>
      <c r="F82" s="25">
        <v>1895250</v>
      </c>
      <c r="G82" s="25">
        <f t="array" ref="G82">SUM(IF("1521"&amp;C82=KHN&amp;MH,SL))</f>
        <v>0</v>
      </c>
      <c r="H82" s="25">
        <f t="array" ref="H82">SUM(IF("1521"&amp;C82=KHN&amp;MH,TH))</f>
        <v>0</v>
      </c>
      <c r="I82" s="25">
        <f t="array" ref="I82">SUM(IF("1521"&amp;C82=KHC&amp;MH,SL))</f>
        <v>150</v>
      </c>
      <c r="J82" s="25">
        <f t="array" ref="J82">SUM(IF("1521"&amp;C82=KHC&amp;MH,TH))</f>
        <v>1895250</v>
      </c>
      <c r="K82" s="25">
        <f t="shared" ref="K82:K132" si="10">E82+G82-I82</f>
        <v>0</v>
      </c>
      <c r="L82" s="25">
        <f t="shared" ref="L82:L132" si="11">F82+H82-J82</f>
        <v>0</v>
      </c>
      <c r="M82" s="293" t="e">
        <f t="shared" si="6"/>
        <v>#DIV/0!</v>
      </c>
    </row>
    <row r="83" spans="1:13" ht="18.75" hidden="1" customHeight="1">
      <c r="A83" s="293" t="str">
        <f t="shared" si="8"/>
        <v>NL</v>
      </c>
      <c r="B83" s="477">
        <f t="shared" si="9"/>
        <v>66</v>
      </c>
      <c r="C83" s="843" t="s">
        <v>1233</v>
      </c>
      <c r="D83" s="296" t="s">
        <v>1168</v>
      </c>
      <c r="E83" s="25">
        <v>350</v>
      </c>
      <c r="F83" s="25">
        <v>5482750</v>
      </c>
      <c r="G83" s="25">
        <f t="array" ref="G83">SUM(IF("1521"&amp;C83=KHN&amp;MH,SL))</f>
        <v>0</v>
      </c>
      <c r="H83" s="25">
        <f t="array" ref="H83">SUM(IF("1521"&amp;C83=KHN&amp;MH,TH))</f>
        <v>0</v>
      </c>
      <c r="I83" s="25">
        <f t="array" ref="I83">SUM(IF("1521"&amp;C83=KHC&amp;MH,SL))</f>
        <v>350</v>
      </c>
      <c r="J83" s="25">
        <f t="array" ref="J83">SUM(IF("1521"&amp;C83=KHC&amp;MH,TH))</f>
        <v>5482750</v>
      </c>
      <c r="K83" s="25">
        <f t="shared" si="10"/>
        <v>0</v>
      </c>
      <c r="L83" s="25">
        <f t="shared" si="11"/>
        <v>0</v>
      </c>
      <c r="M83" s="293" t="e">
        <f t="shared" ref="M83:M146" si="12">L83/K83</f>
        <v>#DIV/0!</v>
      </c>
    </row>
    <row r="84" spans="1:13" ht="18.75" hidden="1" customHeight="1">
      <c r="A84" s="293" t="str">
        <f t="shared" si="8"/>
        <v>NL</v>
      </c>
      <c r="B84" s="477">
        <f t="shared" si="9"/>
        <v>67</v>
      </c>
      <c r="C84" s="843" t="s">
        <v>1234</v>
      </c>
      <c r="D84" s="296" t="s">
        <v>1168</v>
      </c>
      <c r="E84" s="25">
        <v>1956</v>
      </c>
      <c r="F84" s="25">
        <v>35806536</v>
      </c>
      <c r="G84" s="25">
        <f t="array" ref="G84">SUM(IF("1521"&amp;C84=KHN&amp;MH,SL))</f>
        <v>0</v>
      </c>
      <c r="H84" s="25">
        <f t="array" ref="H84">SUM(IF("1521"&amp;C84=KHN&amp;MH,TH))</f>
        <v>0</v>
      </c>
      <c r="I84" s="25">
        <f t="array" ref="I84">SUM(IF("1521"&amp;C84=KHC&amp;MH,SL))</f>
        <v>1956</v>
      </c>
      <c r="J84" s="25">
        <f t="array" ref="J84">SUM(IF("1521"&amp;C84=KHC&amp;MH,TH))</f>
        <v>35806536</v>
      </c>
      <c r="K84" s="25">
        <f t="shared" si="10"/>
        <v>0</v>
      </c>
      <c r="L84" s="25">
        <f t="shared" si="11"/>
        <v>0</v>
      </c>
      <c r="M84" s="293" t="e">
        <f t="shared" si="12"/>
        <v>#DIV/0!</v>
      </c>
    </row>
    <row r="85" spans="1:13" ht="18.75" hidden="1" customHeight="1">
      <c r="A85" s="293" t="str">
        <f t="shared" si="8"/>
        <v>NL</v>
      </c>
      <c r="B85" s="477">
        <f t="shared" si="9"/>
        <v>68</v>
      </c>
      <c r="C85" s="843" t="s">
        <v>1235</v>
      </c>
      <c r="D85" s="296" t="s">
        <v>1168</v>
      </c>
      <c r="E85" s="25">
        <v>500</v>
      </c>
      <c r="F85" s="25">
        <v>6310000</v>
      </c>
      <c r="G85" s="25">
        <f t="array" ref="G85">SUM(IF("1521"&amp;C85=KHN&amp;MH,SL))</f>
        <v>0</v>
      </c>
      <c r="H85" s="25">
        <f t="array" ref="H85">SUM(IF("1521"&amp;C85=KHN&amp;MH,TH))</f>
        <v>0</v>
      </c>
      <c r="I85" s="25">
        <f t="array" ref="I85">SUM(IF("1521"&amp;C85=KHC&amp;MH,SL))</f>
        <v>500</v>
      </c>
      <c r="J85" s="25">
        <f t="array" ref="J85">SUM(IF("1521"&amp;C85=KHC&amp;MH,TH))</f>
        <v>6310000</v>
      </c>
      <c r="K85" s="25">
        <f t="shared" si="10"/>
        <v>0</v>
      </c>
      <c r="L85" s="25">
        <f t="shared" si="11"/>
        <v>0</v>
      </c>
      <c r="M85" s="293" t="e">
        <f t="shared" si="12"/>
        <v>#DIV/0!</v>
      </c>
    </row>
    <row r="86" spans="1:13" ht="18.75" hidden="1" customHeight="1">
      <c r="A86" s="293" t="str">
        <f t="shared" si="8"/>
        <v>NL</v>
      </c>
      <c r="B86" s="477">
        <f t="shared" si="9"/>
        <v>69</v>
      </c>
      <c r="C86" s="843" t="s">
        <v>1236</v>
      </c>
      <c r="D86" s="296" t="s">
        <v>1168</v>
      </c>
      <c r="E86" s="25">
        <v>490</v>
      </c>
      <c r="F86" s="25">
        <v>7754250</v>
      </c>
      <c r="G86" s="25">
        <f t="array" ref="G86">SUM(IF("1521"&amp;C86=KHN&amp;MH,SL))</f>
        <v>0</v>
      </c>
      <c r="H86" s="25">
        <f t="array" ref="H86">SUM(IF("1521"&amp;C86=KHN&amp;MH,TH))</f>
        <v>0</v>
      </c>
      <c r="I86" s="25">
        <f t="array" ref="I86">SUM(IF("1521"&amp;C86=KHC&amp;MH,SL))</f>
        <v>490</v>
      </c>
      <c r="J86" s="25">
        <f t="array" ref="J86">SUM(IF("1521"&amp;C86=KHC&amp;MH,TH))</f>
        <v>7754250</v>
      </c>
      <c r="K86" s="25">
        <f t="shared" si="10"/>
        <v>0</v>
      </c>
      <c r="L86" s="25">
        <f t="shared" si="11"/>
        <v>0</v>
      </c>
      <c r="M86" s="293" t="e">
        <f t="shared" si="12"/>
        <v>#DIV/0!</v>
      </c>
    </row>
    <row r="87" spans="1:13" ht="18.75" hidden="1" customHeight="1">
      <c r="A87" s="293" t="str">
        <f t="shared" si="8"/>
        <v>NL</v>
      </c>
      <c r="B87" s="477">
        <f t="shared" si="9"/>
        <v>70</v>
      </c>
      <c r="C87" s="843" t="s">
        <v>1237</v>
      </c>
      <c r="D87" s="296" t="s">
        <v>1168</v>
      </c>
      <c r="E87" s="25">
        <v>150</v>
      </c>
      <c r="F87" s="25">
        <v>3420000</v>
      </c>
      <c r="G87" s="25">
        <f t="array" ref="G87">SUM(IF("1521"&amp;C87=KHN&amp;MH,SL))</f>
        <v>0</v>
      </c>
      <c r="H87" s="25">
        <f t="array" ref="H87">SUM(IF("1521"&amp;C87=KHN&amp;MH,TH))</f>
        <v>0</v>
      </c>
      <c r="I87" s="25">
        <f t="array" ref="I87">SUM(IF("1521"&amp;C87=KHC&amp;MH,SL))</f>
        <v>150</v>
      </c>
      <c r="J87" s="25">
        <f t="array" ref="J87">SUM(IF("1521"&amp;C87=KHC&amp;MH,TH))</f>
        <v>3420000</v>
      </c>
      <c r="K87" s="25">
        <f t="shared" si="10"/>
        <v>0</v>
      </c>
      <c r="L87" s="25">
        <f t="shared" si="11"/>
        <v>0</v>
      </c>
      <c r="M87" s="293" t="e">
        <f t="shared" si="12"/>
        <v>#DIV/0!</v>
      </c>
    </row>
    <row r="88" spans="1:13" ht="18.75" hidden="1" customHeight="1">
      <c r="A88" s="293" t="str">
        <f t="shared" si="8"/>
        <v>NL</v>
      </c>
      <c r="B88" s="477">
        <f t="shared" si="9"/>
        <v>71</v>
      </c>
      <c r="C88" s="843" t="s">
        <v>1238</v>
      </c>
      <c r="D88" s="296" t="s">
        <v>1168</v>
      </c>
      <c r="E88" s="25">
        <v>100</v>
      </c>
      <c r="F88" s="25">
        <v>2325000</v>
      </c>
      <c r="G88" s="25">
        <f t="array" ref="G88">SUM(IF("1521"&amp;C88=KHN&amp;MH,SL))</f>
        <v>0</v>
      </c>
      <c r="H88" s="25">
        <f t="array" ref="H88">SUM(IF("1521"&amp;C88=KHN&amp;MH,TH))</f>
        <v>0</v>
      </c>
      <c r="I88" s="25">
        <f t="array" ref="I88">SUM(IF("1521"&amp;C88=KHC&amp;MH,SL))</f>
        <v>100</v>
      </c>
      <c r="J88" s="25">
        <f t="array" ref="J88">SUM(IF("1521"&amp;C88=KHC&amp;MH,TH))</f>
        <v>2325000</v>
      </c>
      <c r="K88" s="25">
        <f t="shared" si="10"/>
        <v>0</v>
      </c>
      <c r="L88" s="25">
        <f t="shared" si="11"/>
        <v>0</v>
      </c>
      <c r="M88" s="293" t="e">
        <f t="shared" si="12"/>
        <v>#DIV/0!</v>
      </c>
    </row>
    <row r="89" spans="1:13" ht="18.75" hidden="1" customHeight="1">
      <c r="A89" s="293" t="str">
        <f t="shared" si="8"/>
        <v>NL</v>
      </c>
      <c r="B89" s="477">
        <f t="shared" si="9"/>
        <v>72</v>
      </c>
      <c r="C89" s="843" t="s">
        <v>1239</v>
      </c>
      <c r="D89" s="296" t="s">
        <v>1168</v>
      </c>
      <c r="E89" s="25">
        <v>250</v>
      </c>
      <c r="F89" s="25">
        <v>3404750</v>
      </c>
      <c r="G89" s="25">
        <f t="array" ref="G89">SUM(IF("1521"&amp;C89=KHN&amp;MH,SL))</f>
        <v>0</v>
      </c>
      <c r="H89" s="25">
        <f t="array" ref="H89">SUM(IF("1521"&amp;C89=KHN&amp;MH,TH))</f>
        <v>0</v>
      </c>
      <c r="I89" s="25">
        <f t="array" ref="I89">SUM(IF("1521"&amp;C89=KHC&amp;MH,SL))</f>
        <v>250</v>
      </c>
      <c r="J89" s="25">
        <f t="array" ref="J89">SUM(IF("1521"&amp;C89=KHC&amp;MH,TH))</f>
        <v>3404750</v>
      </c>
      <c r="K89" s="25">
        <f t="shared" si="10"/>
        <v>0</v>
      </c>
      <c r="L89" s="25">
        <f t="shared" si="11"/>
        <v>0</v>
      </c>
      <c r="M89" s="293" t="e">
        <f t="shared" si="12"/>
        <v>#DIV/0!</v>
      </c>
    </row>
    <row r="90" spans="1:13" ht="18.75" hidden="1" customHeight="1">
      <c r="A90" s="293" t="str">
        <f t="shared" si="8"/>
        <v>NL</v>
      </c>
      <c r="B90" s="477">
        <f t="shared" si="9"/>
        <v>73</v>
      </c>
      <c r="C90" s="843" t="s">
        <v>1240</v>
      </c>
      <c r="D90" s="296" t="s">
        <v>1168</v>
      </c>
      <c r="E90" s="25">
        <v>1000</v>
      </c>
      <c r="F90" s="25">
        <v>17625000</v>
      </c>
      <c r="G90" s="25">
        <f t="array" ref="G90">SUM(IF("1521"&amp;C90=KHN&amp;MH,SL))</f>
        <v>0</v>
      </c>
      <c r="H90" s="25">
        <f t="array" ref="H90">SUM(IF("1521"&amp;C90=KHN&amp;MH,TH))</f>
        <v>0</v>
      </c>
      <c r="I90" s="25">
        <f t="array" ref="I90">SUM(IF("1521"&amp;C90=KHC&amp;MH,SL))</f>
        <v>1000</v>
      </c>
      <c r="J90" s="25">
        <f t="array" ref="J90">SUM(IF("1521"&amp;C90=KHC&amp;MH,TH))</f>
        <v>17625000</v>
      </c>
      <c r="K90" s="25">
        <f t="shared" si="10"/>
        <v>0</v>
      </c>
      <c r="L90" s="25">
        <f t="shared" si="11"/>
        <v>0</v>
      </c>
      <c r="M90" s="293" t="e">
        <f t="shared" si="12"/>
        <v>#DIV/0!</v>
      </c>
    </row>
    <row r="91" spans="1:13" ht="18.75" hidden="1" customHeight="1">
      <c r="A91" s="293" t="str">
        <f t="shared" si="8"/>
        <v>NL</v>
      </c>
      <c r="B91" s="477">
        <f t="shared" si="9"/>
        <v>74</v>
      </c>
      <c r="C91" s="843" t="s">
        <v>1241</v>
      </c>
      <c r="D91" s="296" t="s">
        <v>1168</v>
      </c>
      <c r="E91" s="25">
        <v>11562</v>
      </c>
      <c r="F91" s="25">
        <v>230200108</v>
      </c>
      <c r="G91" s="25">
        <f t="array" ref="G91">SUM(IF("1521"&amp;C91=KHN&amp;MH,SL))</f>
        <v>0</v>
      </c>
      <c r="H91" s="25">
        <f t="array" ref="H91">SUM(IF("1521"&amp;C91=KHN&amp;MH,TH))</f>
        <v>0</v>
      </c>
      <c r="I91" s="25">
        <f t="array" ref="I91">SUM(IF("1521"&amp;C91=KHC&amp;MH,SL))</f>
        <v>11562</v>
      </c>
      <c r="J91" s="25">
        <f t="array" ref="J91">SUM(IF("1521"&amp;C91=KHC&amp;MH,TH))</f>
        <v>230200108</v>
      </c>
      <c r="K91" s="25">
        <f t="shared" si="10"/>
        <v>0</v>
      </c>
      <c r="L91" s="25">
        <f t="shared" si="11"/>
        <v>0</v>
      </c>
      <c r="M91" s="293" t="e">
        <f t="shared" si="12"/>
        <v>#DIV/0!</v>
      </c>
    </row>
    <row r="92" spans="1:13" ht="18.75" hidden="1" customHeight="1">
      <c r="A92" s="293" t="str">
        <f t="shared" si="8"/>
        <v>NL</v>
      </c>
      <c r="B92" s="477">
        <f t="shared" si="9"/>
        <v>75</v>
      </c>
      <c r="C92" s="843" t="s">
        <v>1242</v>
      </c>
      <c r="D92" s="296" t="s">
        <v>1168</v>
      </c>
      <c r="E92" s="25">
        <v>103</v>
      </c>
      <c r="F92" s="25">
        <v>2443675</v>
      </c>
      <c r="G92" s="25">
        <f t="array" ref="G92">SUM(IF("1521"&amp;C92=KHN&amp;MH,SL))</f>
        <v>0</v>
      </c>
      <c r="H92" s="25">
        <f t="array" ref="H92">SUM(IF("1521"&amp;C92=KHN&amp;MH,TH))</f>
        <v>0</v>
      </c>
      <c r="I92" s="25">
        <f t="array" ref="I92">SUM(IF("1521"&amp;C92=KHC&amp;MH,SL))</f>
        <v>103</v>
      </c>
      <c r="J92" s="25">
        <f t="array" ref="J92">SUM(IF("1521"&amp;C92=KHC&amp;MH,TH))</f>
        <v>2443675</v>
      </c>
      <c r="K92" s="25">
        <f t="shared" si="10"/>
        <v>0</v>
      </c>
      <c r="L92" s="25">
        <f t="shared" si="11"/>
        <v>0</v>
      </c>
      <c r="M92" s="293" t="e">
        <f t="shared" si="12"/>
        <v>#DIV/0!</v>
      </c>
    </row>
    <row r="93" spans="1:13" ht="18.75" hidden="1" customHeight="1">
      <c r="A93" s="293" t="str">
        <f t="shared" si="8"/>
        <v>NL</v>
      </c>
      <c r="B93" s="477">
        <f t="shared" si="9"/>
        <v>76</v>
      </c>
      <c r="C93" s="843" t="s">
        <v>1243</v>
      </c>
      <c r="D93" s="296" t="s">
        <v>1168</v>
      </c>
      <c r="E93" s="25">
        <v>250</v>
      </c>
      <c r="F93" s="25">
        <v>3681500</v>
      </c>
      <c r="G93" s="25">
        <f t="array" ref="G93">SUM(IF("1521"&amp;C93=KHN&amp;MH,SL))</f>
        <v>0</v>
      </c>
      <c r="H93" s="25">
        <f t="array" ref="H93">SUM(IF("1521"&amp;C93=KHN&amp;MH,TH))</f>
        <v>0</v>
      </c>
      <c r="I93" s="25">
        <f t="array" ref="I93">SUM(IF("1521"&amp;C93=KHC&amp;MH,SL))</f>
        <v>250</v>
      </c>
      <c r="J93" s="25">
        <f t="array" ref="J93">SUM(IF("1521"&amp;C93=KHC&amp;MH,TH))</f>
        <v>3681500</v>
      </c>
      <c r="K93" s="25">
        <f t="shared" si="10"/>
        <v>0</v>
      </c>
      <c r="L93" s="25">
        <f t="shared" si="11"/>
        <v>0</v>
      </c>
      <c r="M93" s="293" t="e">
        <f t="shared" si="12"/>
        <v>#DIV/0!</v>
      </c>
    </row>
    <row r="94" spans="1:13" ht="18.75" hidden="1" customHeight="1">
      <c r="A94" s="293" t="str">
        <f t="shared" si="8"/>
        <v>NL</v>
      </c>
      <c r="B94" s="477">
        <f t="shared" si="9"/>
        <v>77</v>
      </c>
      <c r="C94" s="843" t="s">
        <v>1244</v>
      </c>
      <c r="D94" s="296" t="s">
        <v>1168</v>
      </c>
      <c r="E94" s="25">
        <v>750</v>
      </c>
      <c r="F94" s="25">
        <v>16740750</v>
      </c>
      <c r="G94" s="25">
        <f t="array" ref="G94">SUM(IF("1521"&amp;C94=KHN&amp;MH,SL))</f>
        <v>0</v>
      </c>
      <c r="H94" s="25">
        <f t="array" ref="H94">SUM(IF("1521"&amp;C94=KHN&amp;MH,TH))</f>
        <v>0</v>
      </c>
      <c r="I94" s="25">
        <f t="array" ref="I94">SUM(IF("1521"&amp;C94=KHC&amp;MH,SL))</f>
        <v>750</v>
      </c>
      <c r="J94" s="25">
        <f t="array" ref="J94">SUM(IF("1521"&amp;C94=KHC&amp;MH,TH))</f>
        <v>16740750</v>
      </c>
      <c r="K94" s="25">
        <f t="shared" si="10"/>
        <v>0</v>
      </c>
      <c r="L94" s="25">
        <f t="shared" si="11"/>
        <v>0</v>
      </c>
      <c r="M94" s="293" t="e">
        <f t="shared" si="12"/>
        <v>#DIV/0!</v>
      </c>
    </row>
    <row r="95" spans="1:13" ht="18.75" hidden="1" customHeight="1">
      <c r="A95" s="293" t="str">
        <f t="shared" si="8"/>
        <v>NL</v>
      </c>
      <c r="B95" s="477">
        <f t="shared" si="9"/>
        <v>78</v>
      </c>
      <c r="C95" s="843" t="s">
        <v>1245</v>
      </c>
      <c r="D95" s="296" t="s">
        <v>1168</v>
      </c>
      <c r="E95" s="25">
        <v>100</v>
      </c>
      <c r="F95" s="25">
        <v>2260100</v>
      </c>
      <c r="G95" s="25">
        <f t="array" ref="G95">SUM(IF("1521"&amp;C95=KHN&amp;MH,SL))</f>
        <v>0</v>
      </c>
      <c r="H95" s="25">
        <f t="array" ref="H95">SUM(IF("1521"&amp;C95=KHN&amp;MH,TH))</f>
        <v>0</v>
      </c>
      <c r="I95" s="25">
        <f t="array" ref="I95">SUM(IF("1521"&amp;C95=KHC&amp;MH,SL))</f>
        <v>100</v>
      </c>
      <c r="J95" s="25">
        <f t="array" ref="J95">SUM(IF("1521"&amp;C95=KHC&amp;MH,TH))</f>
        <v>2260100</v>
      </c>
      <c r="K95" s="25">
        <f t="shared" si="10"/>
        <v>0</v>
      </c>
      <c r="L95" s="25">
        <f t="shared" si="11"/>
        <v>0</v>
      </c>
      <c r="M95" s="293" t="e">
        <f t="shared" si="12"/>
        <v>#DIV/0!</v>
      </c>
    </row>
    <row r="96" spans="1:13" ht="18.75" hidden="1" customHeight="1">
      <c r="A96" s="293" t="str">
        <f t="shared" si="8"/>
        <v>NL</v>
      </c>
      <c r="B96" s="477">
        <f t="shared" si="9"/>
        <v>79</v>
      </c>
      <c r="C96" s="843" t="s">
        <v>1246</v>
      </c>
      <c r="D96" s="296" t="s">
        <v>1168</v>
      </c>
      <c r="E96" s="25">
        <v>1000</v>
      </c>
      <c r="F96" s="25">
        <v>21023000</v>
      </c>
      <c r="G96" s="25">
        <f t="array" ref="G96">SUM(IF("1521"&amp;C96=KHN&amp;MH,SL))</f>
        <v>0</v>
      </c>
      <c r="H96" s="25">
        <f t="array" ref="H96">SUM(IF("1521"&amp;C96=KHN&amp;MH,TH))</f>
        <v>0</v>
      </c>
      <c r="I96" s="25">
        <f t="array" ref="I96">SUM(IF("1521"&amp;C96=KHC&amp;MH,SL))</f>
        <v>1000</v>
      </c>
      <c r="J96" s="25">
        <f t="array" ref="J96">SUM(IF("1521"&amp;C96=KHC&amp;MH,TH))</f>
        <v>21023000</v>
      </c>
      <c r="K96" s="25">
        <f t="shared" si="10"/>
        <v>0</v>
      </c>
      <c r="L96" s="25">
        <f t="shared" si="11"/>
        <v>0</v>
      </c>
      <c r="M96" s="293" t="e">
        <f t="shared" si="12"/>
        <v>#DIV/0!</v>
      </c>
    </row>
    <row r="97" spans="1:13" ht="18.75" hidden="1" customHeight="1">
      <c r="A97" s="293" t="str">
        <f t="shared" si="8"/>
        <v>NL</v>
      </c>
      <c r="B97" s="477">
        <f t="shared" si="9"/>
        <v>80</v>
      </c>
      <c r="C97" s="843" t="s">
        <v>1247</v>
      </c>
      <c r="D97" s="296" t="s">
        <v>1168</v>
      </c>
      <c r="E97" s="25">
        <v>1076</v>
      </c>
      <c r="F97" s="25">
        <v>34777914</v>
      </c>
      <c r="G97" s="25">
        <f t="array" ref="G97">SUM(IF("1521"&amp;C97=KHN&amp;MH,SL))</f>
        <v>0</v>
      </c>
      <c r="H97" s="25">
        <f t="array" ref="H97">SUM(IF("1521"&amp;C97=KHN&amp;MH,TH))</f>
        <v>0</v>
      </c>
      <c r="I97" s="25">
        <f t="array" ref="I97">SUM(IF("1521"&amp;C97=KHC&amp;MH,SL))</f>
        <v>1076</v>
      </c>
      <c r="J97" s="25">
        <f t="array" ref="J97">SUM(IF("1521"&amp;C97=KHC&amp;MH,TH))</f>
        <v>34777914</v>
      </c>
      <c r="K97" s="25">
        <f t="shared" si="10"/>
        <v>0</v>
      </c>
      <c r="L97" s="25">
        <f t="shared" si="11"/>
        <v>0</v>
      </c>
      <c r="M97" s="293" t="e">
        <f t="shared" si="12"/>
        <v>#DIV/0!</v>
      </c>
    </row>
    <row r="98" spans="1:13" ht="18.75" hidden="1" customHeight="1">
      <c r="A98" s="293" t="str">
        <f t="shared" si="8"/>
        <v>NL</v>
      </c>
      <c r="B98" s="477">
        <f t="shared" si="9"/>
        <v>81</v>
      </c>
      <c r="C98" s="843" t="s">
        <v>1248</v>
      </c>
      <c r="D98" s="296" t="s">
        <v>1168</v>
      </c>
      <c r="E98" s="25">
        <v>100</v>
      </c>
      <c r="F98" s="25">
        <v>1597600</v>
      </c>
      <c r="G98" s="25">
        <f t="array" ref="G98">SUM(IF("1521"&amp;C98=KHN&amp;MH,SL))</f>
        <v>0</v>
      </c>
      <c r="H98" s="25">
        <f t="array" ref="H98">SUM(IF("1521"&amp;C98=KHN&amp;MH,TH))</f>
        <v>0</v>
      </c>
      <c r="I98" s="25">
        <f t="array" ref="I98">SUM(IF("1521"&amp;C98=KHC&amp;MH,SL))</f>
        <v>100</v>
      </c>
      <c r="J98" s="25">
        <f t="array" ref="J98">SUM(IF("1521"&amp;C98=KHC&amp;MH,TH))</f>
        <v>1597600</v>
      </c>
      <c r="K98" s="25">
        <f t="shared" si="10"/>
        <v>0</v>
      </c>
      <c r="L98" s="25">
        <f t="shared" si="11"/>
        <v>0</v>
      </c>
      <c r="M98" s="293" t="e">
        <f t="shared" si="12"/>
        <v>#DIV/0!</v>
      </c>
    </row>
    <row r="99" spans="1:13" ht="18.75" hidden="1" customHeight="1">
      <c r="A99" s="293" t="str">
        <f t="shared" si="8"/>
        <v>NL</v>
      </c>
      <c r="B99" s="477">
        <f t="shared" si="9"/>
        <v>82</v>
      </c>
      <c r="C99" s="843" t="s">
        <v>1249</v>
      </c>
      <c r="D99" s="296" t="s">
        <v>1168</v>
      </c>
      <c r="E99" s="25">
        <v>150</v>
      </c>
      <c r="F99" s="25">
        <v>4185000</v>
      </c>
      <c r="G99" s="25">
        <f t="array" ref="G99">SUM(IF("1521"&amp;C99=KHN&amp;MH,SL))</f>
        <v>0</v>
      </c>
      <c r="H99" s="25">
        <f t="array" ref="H99">SUM(IF("1521"&amp;C99=KHN&amp;MH,TH))</f>
        <v>0</v>
      </c>
      <c r="I99" s="25">
        <f t="array" ref="I99">SUM(IF("1521"&amp;C99=KHC&amp;MH,SL))</f>
        <v>150</v>
      </c>
      <c r="J99" s="25">
        <f t="array" ref="J99">SUM(IF("1521"&amp;C99=KHC&amp;MH,TH))</f>
        <v>4185000</v>
      </c>
      <c r="K99" s="25">
        <f t="shared" si="10"/>
        <v>0</v>
      </c>
      <c r="L99" s="25">
        <f t="shared" si="11"/>
        <v>0</v>
      </c>
      <c r="M99" s="293" t="e">
        <f t="shared" si="12"/>
        <v>#DIV/0!</v>
      </c>
    </row>
    <row r="100" spans="1:13" ht="18.75" hidden="1" customHeight="1">
      <c r="A100" s="293" t="str">
        <f t="shared" si="8"/>
        <v>NL</v>
      </c>
      <c r="B100" s="477">
        <f t="shared" si="9"/>
        <v>83</v>
      </c>
      <c r="C100" s="843" t="s">
        <v>1250</v>
      </c>
      <c r="D100" s="296" t="s">
        <v>1168</v>
      </c>
      <c r="E100" s="25">
        <v>100</v>
      </c>
      <c r="F100" s="25">
        <v>2280900</v>
      </c>
      <c r="G100" s="25">
        <f t="array" ref="G100">SUM(IF("1521"&amp;C100=KHN&amp;MH,SL))</f>
        <v>0</v>
      </c>
      <c r="H100" s="25">
        <f t="array" ref="H100">SUM(IF("1521"&amp;C100=KHN&amp;MH,TH))</f>
        <v>0</v>
      </c>
      <c r="I100" s="25">
        <f t="array" ref="I100">SUM(IF("1521"&amp;C100=KHC&amp;MH,SL))</f>
        <v>100</v>
      </c>
      <c r="J100" s="25">
        <f t="array" ref="J100">SUM(IF("1521"&amp;C100=KHC&amp;MH,TH))</f>
        <v>2280900</v>
      </c>
      <c r="K100" s="25">
        <f t="shared" si="10"/>
        <v>0</v>
      </c>
      <c r="L100" s="25">
        <f t="shared" si="11"/>
        <v>0</v>
      </c>
      <c r="M100" s="293" t="e">
        <f t="shared" si="12"/>
        <v>#DIV/0!</v>
      </c>
    </row>
    <row r="101" spans="1:13" ht="18.75" hidden="1" customHeight="1">
      <c r="A101" s="293" t="str">
        <f t="shared" si="8"/>
        <v>NL</v>
      </c>
      <c r="B101" s="477">
        <f t="shared" si="9"/>
        <v>84</v>
      </c>
      <c r="C101" s="843" t="s">
        <v>1251</v>
      </c>
      <c r="D101" s="296" t="s">
        <v>1168</v>
      </c>
      <c r="E101" s="25">
        <v>520</v>
      </c>
      <c r="F101" s="25">
        <v>11974560</v>
      </c>
      <c r="G101" s="25">
        <f t="array" ref="G101">SUM(IF("1521"&amp;C101=KHN&amp;MH,SL))</f>
        <v>0</v>
      </c>
      <c r="H101" s="25">
        <f t="array" ref="H101">SUM(IF("1521"&amp;C101=KHN&amp;MH,TH))</f>
        <v>0</v>
      </c>
      <c r="I101" s="25">
        <f t="array" ref="I101">SUM(IF("1521"&amp;C101=KHC&amp;MH,SL))</f>
        <v>520</v>
      </c>
      <c r="J101" s="25">
        <f t="array" ref="J101">SUM(IF("1521"&amp;C101=KHC&amp;MH,TH))</f>
        <v>11974560</v>
      </c>
      <c r="K101" s="25">
        <f t="shared" si="10"/>
        <v>0</v>
      </c>
      <c r="L101" s="25">
        <f t="shared" si="11"/>
        <v>0</v>
      </c>
      <c r="M101" s="293" t="e">
        <f t="shared" si="12"/>
        <v>#DIV/0!</v>
      </c>
    </row>
    <row r="102" spans="1:13" ht="18.75" hidden="1" customHeight="1">
      <c r="A102" s="293" t="str">
        <f t="shared" si="8"/>
        <v>NL</v>
      </c>
      <c r="B102" s="477">
        <f t="shared" si="9"/>
        <v>85</v>
      </c>
      <c r="C102" s="843" t="s">
        <v>1252</v>
      </c>
      <c r="D102" s="296" t="s">
        <v>1168</v>
      </c>
      <c r="E102" s="25">
        <v>2000</v>
      </c>
      <c r="F102" s="25">
        <v>46298000</v>
      </c>
      <c r="G102" s="25">
        <f t="array" ref="G102">SUM(IF("1521"&amp;C102=KHN&amp;MH,SL))</f>
        <v>0</v>
      </c>
      <c r="H102" s="25">
        <f t="array" ref="H102">SUM(IF("1521"&amp;C102=KHN&amp;MH,TH))</f>
        <v>0</v>
      </c>
      <c r="I102" s="25">
        <f t="array" ref="I102">SUM(IF("1521"&amp;C102=KHC&amp;MH,SL))</f>
        <v>2000</v>
      </c>
      <c r="J102" s="25">
        <f t="array" ref="J102">SUM(IF("1521"&amp;C102=KHC&amp;MH,TH))</f>
        <v>46298000</v>
      </c>
      <c r="K102" s="25">
        <f t="shared" si="10"/>
        <v>0</v>
      </c>
      <c r="L102" s="25">
        <f t="shared" si="11"/>
        <v>0</v>
      </c>
      <c r="M102" s="293" t="e">
        <f t="shared" si="12"/>
        <v>#DIV/0!</v>
      </c>
    </row>
    <row r="103" spans="1:13" ht="18.75" hidden="1" customHeight="1">
      <c r="A103" s="293" t="str">
        <f t="shared" si="8"/>
        <v>NL</v>
      </c>
      <c r="B103" s="477">
        <f t="shared" si="9"/>
        <v>86</v>
      </c>
      <c r="C103" s="843" t="s">
        <v>1253</v>
      </c>
      <c r="D103" s="296" t="s">
        <v>1168</v>
      </c>
      <c r="E103" s="25">
        <v>200</v>
      </c>
      <c r="F103" s="25">
        <v>4620400</v>
      </c>
      <c r="G103" s="25">
        <f t="array" ref="G103">SUM(IF("1521"&amp;C103=KHN&amp;MH,SL))</f>
        <v>0</v>
      </c>
      <c r="H103" s="25">
        <f t="array" ref="H103">SUM(IF("1521"&amp;C103=KHN&amp;MH,TH))</f>
        <v>0</v>
      </c>
      <c r="I103" s="25">
        <f t="array" ref="I103">SUM(IF("1521"&amp;C103=KHC&amp;MH,SL))</f>
        <v>200</v>
      </c>
      <c r="J103" s="25">
        <f t="array" ref="J103">SUM(IF("1521"&amp;C103=KHC&amp;MH,TH))</f>
        <v>4620400</v>
      </c>
      <c r="K103" s="25">
        <f t="shared" si="10"/>
        <v>0</v>
      </c>
      <c r="L103" s="25">
        <f t="shared" si="11"/>
        <v>0</v>
      </c>
      <c r="M103" s="293" t="e">
        <f t="shared" si="12"/>
        <v>#DIV/0!</v>
      </c>
    </row>
    <row r="104" spans="1:13" ht="18.75" hidden="1" customHeight="1">
      <c r="A104" s="293" t="str">
        <f t="shared" si="8"/>
        <v>NL</v>
      </c>
      <c r="B104" s="477">
        <f t="shared" si="9"/>
        <v>87</v>
      </c>
      <c r="C104" s="843" t="s">
        <v>1254</v>
      </c>
      <c r="D104" s="296" t="s">
        <v>1168</v>
      </c>
      <c r="E104" s="25">
        <v>112</v>
      </c>
      <c r="F104" s="25">
        <v>2107616</v>
      </c>
      <c r="G104" s="25">
        <f t="array" ref="G104">SUM(IF("1521"&amp;C104=KHN&amp;MH,SL))</f>
        <v>0</v>
      </c>
      <c r="H104" s="25">
        <f t="array" ref="H104">SUM(IF("1521"&amp;C104=KHN&amp;MH,TH))</f>
        <v>0</v>
      </c>
      <c r="I104" s="25">
        <f t="array" ref="I104">SUM(IF("1521"&amp;C104=KHC&amp;MH,SL))</f>
        <v>112</v>
      </c>
      <c r="J104" s="25">
        <f t="array" ref="J104">SUM(IF("1521"&amp;C104=KHC&amp;MH,TH))</f>
        <v>2107616</v>
      </c>
      <c r="K104" s="25">
        <f t="shared" si="10"/>
        <v>0</v>
      </c>
      <c r="L104" s="25">
        <f t="shared" si="11"/>
        <v>0</v>
      </c>
      <c r="M104" s="293" t="e">
        <f t="shared" si="12"/>
        <v>#DIV/0!</v>
      </c>
    </row>
    <row r="105" spans="1:13" ht="18.75" hidden="1" customHeight="1">
      <c r="A105" s="293" t="str">
        <f t="shared" si="8"/>
        <v>NL</v>
      </c>
      <c r="B105" s="477">
        <f t="shared" si="9"/>
        <v>88</v>
      </c>
      <c r="C105" s="843" t="s">
        <v>1255</v>
      </c>
      <c r="D105" s="296" t="s">
        <v>1168</v>
      </c>
      <c r="E105" s="25">
        <v>104</v>
      </c>
      <c r="F105" s="25">
        <v>2054936</v>
      </c>
      <c r="G105" s="25">
        <f t="array" ref="G105">SUM(IF("1521"&amp;C105=KHN&amp;MH,SL))</f>
        <v>0</v>
      </c>
      <c r="H105" s="25">
        <f t="array" ref="H105">SUM(IF("1521"&amp;C105=KHN&amp;MH,TH))</f>
        <v>0</v>
      </c>
      <c r="I105" s="25">
        <f t="array" ref="I105">SUM(IF("1521"&amp;C105=KHC&amp;MH,SL))</f>
        <v>104</v>
      </c>
      <c r="J105" s="25">
        <f t="array" ref="J105">SUM(IF("1521"&amp;C105=KHC&amp;MH,TH))</f>
        <v>2054936</v>
      </c>
      <c r="K105" s="25">
        <f t="shared" si="10"/>
        <v>0</v>
      </c>
      <c r="L105" s="25">
        <f t="shared" si="11"/>
        <v>0</v>
      </c>
      <c r="M105" s="293" t="e">
        <f t="shared" si="12"/>
        <v>#DIV/0!</v>
      </c>
    </row>
    <row r="106" spans="1:13" ht="18.75" hidden="1" customHeight="1">
      <c r="A106" s="293" t="str">
        <f t="shared" si="8"/>
        <v>NL</v>
      </c>
      <c r="B106" s="477">
        <f t="shared" si="9"/>
        <v>89</v>
      </c>
      <c r="C106" s="843" t="s">
        <v>1256</v>
      </c>
      <c r="D106" s="296" t="s">
        <v>1168</v>
      </c>
      <c r="E106" s="25">
        <v>300</v>
      </c>
      <c r="F106" s="25">
        <v>6297600</v>
      </c>
      <c r="G106" s="25">
        <f t="array" ref="G106">SUM(IF("1521"&amp;C106=KHN&amp;MH,SL))</f>
        <v>0</v>
      </c>
      <c r="H106" s="25">
        <f t="array" ref="H106">SUM(IF("1521"&amp;C106=KHN&amp;MH,TH))</f>
        <v>0</v>
      </c>
      <c r="I106" s="25">
        <f t="array" ref="I106">SUM(IF("1521"&amp;C106=KHC&amp;MH,SL))</f>
        <v>300</v>
      </c>
      <c r="J106" s="25">
        <f t="array" ref="J106">SUM(IF("1521"&amp;C106=KHC&amp;MH,TH))</f>
        <v>6297600</v>
      </c>
      <c r="K106" s="25">
        <f t="shared" si="10"/>
        <v>0</v>
      </c>
      <c r="L106" s="25">
        <f t="shared" si="11"/>
        <v>0</v>
      </c>
      <c r="M106" s="293" t="e">
        <f t="shared" si="12"/>
        <v>#DIV/0!</v>
      </c>
    </row>
    <row r="107" spans="1:13" ht="18.75" customHeight="1">
      <c r="A107" s="293" t="str">
        <f t="shared" si="8"/>
        <v>NL</v>
      </c>
      <c r="B107" s="477">
        <f t="shared" si="9"/>
        <v>90</v>
      </c>
      <c r="C107" s="843" t="s">
        <v>1257</v>
      </c>
      <c r="D107" s="296" t="s">
        <v>1168</v>
      </c>
      <c r="E107" s="25">
        <v>100</v>
      </c>
      <c r="F107" s="25">
        <v>2321000</v>
      </c>
      <c r="G107" s="25">
        <f t="array" ref="G107">SUM(IF("1521"&amp;C107=KHN&amp;MH,SL))</f>
        <v>0</v>
      </c>
      <c r="H107" s="25">
        <f t="array" ref="H107">SUM(IF("1521"&amp;C107=KHN&amp;MH,TH))</f>
        <v>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25">
        <f t="shared" si="10"/>
        <v>100</v>
      </c>
      <c r="L107" s="25">
        <f t="shared" si="11"/>
        <v>2321000</v>
      </c>
      <c r="M107" s="293">
        <f t="shared" si="12"/>
        <v>23210</v>
      </c>
    </row>
    <row r="108" spans="1:13" ht="18.75" customHeight="1">
      <c r="A108" s="293" t="str">
        <f t="shared" si="8"/>
        <v>NL</v>
      </c>
      <c r="B108" s="477">
        <f t="shared" si="9"/>
        <v>91</v>
      </c>
      <c r="C108" s="843" t="s">
        <v>1258</v>
      </c>
      <c r="D108" s="296" t="s">
        <v>1168</v>
      </c>
      <c r="E108" s="25">
        <v>100</v>
      </c>
      <c r="F108" s="25">
        <v>2184800</v>
      </c>
      <c r="G108" s="25">
        <f t="array" ref="G108">SUM(IF("1521"&amp;C108=KHN&amp;MH,SL))</f>
        <v>0</v>
      </c>
      <c r="H108" s="25">
        <f t="array" ref="H108">SUM(IF("1521"&amp;C108=KHN&amp;MH,TH))</f>
        <v>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25">
        <f t="shared" si="10"/>
        <v>100</v>
      </c>
      <c r="L108" s="25">
        <f t="shared" si="11"/>
        <v>2184800</v>
      </c>
      <c r="M108" s="293">
        <f t="shared" si="12"/>
        <v>21848</v>
      </c>
    </row>
    <row r="109" spans="1:13" ht="18.75" customHeight="1">
      <c r="A109" s="293" t="str">
        <f t="shared" si="8"/>
        <v>NL</v>
      </c>
      <c r="B109" s="477">
        <f t="shared" si="9"/>
        <v>92</v>
      </c>
      <c r="C109" s="843" t="s">
        <v>1259</v>
      </c>
      <c r="D109" s="296" t="s">
        <v>1168</v>
      </c>
      <c r="E109" s="25">
        <v>76</v>
      </c>
      <c r="F109" s="25">
        <v>2203012</v>
      </c>
      <c r="G109" s="25">
        <f t="array" ref="G109">SUM(IF("1521"&amp;C109=KHN&amp;MH,SL))</f>
        <v>0</v>
      </c>
      <c r="H109" s="25">
        <f t="array" ref="H109">SUM(IF("1521"&amp;C109=KHN&amp;MH,TH))</f>
        <v>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25">
        <f t="shared" si="10"/>
        <v>76</v>
      </c>
      <c r="L109" s="25">
        <f t="shared" si="11"/>
        <v>2203012</v>
      </c>
      <c r="M109" s="293">
        <f t="shared" si="12"/>
        <v>28987</v>
      </c>
    </row>
    <row r="110" spans="1:13" ht="18.75" hidden="1" customHeight="1">
      <c r="A110" s="293" t="str">
        <f t="shared" si="8"/>
        <v>NL</v>
      </c>
      <c r="B110" s="477">
        <f t="shared" si="9"/>
        <v>93</v>
      </c>
      <c r="C110" s="843" t="s">
        <v>1260</v>
      </c>
      <c r="D110" s="296" t="s">
        <v>1168</v>
      </c>
      <c r="E110" s="25">
        <v>250</v>
      </c>
      <c r="F110" s="25">
        <v>5721750</v>
      </c>
      <c r="G110" s="25">
        <f t="array" ref="G110">SUM(IF("1521"&amp;C110=KHN&amp;MH,SL))</f>
        <v>0</v>
      </c>
      <c r="H110" s="25">
        <f t="array" ref="H110">SUM(IF("1521"&amp;C110=KHN&amp;MH,TH))</f>
        <v>0</v>
      </c>
      <c r="I110" s="25">
        <f t="array" ref="I110">SUM(IF("1521"&amp;C110=KHC&amp;MH,SL))</f>
        <v>250</v>
      </c>
      <c r="J110" s="25">
        <f t="array" ref="J110">SUM(IF("1521"&amp;C110=KHC&amp;MH,TH))</f>
        <v>5721750</v>
      </c>
      <c r="K110" s="25">
        <f t="shared" si="10"/>
        <v>0</v>
      </c>
      <c r="L110" s="25">
        <f t="shared" si="11"/>
        <v>0</v>
      </c>
      <c r="M110" s="293" t="e">
        <f t="shared" si="12"/>
        <v>#DIV/0!</v>
      </c>
    </row>
    <row r="111" spans="1:13" ht="18.75" hidden="1" customHeight="1">
      <c r="A111" s="293" t="str">
        <f t="shared" si="8"/>
        <v>NL</v>
      </c>
      <c r="B111" s="477">
        <f t="shared" si="9"/>
        <v>94</v>
      </c>
      <c r="C111" s="843" t="s">
        <v>1261</v>
      </c>
      <c r="D111" s="296" t="s">
        <v>1168</v>
      </c>
      <c r="E111" s="25">
        <v>100</v>
      </c>
      <c r="F111" s="25">
        <v>1698500</v>
      </c>
      <c r="G111" s="25">
        <f t="array" ref="G111">SUM(IF("1521"&amp;C111=KHN&amp;MH,SL))</f>
        <v>0</v>
      </c>
      <c r="H111" s="25">
        <f t="array" ref="H111">SUM(IF("1521"&amp;C111=KHN&amp;MH,TH))</f>
        <v>0</v>
      </c>
      <c r="I111" s="25">
        <f t="array" ref="I111">SUM(IF("1521"&amp;C111=KHC&amp;MH,SL))</f>
        <v>100</v>
      </c>
      <c r="J111" s="25">
        <f t="array" ref="J111">SUM(IF("1521"&amp;C111=KHC&amp;MH,TH))</f>
        <v>1698500</v>
      </c>
      <c r="K111" s="25">
        <f t="shared" si="10"/>
        <v>0</v>
      </c>
      <c r="L111" s="25">
        <f t="shared" si="11"/>
        <v>0</v>
      </c>
      <c r="M111" s="293" t="e">
        <f t="shared" si="12"/>
        <v>#DIV/0!</v>
      </c>
    </row>
    <row r="112" spans="1:13" ht="18.75" customHeight="1">
      <c r="A112" s="293" t="str">
        <f t="shared" si="8"/>
        <v>NL</v>
      </c>
      <c r="B112" s="477">
        <f t="shared" si="9"/>
        <v>95</v>
      </c>
      <c r="C112" s="843" t="s">
        <v>1262</v>
      </c>
      <c r="D112" s="296" t="s">
        <v>1168</v>
      </c>
      <c r="E112" s="25">
        <v>104</v>
      </c>
      <c r="F112" s="25">
        <v>2505880</v>
      </c>
      <c r="G112" s="25">
        <f t="array" ref="G112">SUM(IF("1521"&amp;C112=KHN&amp;MH,SL))</f>
        <v>0</v>
      </c>
      <c r="H112" s="25">
        <f t="array" ref="H112">SUM(IF("1521"&amp;C112=KHN&amp;MH,TH))</f>
        <v>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25">
        <f t="shared" si="10"/>
        <v>104</v>
      </c>
      <c r="L112" s="25">
        <f t="shared" si="11"/>
        <v>2505880</v>
      </c>
      <c r="M112" s="293">
        <f t="shared" si="12"/>
        <v>24095</v>
      </c>
    </row>
    <row r="113" spans="1:13" ht="18.75" customHeight="1">
      <c r="A113" s="293" t="str">
        <f t="shared" si="8"/>
        <v>NL</v>
      </c>
      <c r="B113" s="477">
        <f t="shared" si="9"/>
        <v>96</v>
      </c>
      <c r="C113" s="843" t="s">
        <v>1263</v>
      </c>
      <c r="D113" s="296" t="s">
        <v>1168</v>
      </c>
      <c r="E113" s="25">
        <v>100</v>
      </c>
      <c r="F113" s="25">
        <v>2345500</v>
      </c>
      <c r="G113" s="25">
        <f t="array" ref="G113">SUM(IF("1521"&amp;C113=KHN&amp;MH,SL))</f>
        <v>0</v>
      </c>
      <c r="H113" s="25">
        <f t="array" ref="H113">SUM(IF("1521"&amp;C113=KHN&amp;MH,TH))</f>
        <v>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25">
        <f t="shared" si="10"/>
        <v>100</v>
      </c>
      <c r="L113" s="25">
        <f t="shared" si="11"/>
        <v>2345500</v>
      </c>
      <c r="M113" s="293">
        <f t="shared" si="12"/>
        <v>23455</v>
      </c>
    </row>
    <row r="114" spans="1:13" ht="18.75" hidden="1" customHeight="1">
      <c r="A114" s="293" t="str">
        <f t="shared" si="8"/>
        <v>NL</v>
      </c>
      <c r="B114" s="477">
        <f t="shared" ref="B114:B132" si="13">IF(C114&lt;&gt;"",ROW()-17,"")</f>
        <v>97</v>
      </c>
      <c r="C114" s="843" t="s">
        <v>1264</v>
      </c>
      <c r="D114" s="296" t="s">
        <v>1168</v>
      </c>
      <c r="E114" s="25">
        <v>200</v>
      </c>
      <c r="F114" s="25">
        <v>4708600</v>
      </c>
      <c r="G114" s="25">
        <f t="array" ref="G114">SUM(IF("1521"&amp;C114=KHN&amp;MH,SL))</f>
        <v>0</v>
      </c>
      <c r="H114" s="25">
        <f t="array" ref="H114">SUM(IF("1521"&amp;C114=KHN&amp;MH,TH))</f>
        <v>0</v>
      </c>
      <c r="I114" s="25">
        <f t="array" ref="I114">SUM(IF("1521"&amp;C114=KHC&amp;MH,SL))</f>
        <v>200</v>
      </c>
      <c r="J114" s="25">
        <f t="array" ref="J114">SUM(IF("1521"&amp;C114=KHC&amp;MH,TH))</f>
        <v>4708600</v>
      </c>
      <c r="K114" s="25">
        <f t="shared" si="10"/>
        <v>0</v>
      </c>
      <c r="L114" s="25">
        <f t="shared" si="11"/>
        <v>0</v>
      </c>
      <c r="M114" s="293" t="e">
        <f t="shared" si="12"/>
        <v>#DIV/0!</v>
      </c>
    </row>
    <row r="115" spans="1:13" ht="18.75" hidden="1" customHeight="1">
      <c r="A115" s="293" t="str">
        <f t="shared" si="8"/>
        <v>NL</v>
      </c>
      <c r="B115" s="477">
        <f t="shared" si="13"/>
        <v>98</v>
      </c>
      <c r="C115" s="843" t="s">
        <v>1265</v>
      </c>
      <c r="D115" s="296" t="s">
        <v>1168</v>
      </c>
      <c r="E115" s="25">
        <v>50</v>
      </c>
      <c r="F115" s="25">
        <v>1999750</v>
      </c>
      <c r="G115" s="25">
        <f t="array" ref="G115">SUM(IF("1521"&amp;C115=KHN&amp;MH,SL))</f>
        <v>0</v>
      </c>
      <c r="H115" s="25">
        <f t="array" ref="H115">SUM(IF("1521"&amp;C115=KHN&amp;MH,TH))</f>
        <v>0</v>
      </c>
      <c r="I115" s="25">
        <f t="array" ref="I115">SUM(IF("1521"&amp;C115=KHC&amp;MH,SL))</f>
        <v>50</v>
      </c>
      <c r="J115" s="25">
        <f t="array" ref="J115">SUM(IF("1521"&amp;C115=KHC&amp;MH,TH))</f>
        <v>1999750</v>
      </c>
      <c r="K115" s="25">
        <f t="shared" si="10"/>
        <v>0</v>
      </c>
      <c r="L115" s="25">
        <f t="shared" si="11"/>
        <v>0</v>
      </c>
      <c r="M115" s="293" t="e">
        <f t="shared" si="12"/>
        <v>#DIV/0!</v>
      </c>
    </row>
    <row r="116" spans="1:13" ht="18.75" hidden="1" customHeight="1">
      <c r="A116" s="293" t="str">
        <f t="shared" si="8"/>
        <v>NL</v>
      </c>
      <c r="B116" s="477">
        <f t="shared" si="13"/>
        <v>99</v>
      </c>
      <c r="C116" s="843" t="s">
        <v>1266</v>
      </c>
      <c r="D116" s="296" t="s">
        <v>1168</v>
      </c>
      <c r="E116" s="25">
        <v>240</v>
      </c>
      <c r="F116" s="25">
        <v>5061360</v>
      </c>
      <c r="G116" s="25">
        <f t="array" ref="G116">SUM(IF("1521"&amp;C116=KHN&amp;MH,SL))</f>
        <v>0</v>
      </c>
      <c r="H116" s="25">
        <f t="array" ref="H116">SUM(IF("1521"&amp;C116=KHN&amp;MH,TH))</f>
        <v>0</v>
      </c>
      <c r="I116" s="25">
        <f t="array" ref="I116">SUM(IF("1521"&amp;C116=KHC&amp;MH,SL))</f>
        <v>240</v>
      </c>
      <c r="J116" s="25">
        <f t="array" ref="J116">SUM(IF("1521"&amp;C116=KHC&amp;MH,TH))</f>
        <v>5061360</v>
      </c>
      <c r="K116" s="25">
        <f t="shared" si="10"/>
        <v>0</v>
      </c>
      <c r="L116" s="25">
        <f t="shared" si="11"/>
        <v>0</v>
      </c>
      <c r="M116" s="293" t="e">
        <f t="shared" si="12"/>
        <v>#DIV/0!</v>
      </c>
    </row>
    <row r="117" spans="1:13" ht="18.75" customHeight="1">
      <c r="A117" s="293" t="str">
        <f t="shared" si="8"/>
        <v>NL</v>
      </c>
      <c r="B117" s="477">
        <f t="shared" si="13"/>
        <v>100</v>
      </c>
      <c r="C117" s="843" t="s">
        <v>1267</v>
      </c>
      <c r="D117" s="296" t="s">
        <v>1168</v>
      </c>
      <c r="E117" s="25">
        <v>100</v>
      </c>
      <c r="F117" s="25">
        <v>2492200</v>
      </c>
      <c r="G117" s="25">
        <f t="array" ref="G117">SUM(IF("1521"&amp;C117=KHN&amp;MH,SL))</f>
        <v>0</v>
      </c>
      <c r="H117" s="25">
        <f t="array" ref="H117">SUM(IF("1521"&amp;C117=KHN&amp;MH,TH))</f>
        <v>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25">
        <f t="shared" si="10"/>
        <v>100</v>
      </c>
      <c r="L117" s="25">
        <f t="shared" si="11"/>
        <v>2492200</v>
      </c>
      <c r="M117" s="293">
        <f t="shared" si="12"/>
        <v>24922</v>
      </c>
    </row>
    <row r="118" spans="1:13" ht="18.75" hidden="1" customHeight="1">
      <c r="A118" s="293" t="str">
        <f t="shared" si="8"/>
        <v>NL</v>
      </c>
      <c r="B118" s="477">
        <f t="shared" si="13"/>
        <v>101</v>
      </c>
      <c r="C118" s="843" t="s">
        <v>1268</v>
      </c>
      <c r="D118" s="296" t="s">
        <v>1168</v>
      </c>
      <c r="E118" s="25">
        <v>150</v>
      </c>
      <c r="F118" s="25">
        <v>3116400</v>
      </c>
      <c r="G118" s="25">
        <f t="array" ref="G118">SUM(IF("1521"&amp;C118=KHN&amp;MH,SL))</f>
        <v>0</v>
      </c>
      <c r="H118" s="25">
        <f t="array" ref="H118">SUM(IF("1521"&amp;C118=KHN&amp;MH,TH))</f>
        <v>0</v>
      </c>
      <c r="I118" s="25">
        <f t="array" ref="I118">SUM(IF("1521"&amp;C118=KHC&amp;MH,SL))</f>
        <v>150</v>
      </c>
      <c r="J118" s="25">
        <f t="array" ref="J118">SUM(IF("1521"&amp;C118=KHC&amp;MH,TH))</f>
        <v>3116400</v>
      </c>
      <c r="K118" s="25">
        <f t="shared" si="10"/>
        <v>0</v>
      </c>
      <c r="L118" s="25">
        <f t="shared" si="11"/>
        <v>0</v>
      </c>
      <c r="M118" s="293" t="e">
        <f t="shared" si="12"/>
        <v>#DIV/0!</v>
      </c>
    </row>
    <row r="119" spans="1:13" ht="18.75" hidden="1" customHeight="1">
      <c r="A119" s="293" t="str">
        <f t="shared" si="8"/>
        <v>NL</v>
      </c>
      <c r="B119" s="477">
        <f t="shared" si="13"/>
        <v>102</v>
      </c>
      <c r="C119" s="843" t="s">
        <v>1269</v>
      </c>
      <c r="D119" s="296" t="s">
        <v>1168</v>
      </c>
      <c r="E119" s="25">
        <v>205</v>
      </c>
      <c r="F119" s="25">
        <v>4329395</v>
      </c>
      <c r="G119" s="25">
        <f t="array" ref="G119">SUM(IF("1521"&amp;C119=KHN&amp;MH,SL))</f>
        <v>0</v>
      </c>
      <c r="H119" s="25">
        <f t="array" ref="H119">SUM(IF("1521"&amp;C119=KHN&amp;MH,TH))</f>
        <v>0</v>
      </c>
      <c r="I119" s="25">
        <f t="array" ref="I119">SUM(IF("1521"&amp;C119=KHC&amp;MH,SL))</f>
        <v>205</v>
      </c>
      <c r="J119" s="25">
        <f t="array" ref="J119">SUM(IF("1521"&amp;C119=KHC&amp;MH,TH))</f>
        <v>4329395</v>
      </c>
      <c r="K119" s="25">
        <f t="shared" si="10"/>
        <v>0</v>
      </c>
      <c r="L119" s="25">
        <f t="shared" si="11"/>
        <v>0</v>
      </c>
      <c r="M119" s="293" t="e">
        <f t="shared" si="12"/>
        <v>#DIV/0!</v>
      </c>
    </row>
    <row r="120" spans="1:13" ht="18.75" hidden="1" customHeight="1">
      <c r="A120" s="293" t="str">
        <f t="shared" si="8"/>
        <v>NL</v>
      </c>
      <c r="B120" s="477">
        <f t="shared" si="13"/>
        <v>103</v>
      </c>
      <c r="C120" s="843" t="s">
        <v>1270</v>
      </c>
      <c r="D120" s="296" t="s">
        <v>1168</v>
      </c>
      <c r="E120" s="25">
        <v>215</v>
      </c>
      <c r="F120" s="25">
        <v>4807615</v>
      </c>
      <c r="G120" s="25">
        <f t="array" ref="G120">SUM(IF("1521"&amp;C120=KHN&amp;MH,SL))</f>
        <v>0</v>
      </c>
      <c r="H120" s="25">
        <f t="array" ref="H120">SUM(IF("1521"&amp;C120=KHN&amp;MH,TH))</f>
        <v>0</v>
      </c>
      <c r="I120" s="25">
        <f t="array" ref="I120">SUM(IF("1521"&amp;C120=KHC&amp;MH,SL))</f>
        <v>215</v>
      </c>
      <c r="J120" s="25">
        <f t="array" ref="J120">SUM(IF("1521"&amp;C120=KHC&amp;MH,TH))</f>
        <v>4807615</v>
      </c>
      <c r="K120" s="25">
        <f t="shared" si="10"/>
        <v>0</v>
      </c>
      <c r="L120" s="25">
        <f t="shared" si="11"/>
        <v>0</v>
      </c>
      <c r="M120" s="293" t="e">
        <f t="shared" si="12"/>
        <v>#DIV/0!</v>
      </c>
    </row>
    <row r="121" spans="1:13" ht="18.75" hidden="1" customHeight="1">
      <c r="A121" s="293" t="str">
        <f t="shared" si="8"/>
        <v>NL</v>
      </c>
      <c r="B121" s="477">
        <f t="shared" si="13"/>
        <v>104</v>
      </c>
      <c r="C121" s="843" t="s">
        <v>1271</v>
      </c>
      <c r="D121" s="296" t="s">
        <v>1168</v>
      </c>
      <c r="E121" s="25">
        <v>104</v>
      </c>
      <c r="F121" s="25">
        <v>2376712</v>
      </c>
      <c r="G121" s="25">
        <f t="array" ref="G121">SUM(IF("1521"&amp;C121=KHN&amp;MH,SL))</f>
        <v>0</v>
      </c>
      <c r="H121" s="25">
        <f t="array" ref="H121">SUM(IF("1521"&amp;C121=KHN&amp;MH,TH))</f>
        <v>0</v>
      </c>
      <c r="I121" s="25">
        <f t="array" ref="I121">SUM(IF("1521"&amp;C121=KHC&amp;MH,SL))</f>
        <v>104</v>
      </c>
      <c r="J121" s="25">
        <f t="array" ref="J121">SUM(IF("1521"&amp;C121=KHC&amp;MH,TH))</f>
        <v>2376712</v>
      </c>
      <c r="K121" s="25">
        <f t="shared" si="10"/>
        <v>0</v>
      </c>
      <c r="L121" s="25">
        <f t="shared" si="11"/>
        <v>0</v>
      </c>
      <c r="M121" s="293" t="e">
        <f t="shared" si="12"/>
        <v>#DIV/0!</v>
      </c>
    </row>
    <row r="122" spans="1:13" ht="18.75" hidden="1" customHeight="1">
      <c r="A122" s="293" t="str">
        <f t="shared" si="8"/>
        <v>NL</v>
      </c>
      <c r="B122" s="477">
        <f t="shared" si="13"/>
        <v>105</v>
      </c>
      <c r="C122" s="843" t="s">
        <v>1272</v>
      </c>
      <c r="D122" s="296" t="s">
        <v>1168</v>
      </c>
      <c r="E122" s="25">
        <v>100</v>
      </c>
      <c r="F122" s="25">
        <v>578300</v>
      </c>
      <c r="G122" s="25">
        <f t="array" ref="G122">SUM(IF("1521"&amp;C122=KHN&amp;MH,SL))</f>
        <v>0</v>
      </c>
      <c r="H122" s="25">
        <f t="array" ref="H122">SUM(IF("1521"&amp;C122=KHN&amp;MH,TH))</f>
        <v>0</v>
      </c>
      <c r="I122" s="25">
        <f t="array" ref="I122">SUM(IF("1521"&amp;C122=KHC&amp;MH,SL))</f>
        <v>100</v>
      </c>
      <c r="J122" s="25">
        <f t="array" ref="J122">SUM(IF("1521"&amp;C122=KHC&amp;MH,TH))</f>
        <v>578300</v>
      </c>
      <c r="K122" s="25">
        <f t="shared" si="10"/>
        <v>0</v>
      </c>
      <c r="L122" s="25">
        <f t="shared" si="11"/>
        <v>0</v>
      </c>
      <c r="M122" s="293" t="e">
        <f t="shared" si="12"/>
        <v>#DIV/0!</v>
      </c>
    </row>
    <row r="123" spans="1:13" ht="18.75" hidden="1" customHeight="1">
      <c r="A123" s="293" t="str">
        <f t="shared" si="8"/>
        <v>NL</v>
      </c>
      <c r="B123" s="477">
        <f t="shared" si="13"/>
        <v>106</v>
      </c>
      <c r="C123" s="843" t="s">
        <v>1273</v>
      </c>
      <c r="D123" s="296" t="s">
        <v>1168</v>
      </c>
      <c r="E123" s="25">
        <v>150</v>
      </c>
      <c r="F123" s="25">
        <v>1428480</v>
      </c>
      <c r="G123" s="25">
        <f t="array" ref="G123">SUM(IF("1521"&amp;C123=KHN&amp;MH,SL))</f>
        <v>0</v>
      </c>
      <c r="H123" s="25">
        <f t="array" ref="H123">SUM(IF("1521"&amp;C123=KHN&amp;MH,TH))</f>
        <v>0</v>
      </c>
      <c r="I123" s="25">
        <f t="array" ref="I123">SUM(IF("1521"&amp;C123=KHC&amp;MH,SL))</f>
        <v>150</v>
      </c>
      <c r="J123" s="25">
        <f t="array" ref="J123">SUM(IF("1521"&amp;C123=KHC&amp;MH,TH))</f>
        <v>1428480</v>
      </c>
      <c r="K123" s="25">
        <f t="shared" si="10"/>
        <v>0</v>
      </c>
      <c r="L123" s="25">
        <f t="shared" si="11"/>
        <v>0</v>
      </c>
      <c r="M123" s="293" t="e">
        <f t="shared" si="12"/>
        <v>#DIV/0!</v>
      </c>
    </row>
    <row r="124" spans="1:13" ht="18.75" customHeight="1">
      <c r="A124" s="293" t="str">
        <f t="shared" si="8"/>
        <v>NL</v>
      </c>
      <c r="B124" s="477">
        <f t="shared" si="13"/>
        <v>107</v>
      </c>
      <c r="C124" s="843" t="s">
        <v>1274</v>
      </c>
      <c r="D124" s="296" t="s">
        <v>1168</v>
      </c>
      <c r="E124" s="25">
        <v>200</v>
      </c>
      <c r="F124" s="25">
        <v>2211840</v>
      </c>
      <c r="G124" s="25">
        <f t="array" ref="G124">SUM(IF("1521"&amp;C124=KHN&amp;MH,SL))</f>
        <v>0</v>
      </c>
      <c r="H124" s="25">
        <f t="array" ref="H124">SUM(IF("1521"&amp;C124=KHN&amp;MH,TH))</f>
        <v>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25">
        <f t="shared" si="10"/>
        <v>200</v>
      </c>
      <c r="L124" s="25">
        <f t="shared" si="11"/>
        <v>2211840</v>
      </c>
      <c r="M124" s="293">
        <f t="shared" si="12"/>
        <v>11059.2</v>
      </c>
    </row>
    <row r="125" spans="1:13" ht="18.75" hidden="1" customHeight="1">
      <c r="A125" s="293" t="str">
        <f t="shared" si="8"/>
        <v>NL</v>
      </c>
      <c r="B125" s="477">
        <f t="shared" si="13"/>
        <v>108</v>
      </c>
      <c r="C125" s="843" t="s">
        <v>1275</v>
      </c>
      <c r="D125" s="296" t="s">
        <v>1168</v>
      </c>
      <c r="E125" s="25">
        <v>630</v>
      </c>
      <c r="F125" s="25">
        <v>6746040</v>
      </c>
      <c r="G125" s="25">
        <f t="array" ref="G125">SUM(IF("1521"&amp;C125=KHN&amp;MH,SL))</f>
        <v>0</v>
      </c>
      <c r="H125" s="25">
        <f t="array" ref="H125">SUM(IF("1521"&amp;C125=KHN&amp;MH,TH))</f>
        <v>0</v>
      </c>
      <c r="I125" s="25">
        <f t="array" ref="I125">SUM(IF("1521"&amp;C125=KHC&amp;MH,SL))</f>
        <v>630</v>
      </c>
      <c r="J125" s="25">
        <f t="array" ref="J125">SUM(IF("1521"&amp;C125=KHC&amp;MH,TH))</f>
        <v>6746040</v>
      </c>
      <c r="K125" s="25">
        <f t="shared" si="10"/>
        <v>0</v>
      </c>
      <c r="L125" s="25">
        <f t="shared" si="11"/>
        <v>0</v>
      </c>
      <c r="M125" s="293" t="e">
        <f t="shared" si="12"/>
        <v>#DIV/0!</v>
      </c>
    </row>
    <row r="126" spans="1:13" ht="18.75" hidden="1" customHeight="1">
      <c r="A126" s="293" t="str">
        <f t="shared" si="8"/>
        <v>NL</v>
      </c>
      <c r="B126" s="477">
        <f t="shared" si="13"/>
        <v>109</v>
      </c>
      <c r="C126" s="843" t="s">
        <v>1276</v>
      </c>
      <c r="D126" s="296" t="s">
        <v>1168</v>
      </c>
      <c r="E126" s="25">
        <v>200</v>
      </c>
      <c r="F126" s="25">
        <v>2036000</v>
      </c>
      <c r="G126" s="25">
        <f t="array" ref="G126">SUM(IF("1521"&amp;C126=KHN&amp;MH,SL))</f>
        <v>0</v>
      </c>
      <c r="H126" s="25">
        <f t="array" ref="H126">SUM(IF("1521"&amp;C126=KHN&amp;MH,TH))</f>
        <v>0</v>
      </c>
      <c r="I126" s="25">
        <f t="array" ref="I126">SUM(IF("1521"&amp;C126=KHC&amp;MH,SL))</f>
        <v>200</v>
      </c>
      <c r="J126" s="25">
        <f t="array" ref="J126">SUM(IF("1521"&amp;C126=KHC&amp;MH,TH))</f>
        <v>2036000</v>
      </c>
      <c r="K126" s="25">
        <f t="shared" si="10"/>
        <v>0</v>
      </c>
      <c r="L126" s="25">
        <f t="shared" si="11"/>
        <v>0</v>
      </c>
      <c r="M126" s="293" t="e">
        <f t="shared" si="12"/>
        <v>#DIV/0!</v>
      </c>
    </row>
    <row r="127" spans="1:13" ht="18.75" hidden="1" customHeight="1">
      <c r="A127" s="293" t="str">
        <f t="shared" si="8"/>
        <v>NL</v>
      </c>
      <c r="B127" s="477">
        <f t="shared" si="13"/>
        <v>110</v>
      </c>
      <c r="C127" s="843" t="s">
        <v>1277</v>
      </c>
      <c r="D127" s="296" t="s">
        <v>1168</v>
      </c>
      <c r="E127" s="25">
        <v>250</v>
      </c>
      <c r="F127" s="25">
        <v>2419000</v>
      </c>
      <c r="G127" s="25">
        <f t="array" ref="G127">SUM(IF("1521"&amp;C127=KHN&amp;MH,SL))</f>
        <v>0</v>
      </c>
      <c r="H127" s="25">
        <f t="array" ref="H127">SUM(IF("1521"&amp;C127=KHN&amp;MH,TH))</f>
        <v>0</v>
      </c>
      <c r="I127" s="25">
        <f t="array" ref="I127">SUM(IF("1521"&amp;C127=KHC&amp;MH,SL))</f>
        <v>250</v>
      </c>
      <c r="J127" s="25">
        <f t="array" ref="J127">SUM(IF("1521"&amp;C127=KHC&amp;MH,TH))</f>
        <v>2419000</v>
      </c>
      <c r="K127" s="25">
        <f t="shared" si="10"/>
        <v>0</v>
      </c>
      <c r="L127" s="25">
        <f t="shared" si="11"/>
        <v>0</v>
      </c>
      <c r="M127" s="293" t="e">
        <f t="shared" si="12"/>
        <v>#DIV/0!</v>
      </c>
    </row>
    <row r="128" spans="1:13" ht="18.75" hidden="1" customHeight="1">
      <c r="A128" s="293" t="str">
        <f t="shared" si="8"/>
        <v>NL</v>
      </c>
      <c r="B128" s="477">
        <f t="shared" si="13"/>
        <v>111</v>
      </c>
      <c r="C128" s="843" t="s">
        <v>1278</v>
      </c>
      <c r="D128" s="296" t="s">
        <v>1168</v>
      </c>
      <c r="E128" s="25">
        <v>130</v>
      </c>
      <c r="F128" s="25">
        <v>1739530</v>
      </c>
      <c r="G128" s="25">
        <f t="array" ref="G128">SUM(IF("1521"&amp;C128=KHN&amp;MH,SL))</f>
        <v>0</v>
      </c>
      <c r="H128" s="25">
        <f t="array" ref="H128">SUM(IF("1521"&amp;C128=KHN&amp;MH,TH))</f>
        <v>0</v>
      </c>
      <c r="I128" s="25">
        <f t="array" ref="I128">SUM(IF("1521"&amp;C128=KHC&amp;MH,SL))</f>
        <v>130</v>
      </c>
      <c r="J128" s="25">
        <f t="array" ref="J128">SUM(IF("1521"&amp;C128=KHC&amp;MH,TH))</f>
        <v>1739530</v>
      </c>
      <c r="K128" s="25">
        <f t="shared" si="10"/>
        <v>0</v>
      </c>
      <c r="L128" s="25">
        <f t="shared" si="11"/>
        <v>0</v>
      </c>
      <c r="M128" s="293" t="e">
        <f t="shared" si="12"/>
        <v>#DIV/0!</v>
      </c>
    </row>
    <row r="129" spans="1:13" ht="18.75" hidden="1" customHeight="1">
      <c r="A129" s="293" t="str">
        <f t="shared" si="8"/>
        <v>NL</v>
      </c>
      <c r="B129" s="477">
        <f t="shared" si="13"/>
        <v>112</v>
      </c>
      <c r="C129" s="843" t="s">
        <v>1279</v>
      </c>
      <c r="D129" s="296" t="s">
        <v>1168</v>
      </c>
      <c r="E129" s="25">
        <v>120</v>
      </c>
      <c r="F129" s="25">
        <v>1687320</v>
      </c>
      <c r="G129" s="25">
        <f t="array" ref="G129">SUM(IF("1521"&amp;C129=KHN&amp;MH,SL))</f>
        <v>0</v>
      </c>
      <c r="H129" s="25">
        <f t="array" ref="H129">SUM(IF("1521"&amp;C129=KHN&amp;MH,TH))</f>
        <v>0</v>
      </c>
      <c r="I129" s="25">
        <f t="array" ref="I129">SUM(IF("1521"&amp;C129=KHC&amp;MH,SL))</f>
        <v>120</v>
      </c>
      <c r="J129" s="25">
        <f t="array" ref="J129">SUM(IF("1521"&amp;C129=KHC&amp;MH,TH))</f>
        <v>1687320</v>
      </c>
      <c r="K129" s="25">
        <f t="shared" si="10"/>
        <v>0</v>
      </c>
      <c r="L129" s="25">
        <f t="shared" si="11"/>
        <v>0</v>
      </c>
      <c r="M129" s="293" t="e">
        <f t="shared" si="12"/>
        <v>#DIV/0!</v>
      </c>
    </row>
    <row r="130" spans="1:13" ht="18.75" hidden="1" customHeight="1">
      <c r="A130" s="293" t="str">
        <f t="shared" si="8"/>
        <v>NL</v>
      </c>
      <c r="B130" s="477">
        <f t="shared" si="13"/>
        <v>113</v>
      </c>
      <c r="C130" s="843" t="s">
        <v>1280</v>
      </c>
      <c r="D130" s="296" t="s">
        <v>1168</v>
      </c>
      <c r="E130" s="25">
        <v>500</v>
      </c>
      <c r="F130" s="25">
        <v>5431500</v>
      </c>
      <c r="G130" s="25">
        <f t="array" ref="G130">SUM(IF("1521"&amp;C130=KHN&amp;MH,SL))</f>
        <v>0</v>
      </c>
      <c r="H130" s="25">
        <f t="array" ref="H130">SUM(IF("1521"&amp;C130=KHN&amp;MH,TH))</f>
        <v>0</v>
      </c>
      <c r="I130" s="25">
        <f t="array" ref="I130">SUM(IF("1521"&amp;C130=KHC&amp;MH,SL))</f>
        <v>500</v>
      </c>
      <c r="J130" s="25">
        <f t="array" ref="J130">SUM(IF("1521"&amp;C130=KHC&amp;MH,TH))</f>
        <v>5431500</v>
      </c>
      <c r="K130" s="25">
        <f t="shared" si="10"/>
        <v>0</v>
      </c>
      <c r="L130" s="25">
        <f t="shared" si="11"/>
        <v>0</v>
      </c>
      <c r="M130" s="293" t="e">
        <f t="shared" si="12"/>
        <v>#DIV/0!</v>
      </c>
    </row>
    <row r="131" spans="1:13" ht="18.75" customHeight="1">
      <c r="A131" s="293" t="str">
        <f t="shared" si="8"/>
        <v>NL</v>
      </c>
      <c r="B131" s="477">
        <f t="shared" si="13"/>
        <v>114</v>
      </c>
      <c r="C131" s="843" t="s">
        <v>1291</v>
      </c>
      <c r="D131" s="296" t="s">
        <v>1168</v>
      </c>
      <c r="E131" s="25">
        <v>500</v>
      </c>
      <c r="F131" s="25">
        <v>6562500</v>
      </c>
      <c r="G131" s="25">
        <f t="array" ref="G131">SUM(IF("1521"&amp;C131=KHN&amp;MH,SL))</f>
        <v>0</v>
      </c>
      <c r="H131" s="25">
        <f t="array" ref="H131">SUM(IF("1521"&amp;C131=KHN&amp;MH,TH))</f>
        <v>0</v>
      </c>
      <c r="I131" s="25">
        <f t="array" ref="I131">SUM(IF("1521"&amp;C131=KHC&amp;MH,SL))</f>
        <v>312</v>
      </c>
      <c r="J131" s="25">
        <f t="array" ref="J131">SUM(IF("1521"&amp;C131=KHC&amp;MH,TH))</f>
        <v>4095000</v>
      </c>
      <c r="K131" s="25">
        <f t="shared" si="10"/>
        <v>188</v>
      </c>
      <c r="L131" s="25">
        <f t="shared" si="11"/>
        <v>2467500</v>
      </c>
      <c r="M131" s="293">
        <f t="shared" si="12"/>
        <v>13125</v>
      </c>
    </row>
    <row r="132" spans="1:13" ht="18.75" hidden="1" customHeight="1">
      <c r="A132" s="293" t="str">
        <f t="shared" si="8"/>
        <v>NL</v>
      </c>
      <c r="B132" s="477">
        <f t="shared" si="13"/>
        <v>115</v>
      </c>
      <c r="C132" s="843" t="s">
        <v>1281</v>
      </c>
      <c r="D132" s="296" t="s">
        <v>1168</v>
      </c>
      <c r="E132" s="25">
        <v>1000</v>
      </c>
      <c r="F132" s="25">
        <v>4600000</v>
      </c>
      <c r="G132" s="25">
        <f t="array" ref="G132">SUM(IF("1521"&amp;C132=KHN&amp;MH,SL))</f>
        <v>0</v>
      </c>
      <c r="H132" s="25">
        <f t="array" ref="H132">SUM(IF("1521"&amp;C132=KHN&amp;MH,TH))</f>
        <v>0</v>
      </c>
      <c r="I132" s="25">
        <f t="array" ref="I132">SUM(IF("1521"&amp;C132=KHC&amp;MH,SL))</f>
        <v>1000</v>
      </c>
      <c r="J132" s="25">
        <f t="array" ref="J132">SUM(IF("1521"&amp;C132=KHC&amp;MH,TH))</f>
        <v>4600000</v>
      </c>
      <c r="K132" s="25">
        <f t="shared" si="10"/>
        <v>0</v>
      </c>
      <c r="L132" s="25">
        <f t="shared" si="11"/>
        <v>0</v>
      </c>
      <c r="M132" s="293" t="e">
        <f t="shared" si="12"/>
        <v>#DIV/0!</v>
      </c>
    </row>
    <row r="133" spans="1:13" ht="18.75" hidden="1" customHeight="1">
      <c r="A133" s="293" t="str">
        <f t="shared" ref="A133:A183" si="14">IF(B133&lt;&gt;"","NL","")</f>
        <v>NL</v>
      </c>
      <c r="B133" s="477">
        <f t="shared" ref="B133:B183" si="15">IF(C133&lt;&gt;"",ROW()-17,"")</f>
        <v>116</v>
      </c>
      <c r="C133" s="843" t="s">
        <v>694</v>
      </c>
      <c r="D133" s="296" t="s">
        <v>1168</v>
      </c>
      <c r="E133" s="25"/>
      <c r="F133" s="25"/>
      <c r="G133" s="25">
        <f t="array" ref="G133">SUM(IF("1521"&amp;C133=KHN&amp;MH,SL))</f>
        <v>334</v>
      </c>
      <c r="H133" s="25">
        <f t="array" ref="H133">SUM(IF("1521"&amp;C133=KHN&amp;MH,TH))</f>
        <v>2223104</v>
      </c>
      <c r="I133" s="25">
        <f t="array" ref="I133">SUM(IF("1521"&amp;C133=KHC&amp;MH,SL))</f>
        <v>334</v>
      </c>
      <c r="J133" s="25">
        <f t="array" ref="J133">SUM(IF("1521"&amp;C133=KHC&amp;MH,TH))</f>
        <v>2223104</v>
      </c>
      <c r="K133" s="25">
        <f t="shared" ref="K133:K134" si="16">E133+G133-I133</f>
        <v>0</v>
      </c>
      <c r="L133" s="25">
        <f t="shared" ref="L133:L134" si="17">F133+H133-J133</f>
        <v>0</v>
      </c>
      <c r="M133" s="293" t="e">
        <f t="shared" si="12"/>
        <v>#DIV/0!</v>
      </c>
    </row>
    <row r="134" spans="1:13" ht="18.75" hidden="1" customHeight="1">
      <c r="A134" s="293" t="str">
        <f t="shared" si="14"/>
        <v>NL</v>
      </c>
      <c r="B134" s="477">
        <f t="shared" si="15"/>
        <v>117</v>
      </c>
      <c r="C134" s="192" t="s">
        <v>711</v>
      </c>
      <c r="D134" s="296" t="s">
        <v>1168</v>
      </c>
      <c r="E134" s="8"/>
      <c r="F134" s="8"/>
      <c r="G134" s="25">
        <f t="array" ref="G134">SUM(IF("1521"&amp;C134=KHN&amp;MH,SL))</f>
        <v>2650</v>
      </c>
      <c r="H134" s="25">
        <f t="array" ref="H134">SUM(IF("1521"&amp;C134=KHN&amp;MH,TH))</f>
        <v>17914000</v>
      </c>
      <c r="I134" s="25">
        <f t="array" ref="I134">SUM(IF("1521"&amp;C134=KHC&amp;MH,SL))</f>
        <v>2650</v>
      </c>
      <c r="J134" s="25">
        <f t="array" ref="J134">SUM(IF("1521"&amp;C134=KHC&amp;MH,TH))</f>
        <v>17914000</v>
      </c>
      <c r="K134" s="25">
        <f t="shared" si="16"/>
        <v>0</v>
      </c>
      <c r="L134" s="25">
        <f t="shared" si="17"/>
        <v>0</v>
      </c>
      <c r="M134" s="293" t="e">
        <f t="shared" si="12"/>
        <v>#DIV/0!</v>
      </c>
    </row>
    <row r="135" spans="1:13" ht="18.75" hidden="1" customHeight="1">
      <c r="A135" s="293" t="str">
        <f t="shared" si="14"/>
        <v>NL</v>
      </c>
      <c r="B135" s="477">
        <f t="shared" si="15"/>
        <v>118</v>
      </c>
      <c r="C135" s="192" t="s">
        <v>697</v>
      </c>
      <c r="D135" s="296" t="s">
        <v>1168</v>
      </c>
      <c r="E135" s="8"/>
      <c r="F135" s="8"/>
      <c r="G135" s="25">
        <f t="array" ref="G135">SUM(IF("1521"&amp;C135=KHN&amp;MH,SL))</f>
        <v>300</v>
      </c>
      <c r="H135" s="25">
        <f t="array" ref="H135">SUM(IF("1521"&amp;C135=KHN&amp;MH,TH))</f>
        <v>2827500</v>
      </c>
      <c r="I135" s="25">
        <f t="array" ref="I135">SUM(IF("1521"&amp;C135=KHC&amp;MH,SL))</f>
        <v>300</v>
      </c>
      <c r="J135" s="25">
        <f t="array" ref="J135">SUM(IF("1521"&amp;C135=KHC&amp;MH,TH))</f>
        <v>2827500</v>
      </c>
      <c r="K135" s="8">
        <f t="shared" si="4"/>
        <v>0</v>
      </c>
      <c r="L135" s="8">
        <f t="shared" si="5"/>
        <v>0</v>
      </c>
      <c r="M135" s="293" t="e">
        <f t="shared" si="12"/>
        <v>#DIV/0!</v>
      </c>
    </row>
    <row r="136" spans="1:13" ht="18.75" hidden="1" customHeight="1">
      <c r="A136" s="293" t="str">
        <f t="shared" si="14"/>
        <v>NL</v>
      </c>
      <c r="B136" s="477">
        <f t="shared" si="15"/>
        <v>119</v>
      </c>
      <c r="C136" s="192" t="s">
        <v>719</v>
      </c>
      <c r="D136" s="296" t="s">
        <v>1168</v>
      </c>
      <c r="E136" s="8"/>
      <c r="F136" s="8"/>
      <c r="G136" s="25">
        <f t="array" ref="G136">SUM(IF("1521"&amp;C136=KHN&amp;MH,SL))</f>
        <v>1620</v>
      </c>
      <c r="H136" s="25">
        <f t="array" ref="H136">SUM(IF("1521"&amp;C136=KHN&amp;MH,TH))</f>
        <v>18061380</v>
      </c>
      <c r="I136" s="25">
        <f t="array" ref="I136">SUM(IF("1521"&amp;C136=KHC&amp;MH,SL))</f>
        <v>1620</v>
      </c>
      <c r="J136" s="25">
        <f t="array" ref="J136">SUM(IF("1521"&amp;C136=KHC&amp;MH,TH))</f>
        <v>18061380</v>
      </c>
      <c r="K136" s="8">
        <f t="shared" ref="K136:K138" si="18">E136+G136-I136</f>
        <v>0</v>
      </c>
      <c r="L136" s="8">
        <f t="shared" ref="L136:L138" si="19">F136+H136-J136</f>
        <v>0</v>
      </c>
      <c r="M136" s="293" t="e">
        <f t="shared" si="12"/>
        <v>#DIV/0!</v>
      </c>
    </row>
    <row r="137" spans="1:13" ht="18" hidden="1" customHeight="1">
      <c r="A137" s="293" t="str">
        <f t="shared" si="14"/>
        <v>NL</v>
      </c>
      <c r="B137" s="477">
        <f t="shared" si="15"/>
        <v>120</v>
      </c>
      <c r="C137" s="192" t="s">
        <v>698</v>
      </c>
      <c r="D137" s="296" t="s">
        <v>1168</v>
      </c>
      <c r="E137" s="8"/>
      <c r="F137" s="8"/>
      <c r="G137" s="25">
        <f t="array" ref="G137">SUM(IF("1521"&amp;C137=KHN&amp;MH,SL))</f>
        <v>334</v>
      </c>
      <c r="H137" s="25">
        <f t="array" ref="H137">SUM(IF("1521"&amp;C137=KHN&amp;MH,TH))</f>
        <v>5665642</v>
      </c>
      <c r="I137" s="25">
        <f t="array" ref="I137">SUM(IF("1521"&amp;C137=KHC&amp;MH,SL))</f>
        <v>334</v>
      </c>
      <c r="J137" s="25">
        <f t="array" ref="J137">SUM(IF("1521"&amp;C137=KHC&amp;MH,TH))</f>
        <v>5665642</v>
      </c>
      <c r="K137" s="8">
        <f t="shared" si="18"/>
        <v>0</v>
      </c>
      <c r="L137" s="8">
        <f t="shared" si="19"/>
        <v>0</v>
      </c>
      <c r="M137" s="293" t="e">
        <f t="shared" si="12"/>
        <v>#DIV/0!</v>
      </c>
    </row>
    <row r="138" spans="1:13" ht="18" hidden="1" customHeight="1">
      <c r="A138" s="293" t="str">
        <f t="shared" si="14"/>
        <v>NL</v>
      </c>
      <c r="B138" s="477">
        <f t="shared" si="15"/>
        <v>121</v>
      </c>
      <c r="C138" s="192" t="s">
        <v>716</v>
      </c>
      <c r="D138" s="296" t="s">
        <v>1168</v>
      </c>
      <c r="E138" s="8"/>
      <c r="F138" s="8"/>
      <c r="G138" s="25">
        <f t="array" ref="G138">SUM(IF("1521"&amp;C138=KHN&amp;MH,SL))</f>
        <v>1580</v>
      </c>
      <c r="H138" s="25">
        <f t="array" ref="H138">SUM(IF("1521"&amp;C138=KHN&amp;MH,TH))</f>
        <v>34613760</v>
      </c>
      <c r="I138" s="25">
        <f t="array" ref="I138">SUM(IF("1521"&amp;C138=KHC&amp;MH,SL))</f>
        <v>1580</v>
      </c>
      <c r="J138" s="25">
        <f t="array" ref="J138">SUM(IF("1521"&amp;C138=KHC&amp;MH,TH))</f>
        <v>34613760</v>
      </c>
      <c r="K138" s="8">
        <f t="shared" si="18"/>
        <v>0</v>
      </c>
      <c r="L138" s="8">
        <f t="shared" si="19"/>
        <v>0</v>
      </c>
      <c r="M138" s="293" t="e">
        <f t="shared" si="12"/>
        <v>#DIV/0!</v>
      </c>
    </row>
    <row r="139" spans="1:13" ht="18" hidden="1" customHeight="1">
      <c r="A139" s="293" t="str">
        <f t="shared" si="14"/>
        <v>NL</v>
      </c>
      <c r="B139" s="477">
        <f t="shared" si="15"/>
        <v>122</v>
      </c>
      <c r="C139" s="192" t="s">
        <v>713</v>
      </c>
      <c r="D139" s="296" t="s">
        <v>1168</v>
      </c>
      <c r="E139" s="8"/>
      <c r="F139" s="8"/>
      <c r="G139" s="25">
        <f t="array" ref="G139">SUM(IF("1521"&amp;C139=KHN&amp;MH,SL))</f>
        <v>1755</v>
      </c>
      <c r="H139" s="25">
        <f t="array" ref="H139">SUM(IF("1521"&amp;C139=KHN&amp;MH,TH))</f>
        <v>36214860</v>
      </c>
      <c r="I139" s="25">
        <f t="array" ref="I139">SUM(IF("1521"&amp;C139=KHC&amp;MH,SL))</f>
        <v>1755</v>
      </c>
      <c r="J139" s="25">
        <f t="array" ref="J139">SUM(IF("1521"&amp;C139=KHC&amp;MH,TH))</f>
        <v>36214860</v>
      </c>
      <c r="K139" s="8">
        <f t="shared" si="4"/>
        <v>0</v>
      </c>
      <c r="L139" s="8">
        <f t="shared" si="5"/>
        <v>0</v>
      </c>
      <c r="M139" s="293" t="e">
        <f t="shared" si="12"/>
        <v>#DIV/0!</v>
      </c>
    </row>
    <row r="140" spans="1:13" ht="18" hidden="1" customHeight="1">
      <c r="A140" s="293" t="str">
        <f t="shared" si="14"/>
        <v>NL</v>
      </c>
      <c r="B140" s="477">
        <f t="shared" si="15"/>
        <v>123</v>
      </c>
      <c r="C140" s="192" t="s">
        <v>702</v>
      </c>
      <c r="D140" s="296" t="s">
        <v>1168</v>
      </c>
      <c r="E140" s="8"/>
      <c r="F140" s="8"/>
      <c r="G140" s="25">
        <f t="array" ref="G140">SUM(IF("1521"&amp;C140=KHN&amp;MH,SL))</f>
        <v>250</v>
      </c>
      <c r="H140" s="25">
        <f t="array" ref="H140">SUM(IF("1521"&amp;C140=KHN&amp;MH,TH))</f>
        <v>3528000</v>
      </c>
      <c r="I140" s="25">
        <f t="array" ref="I140">SUM(IF("1521"&amp;C140=KHC&amp;MH,SL))</f>
        <v>250</v>
      </c>
      <c r="J140" s="25">
        <f t="array" ref="J140">SUM(IF("1521"&amp;C140=KHC&amp;MH,TH))</f>
        <v>3528000</v>
      </c>
      <c r="K140" s="8">
        <f t="shared" si="4"/>
        <v>0</v>
      </c>
      <c r="L140" s="8">
        <f t="shared" si="5"/>
        <v>0</v>
      </c>
      <c r="M140" s="293" t="e">
        <f t="shared" si="12"/>
        <v>#DIV/0!</v>
      </c>
    </row>
    <row r="141" spans="1:13" ht="18" customHeight="1">
      <c r="A141" s="293" t="str">
        <f t="shared" si="14"/>
        <v>NL</v>
      </c>
      <c r="B141" s="477">
        <f t="shared" si="15"/>
        <v>124</v>
      </c>
      <c r="C141" s="192" t="s">
        <v>700</v>
      </c>
      <c r="D141" s="296" t="s">
        <v>1168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1572400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4"/>
        <v>100</v>
      </c>
      <c r="L141" s="8">
        <f t="shared" si="5"/>
        <v>1572400</v>
      </c>
      <c r="M141" s="293">
        <f t="shared" si="12"/>
        <v>15724</v>
      </c>
    </row>
    <row r="142" spans="1:13" ht="18" hidden="1" customHeight="1">
      <c r="A142" s="293" t="str">
        <f t="shared" si="14"/>
        <v>NL</v>
      </c>
      <c r="B142" s="477">
        <f t="shared" si="15"/>
        <v>125</v>
      </c>
      <c r="C142" s="192" t="s">
        <v>674</v>
      </c>
      <c r="D142" s="296" t="s">
        <v>1168</v>
      </c>
      <c r="E142" s="8"/>
      <c r="F142" s="8"/>
      <c r="G142" s="25">
        <f t="array" ref="G142">SUM(IF("1521"&amp;C142=KHN&amp;MH,SL))</f>
        <v>650</v>
      </c>
      <c r="H142" s="25">
        <f t="array" ref="H142">SUM(IF("1521"&amp;C142=KHN&amp;MH,TH))</f>
        <v>6225050</v>
      </c>
      <c r="I142" s="25">
        <f t="array" ref="I142">SUM(IF("1521"&amp;C142=KHC&amp;MH,SL))</f>
        <v>650</v>
      </c>
      <c r="J142" s="25">
        <f t="array" ref="J142">SUM(IF("1521"&amp;C142=KHC&amp;MH,TH))</f>
        <v>6225050</v>
      </c>
      <c r="K142" s="8">
        <f t="shared" si="4"/>
        <v>0</v>
      </c>
      <c r="L142" s="8">
        <f t="shared" si="5"/>
        <v>0</v>
      </c>
      <c r="M142" s="293" t="e">
        <f t="shared" si="12"/>
        <v>#DIV/0!</v>
      </c>
    </row>
    <row r="143" spans="1:13" ht="18" hidden="1" customHeight="1">
      <c r="A143" s="293" t="str">
        <f t="shared" si="14"/>
        <v>NL</v>
      </c>
      <c r="B143" s="477">
        <f t="shared" si="15"/>
        <v>126</v>
      </c>
      <c r="C143" s="189" t="s">
        <v>681</v>
      </c>
      <c r="D143" s="296" t="s">
        <v>1168</v>
      </c>
      <c r="E143" s="8"/>
      <c r="F143" s="8"/>
      <c r="G143" s="25">
        <f t="array" ref="G143">SUM(IF("1521"&amp;C143=KHN&amp;MH,SL))</f>
        <v>1000</v>
      </c>
      <c r="H143" s="25">
        <f t="array" ref="H143">SUM(IF("1521"&amp;C143=KHN&amp;MH,TH))</f>
        <v>11197000</v>
      </c>
      <c r="I143" s="25">
        <f t="array" ref="I143">SUM(IF("1521"&amp;C143=KHC&amp;MH,SL))</f>
        <v>1000</v>
      </c>
      <c r="J143" s="25">
        <f t="array" ref="J143">SUM(IF("1521"&amp;C143=KHC&amp;MH,TH))</f>
        <v>11197000</v>
      </c>
      <c r="K143" s="8">
        <f t="shared" si="4"/>
        <v>0</v>
      </c>
      <c r="L143" s="8">
        <f t="shared" si="5"/>
        <v>0</v>
      </c>
      <c r="M143" s="293" t="e">
        <f t="shared" si="12"/>
        <v>#DIV/0!</v>
      </c>
    </row>
    <row r="144" spans="1:13" ht="18" customHeight="1">
      <c r="A144" s="293" t="str">
        <f t="shared" si="14"/>
        <v>NL</v>
      </c>
      <c r="B144" s="477">
        <f t="shared" si="15"/>
        <v>127</v>
      </c>
      <c r="C144" s="189" t="s">
        <v>683</v>
      </c>
      <c r="D144" s="296" t="s">
        <v>1168</v>
      </c>
      <c r="E144" s="8"/>
      <c r="F144" s="8"/>
      <c r="G144" s="25">
        <f t="array" ref="G144">SUM(IF("1521"&amp;C144=KHN&amp;MH,SL))</f>
        <v>300</v>
      </c>
      <c r="H144" s="25">
        <f t="array" ref="H144">SUM(IF("1521"&amp;C144=KHN&amp;MH,TH))</f>
        <v>4086300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4"/>
        <v>300</v>
      </c>
      <c r="L144" s="8">
        <f t="shared" si="5"/>
        <v>4086300</v>
      </c>
      <c r="M144" s="293">
        <f t="shared" si="12"/>
        <v>13621</v>
      </c>
    </row>
    <row r="145" spans="1:13" ht="18" hidden="1" customHeight="1">
      <c r="A145" s="293" t="str">
        <f t="shared" si="14"/>
        <v>NL</v>
      </c>
      <c r="B145" s="477">
        <f t="shared" si="15"/>
        <v>128</v>
      </c>
      <c r="C145" s="192" t="s">
        <v>679</v>
      </c>
      <c r="D145" s="296" t="s">
        <v>1168</v>
      </c>
      <c r="E145" s="8"/>
      <c r="F145" s="8"/>
      <c r="G145" s="25">
        <f t="array" ref="G145">SUM(IF("1521"&amp;C145=KHN&amp;MH,SL))</f>
        <v>700</v>
      </c>
      <c r="H145" s="25">
        <f t="array" ref="H145">SUM(IF("1521"&amp;C145=KHN&amp;MH,TH))</f>
        <v>13096300</v>
      </c>
      <c r="I145" s="25">
        <f t="array" ref="I145">SUM(IF("1521"&amp;C145=KHC&amp;MH,SL))</f>
        <v>700</v>
      </c>
      <c r="J145" s="25">
        <f t="array" ref="J145">SUM(IF("1521"&amp;C145=KHC&amp;MH,TH))</f>
        <v>13096300</v>
      </c>
      <c r="K145" s="8">
        <f t="shared" si="4"/>
        <v>0</v>
      </c>
      <c r="L145" s="8">
        <f t="shared" si="5"/>
        <v>0</v>
      </c>
      <c r="M145" s="293" t="e">
        <f t="shared" si="12"/>
        <v>#DIV/0!</v>
      </c>
    </row>
    <row r="146" spans="1:13" ht="18" hidden="1" customHeight="1">
      <c r="A146" s="293" t="str">
        <f t="shared" si="14"/>
        <v>NL</v>
      </c>
      <c r="B146" s="477">
        <f t="shared" si="15"/>
        <v>129</v>
      </c>
      <c r="C146" s="192" t="s">
        <v>677</v>
      </c>
      <c r="D146" s="296" t="s">
        <v>1168</v>
      </c>
      <c r="E146" s="8"/>
      <c r="F146" s="8"/>
      <c r="G146" s="25">
        <f t="array" ref="G146">SUM(IF("1521"&amp;C146=KHN&amp;MH,SL))</f>
        <v>2000</v>
      </c>
      <c r="H146" s="25">
        <f t="array" ref="H146">SUM(IF("1521"&amp;C146=KHN&amp;MH,TH))</f>
        <v>23444000</v>
      </c>
      <c r="I146" s="25">
        <f t="array" ref="I146">SUM(IF("1521"&amp;C146=KHC&amp;MH,SL))</f>
        <v>2000</v>
      </c>
      <c r="J146" s="25">
        <f t="array" ref="J146">SUM(IF("1521"&amp;C146=KHC&amp;MH,TH))</f>
        <v>23444000</v>
      </c>
      <c r="K146" s="8">
        <f t="shared" si="4"/>
        <v>0</v>
      </c>
      <c r="L146" s="8">
        <f t="shared" si="5"/>
        <v>0</v>
      </c>
      <c r="M146" s="293" t="e">
        <f t="shared" si="12"/>
        <v>#DIV/0!</v>
      </c>
    </row>
    <row r="147" spans="1:13" ht="18" hidden="1" customHeight="1">
      <c r="A147" s="293" t="str">
        <f t="shared" si="14"/>
        <v>NL</v>
      </c>
      <c r="B147" s="477">
        <f t="shared" si="15"/>
        <v>130</v>
      </c>
      <c r="C147" s="192" t="s">
        <v>612</v>
      </c>
      <c r="D147" s="296" t="s">
        <v>1168</v>
      </c>
      <c r="E147" s="8"/>
      <c r="F147" s="8"/>
      <c r="G147" s="25">
        <f t="array" ref="G147">SUM(IF("1521"&amp;C147=KHN&amp;MH,SL))</f>
        <v>130</v>
      </c>
      <c r="H147" s="25">
        <f t="array" ref="H147">SUM(IF("1521"&amp;C147=KHN&amp;MH,TH))</f>
        <v>945620</v>
      </c>
      <c r="I147" s="25">
        <f t="array" ref="I147">SUM(IF("1521"&amp;C147=KHC&amp;MH,SL))</f>
        <v>130</v>
      </c>
      <c r="J147" s="25">
        <f t="array" ref="J147">SUM(IF("1521"&amp;C147=KHC&amp;MH,TH))</f>
        <v>945620</v>
      </c>
      <c r="K147" s="8">
        <f t="shared" si="4"/>
        <v>0</v>
      </c>
      <c r="L147" s="8">
        <f t="shared" si="5"/>
        <v>0</v>
      </c>
      <c r="M147" s="293" t="e">
        <f t="shared" ref="M147:M210" si="20">L147/K147</f>
        <v>#DIV/0!</v>
      </c>
    </row>
    <row r="148" spans="1:13" ht="18" hidden="1" customHeight="1">
      <c r="A148" s="293" t="str">
        <f t="shared" si="14"/>
        <v>NL</v>
      </c>
      <c r="B148" s="477">
        <f t="shared" si="15"/>
        <v>131</v>
      </c>
      <c r="C148" s="192" t="s">
        <v>591</v>
      </c>
      <c r="D148" s="296" t="s">
        <v>1168</v>
      </c>
      <c r="E148" s="8"/>
      <c r="F148" s="8"/>
      <c r="G148" s="25">
        <f t="array" ref="G148">SUM(IF("1521"&amp;C148=KHN&amp;MH,SL))</f>
        <v>672</v>
      </c>
      <c r="H148" s="25">
        <f t="array" ref="H148">SUM(IF("1521"&amp;C148=KHN&amp;MH,TH))</f>
        <v>19869696</v>
      </c>
      <c r="I148" s="25">
        <f t="array" ref="I148">SUM(IF("1521"&amp;C148=KHC&amp;MH,SL))</f>
        <v>672</v>
      </c>
      <c r="J148" s="25">
        <f t="array" ref="J148">SUM(IF("1521"&amp;C148=KHC&amp;MH,TH))</f>
        <v>19869696</v>
      </c>
      <c r="K148" s="8">
        <f t="shared" si="4"/>
        <v>0</v>
      </c>
      <c r="L148" s="8">
        <f t="shared" si="5"/>
        <v>0</v>
      </c>
      <c r="M148" s="293" t="e">
        <f t="shared" si="20"/>
        <v>#DIV/0!</v>
      </c>
    </row>
    <row r="149" spans="1:13" ht="18" hidden="1" customHeight="1">
      <c r="A149" s="293" t="str">
        <f t="shared" si="14"/>
        <v>NL</v>
      </c>
      <c r="B149" s="477">
        <f t="shared" si="15"/>
        <v>132</v>
      </c>
      <c r="C149" s="189" t="s">
        <v>625</v>
      </c>
      <c r="D149" s="296" t="s">
        <v>1168</v>
      </c>
      <c r="E149" s="8"/>
      <c r="F149" s="8"/>
      <c r="G149" s="25">
        <f t="array" ref="G149">SUM(IF("1521"&amp;C149=KHN&amp;MH,SL))</f>
        <v>251</v>
      </c>
      <c r="H149" s="25">
        <f t="array" ref="H149">SUM(IF("1521"&amp;C149=KHN&amp;MH,TH))</f>
        <v>4898014</v>
      </c>
      <c r="I149" s="25">
        <f t="array" ref="I149">SUM(IF("1521"&amp;C149=KHC&amp;MH,SL))</f>
        <v>251</v>
      </c>
      <c r="J149" s="25">
        <f t="array" ref="J149">SUM(IF("1521"&amp;C149=KHC&amp;MH,TH))</f>
        <v>4898014</v>
      </c>
      <c r="K149" s="8">
        <f t="shared" si="4"/>
        <v>0</v>
      </c>
      <c r="L149" s="8">
        <f t="shared" si="5"/>
        <v>0</v>
      </c>
      <c r="M149" s="293" t="e">
        <f t="shared" si="20"/>
        <v>#DIV/0!</v>
      </c>
    </row>
    <row r="150" spans="1:13" ht="18" customHeight="1">
      <c r="A150" s="293" t="str">
        <f t="shared" si="14"/>
        <v>NL</v>
      </c>
      <c r="B150" s="477">
        <f t="shared" si="15"/>
        <v>133</v>
      </c>
      <c r="C150" s="192" t="s">
        <v>627</v>
      </c>
      <c r="D150" s="296" t="s">
        <v>1168</v>
      </c>
      <c r="E150" s="8"/>
      <c r="F150" s="8"/>
      <c r="G150" s="25">
        <f t="array" ref="G150">SUM(IF("1521"&amp;C150=KHN&amp;MH,SL))</f>
        <v>250</v>
      </c>
      <c r="H150" s="25">
        <f t="array" ref="H150">SUM(IF("1521"&amp;C150=KHN&amp;MH,TH))</f>
        <v>7822000</v>
      </c>
      <c r="I150" s="25">
        <f t="array" ref="I150">SUM(IF("1521"&amp;C150=KHC&amp;MH,SL))</f>
        <v>160</v>
      </c>
      <c r="J150" s="25">
        <f t="array" ref="J150">SUM(IF("1521"&amp;C150=KHC&amp;MH,TH))</f>
        <v>5006080</v>
      </c>
      <c r="K150" s="8">
        <f t="shared" si="4"/>
        <v>90</v>
      </c>
      <c r="L150" s="8">
        <f t="shared" si="5"/>
        <v>2815920</v>
      </c>
      <c r="M150" s="293">
        <f t="shared" si="20"/>
        <v>31288</v>
      </c>
    </row>
    <row r="151" spans="1:13" ht="18" hidden="1" customHeight="1">
      <c r="A151" s="293" t="str">
        <f t="shared" si="14"/>
        <v>NL</v>
      </c>
      <c r="B151" s="477">
        <f t="shared" si="15"/>
        <v>134</v>
      </c>
      <c r="C151" s="192" t="s">
        <v>628</v>
      </c>
      <c r="D151" s="296" t="s">
        <v>1168</v>
      </c>
      <c r="E151" s="8"/>
      <c r="F151" s="8"/>
      <c r="G151" s="25">
        <f t="array" ref="G151">SUM(IF("1521"&amp;C151=KHN&amp;MH,SL))</f>
        <v>685</v>
      </c>
      <c r="H151" s="25">
        <f t="array" ref="H151">SUM(IF("1521"&amp;C151=KHN&amp;MH,TH))</f>
        <v>5743725</v>
      </c>
      <c r="I151" s="25">
        <f t="array" ref="I151">SUM(IF("1521"&amp;C151=KHC&amp;MH,SL))</f>
        <v>685</v>
      </c>
      <c r="J151" s="25">
        <f t="array" ref="J151">SUM(IF("1521"&amp;C151=KHC&amp;MH,TH))</f>
        <v>5743725</v>
      </c>
      <c r="K151" s="8">
        <f t="shared" si="4"/>
        <v>0</v>
      </c>
      <c r="L151" s="8">
        <f t="shared" si="5"/>
        <v>0</v>
      </c>
      <c r="M151" s="293" t="e">
        <f t="shared" si="20"/>
        <v>#DIV/0!</v>
      </c>
    </row>
    <row r="152" spans="1:13" ht="18" hidden="1" customHeight="1">
      <c r="A152" s="293" t="str">
        <f t="shared" si="14"/>
        <v>NL</v>
      </c>
      <c r="B152" s="477">
        <f t="shared" si="15"/>
        <v>135</v>
      </c>
      <c r="C152" s="192" t="s">
        <v>635</v>
      </c>
      <c r="D152" s="296" t="s">
        <v>1168</v>
      </c>
      <c r="E152" s="8"/>
      <c r="F152" s="8"/>
      <c r="G152" s="25">
        <f t="array" ref="G152">SUM(IF("1521"&amp;C152=KHN&amp;MH,SL))</f>
        <v>505</v>
      </c>
      <c r="H152" s="25">
        <f t="array" ref="H152">SUM(IF("1521"&amp;C152=KHN&amp;MH,TH))</f>
        <v>6799825</v>
      </c>
      <c r="I152" s="25">
        <f t="array" ref="I152">SUM(IF("1521"&amp;C152=KHC&amp;MH,SL))</f>
        <v>505</v>
      </c>
      <c r="J152" s="25">
        <f t="array" ref="J152">SUM(IF("1521"&amp;C152=KHC&amp;MH,TH))</f>
        <v>6799825</v>
      </c>
      <c r="K152" s="8">
        <f t="shared" si="4"/>
        <v>0</v>
      </c>
      <c r="L152" s="8">
        <f t="shared" si="5"/>
        <v>0</v>
      </c>
      <c r="M152" s="293" t="e">
        <f t="shared" si="20"/>
        <v>#DIV/0!</v>
      </c>
    </row>
    <row r="153" spans="1:13" ht="18" hidden="1" customHeight="1">
      <c r="A153" s="293" t="str">
        <f t="shared" si="14"/>
        <v>NL</v>
      </c>
      <c r="B153" s="477">
        <f t="shared" si="15"/>
        <v>136</v>
      </c>
      <c r="C153" s="192" t="s">
        <v>592</v>
      </c>
      <c r="D153" s="296" t="s">
        <v>1168</v>
      </c>
      <c r="E153" s="8"/>
      <c r="F153" s="8"/>
      <c r="G153" s="25">
        <f t="array" ref="G153">SUM(IF("1521"&amp;C153=KHN&amp;MH,SL))</f>
        <v>1015</v>
      </c>
      <c r="H153" s="25">
        <f t="array" ref="H153">SUM(IF("1521"&amp;C153=KHN&amp;MH,TH))</f>
        <v>8876170</v>
      </c>
      <c r="I153" s="25">
        <f t="array" ref="I153">SUM(IF("1521"&amp;C153=KHC&amp;MH,SL))</f>
        <v>1015</v>
      </c>
      <c r="J153" s="25">
        <f t="array" ref="J153">SUM(IF("1521"&amp;C153=KHC&amp;MH,TH))</f>
        <v>8876170</v>
      </c>
      <c r="K153" s="8">
        <f t="shared" si="4"/>
        <v>0</v>
      </c>
      <c r="L153" s="8">
        <f t="shared" si="5"/>
        <v>0</v>
      </c>
      <c r="M153" s="293" t="e">
        <f t="shared" si="20"/>
        <v>#DIV/0!</v>
      </c>
    </row>
    <row r="154" spans="1:13" ht="18" hidden="1" customHeight="1">
      <c r="A154" s="293" t="str">
        <f t="shared" si="14"/>
        <v>NL</v>
      </c>
      <c r="B154" s="477">
        <f t="shared" si="15"/>
        <v>137</v>
      </c>
      <c r="C154" s="192" t="s">
        <v>615</v>
      </c>
      <c r="D154" s="296" t="s">
        <v>1168</v>
      </c>
      <c r="E154" s="8"/>
      <c r="F154" s="8"/>
      <c r="G154" s="25">
        <f t="array" ref="G154">SUM(IF("1521"&amp;C154=KHN&amp;MH,SL))</f>
        <v>101</v>
      </c>
      <c r="H154" s="25">
        <f t="array" ref="H154">SUM(IF("1521"&amp;C154=KHN&amp;MH,TH))</f>
        <v>941724</v>
      </c>
      <c r="I154" s="25">
        <f t="array" ref="I154">SUM(IF("1521"&amp;C154=KHC&amp;MH,SL))</f>
        <v>101</v>
      </c>
      <c r="J154" s="25">
        <f t="array" ref="J154">SUM(IF("1521"&amp;C154=KHC&amp;MH,TH))</f>
        <v>941724</v>
      </c>
      <c r="K154" s="8">
        <f t="shared" si="4"/>
        <v>0</v>
      </c>
      <c r="L154" s="8">
        <f t="shared" si="5"/>
        <v>0</v>
      </c>
      <c r="M154" s="293" t="e">
        <f t="shared" si="20"/>
        <v>#DIV/0!</v>
      </c>
    </row>
    <row r="155" spans="1:13" ht="18" hidden="1" customHeight="1">
      <c r="A155" s="293" t="str">
        <f t="shared" si="14"/>
        <v>NL</v>
      </c>
      <c r="B155" s="477">
        <f t="shared" si="15"/>
        <v>138</v>
      </c>
      <c r="C155" s="192" t="s">
        <v>598</v>
      </c>
      <c r="D155" s="296" t="s">
        <v>1168</v>
      </c>
      <c r="E155" s="8"/>
      <c r="F155" s="8"/>
      <c r="G155" s="25">
        <f t="array" ref="G155">SUM(IF("1521"&amp;C155=KHN&amp;MH,SL))</f>
        <v>244</v>
      </c>
      <c r="H155" s="25">
        <f t="array" ref="H155">SUM(IF("1521"&amp;C155=KHN&amp;MH,TH))</f>
        <v>4324168</v>
      </c>
      <c r="I155" s="25">
        <f t="array" ref="I155">SUM(IF("1521"&amp;C155=KHC&amp;MH,SL))</f>
        <v>244</v>
      </c>
      <c r="J155" s="25">
        <f t="array" ref="J155">SUM(IF("1521"&amp;C155=KHC&amp;MH,TH))</f>
        <v>4324168</v>
      </c>
      <c r="K155" s="8">
        <f t="shared" si="4"/>
        <v>0</v>
      </c>
      <c r="L155" s="8">
        <f t="shared" si="5"/>
        <v>0</v>
      </c>
      <c r="M155" s="293" t="e">
        <f t="shared" si="20"/>
        <v>#DIV/0!</v>
      </c>
    </row>
    <row r="156" spans="1:13" ht="18" hidden="1" customHeight="1">
      <c r="A156" s="293" t="str">
        <f t="shared" si="14"/>
        <v>NL</v>
      </c>
      <c r="B156" s="477">
        <f t="shared" si="15"/>
        <v>139</v>
      </c>
      <c r="C156" s="189" t="s">
        <v>610</v>
      </c>
      <c r="D156" s="296" t="s">
        <v>1168</v>
      </c>
      <c r="E156" s="8"/>
      <c r="F156" s="8"/>
      <c r="G156" s="25">
        <f t="array" ref="G156">SUM(IF("1521"&amp;C156=KHN&amp;MH,SL))</f>
        <v>259</v>
      </c>
      <c r="H156" s="25">
        <f t="array" ref="H156">SUM(IF("1521"&amp;C156=KHN&amp;MH,TH))</f>
        <v>4525507</v>
      </c>
      <c r="I156" s="25">
        <f t="array" ref="I156">SUM(IF("1521"&amp;C156=KHC&amp;MH,SL))</f>
        <v>259</v>
      </c>
      <c r="J156" s="25">
        <f t="array" ref="J156">SUM(IF("1521"&amp;C156=KHC&amp;MH,TH))</f>
        <v>4525507</v>
      </c>
      <c r="K156" s="8">
        <f t="shared" si="4"/>
        <v>0</v>
      </c>
      <c r="L156" s="8">
        <f t="shared" si="5"/>
        <v>0</v>
      </c>
      <c r="M156" s="293" t="e">
        <f t="shared" si="20"/>
        <v>#DIV/0!</v>
      </c>
    </row>
    <row r="157" spans="1:13" ht="18" customHeight="1">
      <c r="A157" s="293" t="str">
        <f t="shared" si="14"/>
        <v>NL</v>
      </c>
      <c r="B157" s="477">
        <f t="shared" si="15"/>
        <v>140</v>
      </c>
      <c r="C157" s="192" t="s">
        <v>632</v>
      </c>
      <c r="D157" s="296" t="s">
        <v>1168</v>
      </c>
      <c r="E157" s="8"/>
      <c r="F157" s="8"/>
      <c r="G157" s="25">
        <f t="array" ref="G157">SUM(IF("1521"&amp;C157=KHN&amp;MH,SL))</f>
        <v>201</v>
      </c>
      <c r="H157" s="25">
        <f t="array" ref="H157">SUM(IF("1521"&amp;C157=KHN&amp;MH,TH))</f>
        <v>2716917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4"/>
        <v>201</v>
      </c>
      <c r="L157" s="8">
        <f t="shared" si="5"/>
        <v>2716917</v>
      </c>
      <c r="M157" s="293">
        <f t="shared" si="20"/>
        <v>13517</v>
      </c>
    </row>
    <row r="158" spans="1:13" ht="18" hidden="1" customHeight="1">
      <c r="A158" s="293" t="str">
        <f t="shared" si="14"/>
        <v>NL</v>
      </c>
      <c r="B158" s="477">
        <f t="shared" si="15"/>
        <v>141</v>
      </c>
      <c r="C158" s="192" t="s">
        <v>608</v>
      </c>
      <c r="D158" s="296" t="s">
        <v>1168</v>
      </c>
      <c r="E158" s="8"/>
      <c r="F158" s="8"/>
      <c r="G158" s="25">
        <f t="array" ref="G158">SUM(IF("1521"&amp;C158=KHN&amp;MH,SL))</f>
        <v>474</v>
      </c>
      <c r="H158" s="25">
        <f t="array" ref="H158">SUM(IF("1521"&amp;C158=KHN&amp;MH,TH))</f>
        <v>9133980</v>
      </c>
      <c r="I158" s="25">
        <f t="array" ref="I158">SUM(IF("1521"&amp;C158=KHC&amp;MH,SL))</f>
        <v>474</v>
      </c>
      <c r="J158" s="25">
        <f t="array" ref="J158">SUM(IF("1521"&amp;C158=KHC&amp;MH,TH))</f>
        <v>9133980</v>
      </c>
      <c r="K158" s="8">
        <f t="shared" si="4"/>
        <v>0</v>
      </c>
      <c r="L158" s="8">
        <f t="shared" si="5"/>
        <v>0</v>
      </c>
      <c r="M158" s="293" t="e">
        <f t="shared" si="20"/>
        <v>#DIV/0!</v>
      </c>
    </row>
    <row r="159" spans="1:13" ht="18" hidden="1" customHeight="1">
      <c r="A159" s="293" t="str">
        <f t="shared" si="14"/>
        <v>NL</v>
      </c>
      <c r="B159" s="477">
        <f t="shared" si="15"/>
        <v>142</v>
      </c>
      <c r="C159" s="192" t="s">
        <v>587</v>
      </c>
      <c r="D159" s="296" t="s">
        <v>1168</v>
      </c>
      <c r="E159" s="8"/>
      <c r="F159" s="8"/>
      <c r="G159" s="25">
        <f t="array" ref="G159">SUM(IF("1521"&amp;C159=KHN&amp;MH,SL))</f>
        <v>260</v>
      </c>
      <c r="H159" s="25">
        <f t="array" ref="H159">SUM(IF("1521"&amp;C159=KHN&amp;MH,TH))</f>
        <v>4322760</v>
      </c>
      <c r="I159" s="25">
        <f t="array" ref="I159">SUM(IF("1521"&amp;C159=KHC&amp;MH,SL))</f>
        <v>260</v>
      </c>
      <c r="J159" s="25">
        <f t="array" ref="J159">SUM(IF("1521"&amp;C159=KHC&amp;MH,TH))</f>
        <v>4322760</v>
      </c>
      <c r="K159" s="8">
        <f t="shared" si="4"/>
        <v>0</v>
      </c>
      <c r="L159" s="8">
        <f t="shared" si="5"/>
        <v>0</v>
      </c>
      <c r="M159" s="293" t="e">
        <f t="shared" si="20"/>
        <v>#DIV/0!</v>
      </c>
    </row>
    <row r="160" spans="1:13" ht="18" hidden="1" customHeight="1">
      <c r="A160" s="293" t="str">
        <f t="shared" si="14"/>
        <v>NL</v>
      </c>
      <c r="B160" s="477">
        <f t="shared" si="15"/>
        <v>143</v>
      </c>
      <c r="C160" s="192" t="s">
        <v>611</v>
      </c>
      <c r="D160" s="296" t="s">
        <v>1168</v>
      </c>
      <c r="E160" s="8"/>
      <c r="F160" s="8"/>
      <c r="G160" s="25">
        <f t="array" ref="G160">SUM(IF("1521"&amp;C160=KHN&amp;MH,SL))</f>
        <v>712</v>
      </c>
      <c r="H160" s="25">
        <f t="array" ref="H160">SUM(IF("1521"&amp;C160=KHN&amp;MH,TH))</f>
        <v>6024232</v>
      </c>
      <c r="I160" s="25">
        <f t="array" ref="I160">SUM(IF("1521"&amp;C160=KHC&amp;MH,SL))</f>
        <v>712</v>
      </c>
      <c r="J160" s="25">
        <f t="array" ref="J160">SUM(IF("1521"&amp;C160=KHC&amp;MH,TH))</f>
        <v>6024232</v>
      </c>
      <c r="K160" s="8">
        <f t="shared" si="4"/>
        <v>0</v>
      </c>
      <c r="L160" s="8">
        <f t="shared" si="5"/>
        <v>0</v>
      </c>
      <c r="M160" s="293" t="e">
        <f t="shared" si="20"/>
        <v>#DIV/0!</v>
      </c>
    </row>
    <row r="161" spans="1:13" ht="18" hidden="1" customHeight="1">
      <c r="A161" s="293" t="str">
        <f t="shared" si="14"/>
        <v>NL</v>
      </c>
      <c r="B161" s="477">
        <f t="shared" si="15"/>
        <v>144</v>
      </c>
      <c r="C161" s="297" t="s">
        <v>639</v>
      </c>
      <c r="D161" s="296" t="s">
        <v>1168</v>
      </c>
      <c r="E161" s="8"/>
      <c r="F161" s="8"/>
      <c r="G161" s="25">
        <f t="array" ref="G161">SUM(IF("1521"&amp;C161=KHN&amp;MH,SL))</f>
        <v>578</v>
      </c>
      <c r="H161" s="25">
        <f t="array" ref="H161">SUM(IF("1521"&amp;C161=KHN&amp;MH,TH))</f>
        <v>11802760</v>
      </c>
      <c r="I161" s="25">
        <f t="array" ref="I161">SUM(IF("1521"&amp;C161=KHC&amp;MH,SL))</f>
        <v>578</v>
      </c>
      <c r="J161" s="25">
        <f t="array" ref="J161">SUM(IF("1521"&amp;C161=KHC&amp;MH,TH))</f>
        <v>11802760</v>
      </c>
      <c r="K161" s="8">
        <f t="shared" si="4"/>
        <v>0</v>
      </c>
      <c r="L161" s="8">
        <f t="shared" si="5"/>
        <v>0</v>
      </c>
      <c r="M161" s="293" t="e">
        <f t="shared" si="20"/>
        <v>#DIV/0!</v>
      </c>
    </row>
    <row r="162" spans="1:13" ht="18" hidden="1" customHeight="1">
      <c r="A162" s="293" t="str">
        <f t="shared" si="14"/>
        <v>NL</v>
      </c>
      <c r="B162" s="477">
        <f t="shared" si="15"/>
        <v>145</v>
      </c>
      <c r="C162" s="192" t="s">
        <v>603</v>
      </c>
      <c r="D162" s="296" t="s">
        <v>1168</v>
      </c>
      <c r="E162" s="8"/>
      <c r="F162" s="8"/>
      <c r="G162" s="25">
        <f t="array" ref="G162">SUM(IF("1521"&amp;C162=KHN&amp;MH,SL))</f>
        <v>336</v>
      </c>
      <c r="H162" s="25">
        <f t="array" ref="H162">SUM(IF("1521"&amp;C162=KHN&amp;MH,TH))</f>
        <v>6905808</v>
      </c>
      <c r="I162" s="25">
        <f t="array" ref="I162">SUM(IF("1521"&amp;C162=KHC&amp;MH,SL))</f>
        <v>336</v>
      </c>
      <c r="J162" s="25">
        <f t="array" ref="J162">SUM(IF("1521"&amp;C162=KHC&amp;MH,TH))</f>
        <v>6905808</v>
      </c>
      <c r="K162" s="8">
        <f t="shared" si="4"/>
        <v>0</v>
      </c>
      <c r="L162" s="8">
        <f t="shared" si="5"/>
        <v>0</v>
      </c>
      <c r="M162" s="293" t="e">
        <f t="shared" si="20"/>
        <v>#DIV/0!</v>
      </c>
    </row>
    <row r="163" spans="1:13" ht="18" customHeight="1">
      <c r="A163" s="293" t="str">
        <f t="shared" si="14"/>
        <v>NL</v>
      </c>
      <c r="B163" s="477">
        <f t="shared" si="15"/>
        <v>146</v>
      </c>
      <c r="C163" s="192" t="s">
        <v>623</v>
      </c>
      <c r="D163" s="296" t="s">
        <v>1168</v>
      </c>
      <c r="E163" s="8"/>
      <c r="F163" s="8"/>
      <c r="G163" s="25">
        <f t="array" ref="G163">SUM(IF("1521"&amp;C163=KHN&amp;MH,SL))</f>
        <v>497</v>
      </c>
      <c r="H163" s="25">
        <f t="array" ref="H163">SUM(IF("1521"&amp;C163=KHN&amp;MH,TH))</f>
        <v>5673752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4"/>
        <v>497</v>
      </c>
      <c r="L163" s="8">
        <f t="shared" si="5"/>
        <v>5673752</v>
      </c>
      <c r="M163" s="293">
        <f t="shared" si="20"/>
        <v>11416</v>
      </c>
    </row>
    <row r="164" spans="1:13" ht="18" customHeight="1">
      <c r="A164" s="293" t="str">
        <f t="shared" si="14"/>
        <v>NL</v>
      </c>
      <c r="B164" s="477">
        <f t="shared" si="15"/>
        <v>147</v>
      </c>
      <c r="C164" s="192" t="s">
        <v>622</v>
      </c>
      <c r="D164" s="296" t="s">
        <v>1168</v>
      </c>
      <c r="E164" s="8"/>
      <c r="F164" s="8"/>
      <c r="G164" s="25">
        <f t="array" ref="G164">SUM(IF("1521"&amp;C164=KHN&amp;MH,SL))</f>
        <v>142</v>
      </c>
      <c r="H164" s="25">
        <f t="array" ref="H164">SUM(IF("1521"&amp;C164=KHN&amp;MH,TH))</f>
        <v>2643614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4"/>
        <v>142</v>
      </c>
      <c r="L164" s="8">
        <f t="shared" si="5"/>
        <v>2643614</v>
      </c>
      <c r="M164" s="293">
        <f t="shared" si="20"/>
        <v>18617</v>
      </c>
    </row>
    <row r="165" spans="1:13" ht="18" customHeight="1">
      <c r="A165" s="293" t="str">
        <f t="shared" si="14"/>
        <v>NL</v>
      </c>
      <c r="B165" s="477">
        <f t="shared" si="15"/>
        <v>148</v>
      </c>
      <c r="C165" s="192" t="s">
        <v>605</v>
      </c>
      <c r="D165" s="296" t="s">
        <v>1168</v>
      </c>
      <c r="E165" s="8"/>
      <c r="F165" s="8"/>
      <c r="G165" s="25">
        <f t="array" ref="G165">SUM(IF("1521"&amp;C165=KHN&amp;MH,SL))</f>
        <v>137</v>
      </c>
      <c r="H165" s="25">
        <f t="array" ref="H165">SUM(IF("1521"&amp;C165=KHN&amp;MH,TH))</f>
        <v>2548885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4"/>
        <v>137</v>
      </c>
      <c r="L165" s="8">
        <f t="shared" si="5"/>
        <v>2548885</v>
      </c>
      <c r="M165" s="293">
        <f t="shared" si="20"/>
        <v>18605</v>
      </c>
    </row>
    <row r="166" spans="1:13" ht="18" customHeight="1">
      <c r="A166" s="293" t="str">
        <f t="shared" si="14"/>
        <v>NL</v>
      </c>
      <c r="B166" s="477">
        <f t="shared" si="15"/>
        <v>149</v>
      </c>
      <c r="C166" s="192" t="s">
        <v>594</v>
      </c>
      <c r="D166" s="296" t="s">
        <v>1168</v>
      </c>
      <c r="E166" s="8"/>
      <c r="F166" s="8"/>
      <c r="G166" s="25">
        <f t="array" ref="G166">SUM(IF("1521"&amp;C166=KHN&amp;MH,SL))</f>
        <v>121</v>
      </c>
      <c r="H166" s="25">
        <f t="array" ref="H166">SUM(IF("1521"&amp;C166=KHN&amp;MH,TH))</f>
        <v>1648625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ref="K166:K197" si="21">E166+G166-I166</f>
        <v>121</v>
      </c>
      <c r="L166" s="8">
        <f t="shared" ref="L166:L197" si="22">F166+H166-J166</f>
        <v>1648625</v>
      </c>
      <c r="M166" s="293">
        <f t="shared" si="20"/>
        <v>13625</v>
      </c>
    </row>
    <row r="167" spans="1:13" ht="18" hidden="1" customHeight="1">
      <c r="A167" s="293" t="str">
        <f t="shared" si="14"/>
        <v>NL</v>
      </c>
      <c r="B167" s="477">
        <f t="shared" si="15"/>
        <v>150</v>
      </c>
      <c r="C167" s="192" t="s">
        <v>614</v>
      </c>
      <c r="D167" s="296" t="s">
        <v>1168</v>
      </c>
      <c r="E167" s="8"/>
      <c r="F167" s="8"/>
      <c r="G167" s="25">
        <f t="array" ref="G167">SUM(IF("1521"&amp;C167=KHN&amp;MH,SL))</f>
        <v>106</v>
      </c>
      <c r="H167" s="25">
        <f t="array" ref="H167">SUM(IF("1521"&amp;C167=KHN&amp;MH,TH))</f>
        <v>1153916</v>
      </c>
      <c r="I167" s="25">
        <f t="array" ref="I167">SUM(IF("1521"&amp;C167=KHC&amp;MH,SL))</f>
        <v>106</v>
      </c>
      <c r="J167" s="25">
        <f t="array" ref="J167">SUM(IF("1521"&amp;C167=KHC&amp;MH,TH))</f>
        <v>1153916</v>
      </c>
      <c r="K167" s="8">
        <f t="shared" si="21"/>
        <v>0</v>
      </c>
      <c r="L167" s="8">
        <f t="shared" si="22"/>
        <v>0</v>
      </c>
      <c r="M167" s="293" t="e">
        <f t="shared" si="20"/>
        <v>#DIV/0!</v>
      </c>
    </row>
    <row r="168" spans="1:13" ht="18" hidden="1" customHeight="1">
      <c r="A168" s="293" t="str">
        <f t="shared" si="14"/>
        <v>NL</v>
      </c>
      <c r="B168" s="477">
        <f t="shared" si="15"/>
        <v>151</v>
      </c>
      <c r="C168" s="192" t="s">
        <v>634</v>
      </c>
      <c r="D168" s="296" t="s">
        <v>1168</v>
      </c>
      <c r="E168" s="8"/>
      <c r="F168" s="8"/>
      <c r="G168" s="25">
        <f t="array" ref="G168">SUM(IF("1521"&amp;C168=KHN&amp;MH,SL))</f>
        <v>192</v>
      </c>
      <c r="H168" s="25">
        <f t="array" ref="H168">SUM(IF("1521"&amp;C168=KHN&amp;MH,TH))</f>
        <v>2136192</v>
      </c>
      <c r="I168" s="25">
        <f t="array" ref="I168">SUM(IF("1521"&amp;C168=KHC&amp;MH,SL))</f>
        <v>192</v>
      </c>
      <c r="J168" s="25">
        <f t="array" ref="J168">SUM(IF("1521"&amp;C168=KHC&amp;MH,TH))</f>
        <v>2136192</v>
      </c>
      <c r="K168" s="8">
        <f t="shared" si="21"/>
        <v>0</v>
      </c>
      <c r="L168" s="8">
        <f t="shared" si="22"/>
        <v>0</v>
      </c>
      <c r="M168" s="293" t="e">
        <f t="shared" si="20"/>
        <v>#DIV/0!</v>
      </c>
    </row>
    <row r="169" spans="1:13" ht="18" customHeight="1">
      <c r="A169" s="293" t="str">
        <f t="shared" si="14"/>
        <v>NL</v>
      </c>
      <c r="B169" s="477">
        <f t="shared" si="15"/>
        <v>152</v>
      </c>
      <c r="C169" s="192" t="s">
        <v>602</v>
      </c>
      <c r="D169" s="296" t="s">
        <v>1168</v>
      </c>
      <c r="E169" s="8"/>
      <c r="F169" s="8"/>
      <c r="G169" s="25">
        <f t="array" ref="G169">SUM(IF("1521"&amp;C169=KHN&amp;MH,SL))</f>
        <v>242</v>
      </c>
      <c r="H169" s="25">
        <f t="array" ref="H169">SUM(IF("1521"&amp;C169=KHN&amp;MH,TH))</f>
        <v>3220052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21"/>
        <v>242</v>
      </c>
      <c r="L169" s="8">
        <f t="shared" si="22"/>
        <v>3220052</v>
      </c>
      <c r="M169" s="293">
        <f t="shared" si="20"/>
        <v>13306</v>
      </c>
    </row>
    <row r="170" spans="1:13" ht="18" hidden="1" customHeight="1">
      <c r="A170" s="293" t="str">
        <f t="shared" si="14"/>
        <v>NL</v>
      </c>
      <c r="B170" s="477">
        <f t="shared" si="15"/>
        <v>153</v>
      </c>
      <c r="C170" s="192" t="s">
        <v>624</v>
      </c>
      <c r="D170" s="296" t="s">
        <v>1168</v>
      </c>
      <c r="E170" s="8"/>
      <c r="F170" s="8"/>
      <c r="G170" s="25">
        <f t="array" ref="G170">SUM(IF("1521"&amp;C170=KHN&amp;MH,SL))</f>
        <v>50</v>
      </c>
      <c r="H170" s="25">
        <f t="array" ref="H170">SUM(IF("1521"&amp;C170=KHN&amp;MH,TH))</f>
        <v>785650</v>
      </c>
      <c r="I170" s="25">
        <f t="array" ref="I170">SUM(IF("1521"&amp;C170=KHC&amp;MH,SL))</f>
        <v>50</v>
      </c>
      <c r="J170" s="25">
        <f t="array" ref="J170">SUM(IF("1521"&amp;C170=KHC&amp;MH,TH))</f>
        <v>785650</v>
      </c>
      <c r="K170" s="8">
        <f t="shared" si="21"/>
        <v>0</v>
      </c>
      <c r="L170" s="8">
        <f t="shared" si="22"/>
        <v>0</v>
      </c>
      <c r="M170" s="293" t="e">
        <f t="shared" si="20"/>
        <v>#DIV/0!</v>
      </c>
    </row>
    <row r="171" spans="1:13" ht="18" hidden="1" customHeight="1">
      <c r="A171" s="293" t="str">
        <f t="shared" si="14"/>
        <v>NL</v>
      </c>
      <c r="B171" s="477">
        <f t="shared" si="15"/>
        <v>154</v>
      </c>
      <c r="C171" s="192" t="s">
        <v>617</v>
      </c>
      <c r="D171" s="296" t="s">
        <v>1168</v>
      </c>
      <c r="E171" s="8"/>
      <c r="F171" s="8"/>
      <c r="G171" s="25">
        <f t="array" ref="G171">SUM(IF("1521"&amp;C171=KHN&amp;MH,SL))</f>
        <v>149</v>
      </c>
      <c r="H171" s="25">
        <f t="array" ref="H171">SUM(IF("1521"&amp;C171=KHN&amp;MH,TH))</f>
        <v>1789490</v>
      </c>
      <c r="I171" s="25">
        <f t="array" ref="I171">SUM(IF("1521"&amp;C171=KHC&amp;MH,SL))</f>
        <v>149</v>
      </c>
      <c r="J171" s="25">
        <f t="array" ref="J171">SUM(IF("1521"&amp;C171=KHC&amp;MH,TH))</f>
        <v>1789490</v>
      </c>
      <c r="K171" s="8">
        <f t="shared" si="21"/>
        <v>0</v>
      </c>
      <c r="L171" s="8">
        <f t="shared" si="22"/>
        <v>0</v>
      </c>
      <c r="M171" s="293" t="e">
        <f t="shared" si="20"/>
        <v>#DIV/0!</v>
      </c>
    </row>
    <row r="172" spans="1:13" ht="18" customHeight="1">
      <c r="A172" s="293" t="str">
        <f t="shared" si="14"/>
        <v>NL</v>
      </c>
      <c r="B172" s="477">
        <f t="shared" si="15"/>
        <v>155</v>
      </c>
      <c r="C172" s="192" t="s">
        <v>630</v>
      </c>
      <c r="D172" s="296" t="s">
        <v>1168</v>
      </c>
      <c r="E172" s="8"/>
      <c r="F172" s="8"/>
      <c r="G172" s="25">
        <f t="array" ref="G172">SUM(IF("1521"&amp;C172=KHN&amp;MH,SL))</f>
        <v>619</v>
      </c>
      <c r="H172" s="25">
        <f t="array" ref="H172">SUM(IF("1521"&amp;C172=KHN&amp;MH,TH))</f>
        <v>9151296</v>
      </c>
      <c r="I172" s="25">
        <f t="array" ref="I172">SUM(IF("1521"&amp;C172=KHC&amp;MH,SL))</f>
        <v>469</v>
      </c>
      <c r="J172" s="25">
        <f t="array" ref="J172">SUM(IF("1521"&amp;C172=KHC&amp;MH,TH))</f>
        <v>6933696</v>
      </c>
      <c r="K172" s="8">
        <f t="shared" si="21"/>
        <v>150</v>
      </c>
      <c r="L172" s="8">
        <f t="shared" si="22"/>
        <v>2217600</v>
      </c>
      <c r="M172" s="293">
        <f t="shared" si="20"/>
        <v>14784</v>
      </c>
    </row>
    <row r="173" spans="1:13" ht="18" hidden="1" customHeight="1">
      <c r="A173" s="293" t="str">
        <f t="shared" si="14"/>
        <v>NL</v>
      </c>
      <c r="B173" s="477">
        <f t="shared" si="15"/>
        <v>156</v>
      </c>
      <c r="C173" s="189" t="s">
        <v>616</v>
      </c>
      <c r="D173" s="296" t="s">
        <v>1168</v>
      </c>
      <c r="E173" s="8"/>
      <c r="F173" s="8"/>
      <c r="G173" s="25">
        <f t="array" ref="G173">SUM(IF("1521"&amp;C173=KHN&amp;MH,SL))</f>
        <v>106</v>
      </c>
      <c r="H173" s="25">
        <f t="array" ref="H173">SUM(IF("1521"&amp;C173=KHN&amp;MH,TH))</f>
        <v>1327968</v>
      </c>
      <c r="I173" s="25">
        <f t="array" ref="I173">SUM(IF("1521"&amp;C173=KHC&amp;MH,SL))</f>
        <v>106</v>
      </c>
      <c r="J173" s="25">
        <f t="array" ref="J173">SUM(IF("1521"&amp;C173=KHC&amp;MH,TH))</f>
        <v>1327968</v>
      </c>
      <c r="K173" s="8">
        <f t="shared" si="21"/>
        <v>0</v>
      </c>
      <c r="L173" s="8">
        <f t="shared" si="22"/>
        <v>0</v>
      </c>
      <c r="M173" s="293" t="e">
        <f t="shared" si="20"/>
        <v>#DIV/0!</v>
      </c>
    </row>
    <row r="174" spans="1:13" ht="18" hidden="1" customHeight="1">
      <c r="A174" s="293" t="str">
        <f t="shared" si="14"/>
        <v>NL</v>
      </c>
      <c r="B174" s="477">
        <f t="shared" si="15"/>
        <v>157</v>
      </c>
      <c r="C174" s="192" t="s">
        <v>586</v>
      </c>
      <c r="D174" s="296" t="s">
        <v>1168</v>
      </c>
      <c r="E174" s="8"/>
      <c r="F174" s="8"/>
      <c r="G174" s="25">
        <f t="array" ref="G174">SUM(IF("1521"&amp;C174=KHN&amp;MH,SL))</f>
        <v>201</v>
      </c>
      <c r="H174" s="25">
        <f t="array" ref="H174">SUM(IF("1521"&amp;C174=KHN&amp;MH,TH))</f>
        <v>3505038</v>
      </c>
      <c r="I174" s="25">
        <f t="array" ref="I174">SUM(IF("1521"&amp;C174=KHC&amp;MH,SL))</f>
        <v>201</v>
      </c>
      <c r="J174" s="25">
        <f t="array" ref="J174">SUM(IF("1521"&amp;C174=KHC&amp;MH,TH))</f>
        <v>3505038</v>
      </c>
      <c r="K174" s="8">
        <f t="shared" si="21"/>
        <v>0</v>
      </c>
      <c r="L174" s="8">
        <f t="shared" si="22"/>
        <v>0</v>
      </c>
      <c r="M174" s="293" t="e">
        <f t="shared" si="20"/>
        <v>#DIV/0!</v>
      </c>
    </row>
    <row r="175" spans="1:13" ht="18" hidden="1" customHeight="1">
      <c r="A175" s="293" t="str">
        <f t="shared" si="14"/>
        <v>NL</v>
      </c>
      <c r="B175" s="477">
        <f t="shared" si="15"/>
        <v>158</v>
      </c>
      <c r="C175" s="192" t="s">
        <v>589</v>
      </c>
      <c r="D175" s="296" t="s">
        <v>1168</v>
      </c>
      <c r="E175" s="8"/>
      <c r="F175" s="8"/>
      <c r="G175" s="25">
        <f t="array" ref="G175">SUM(IF("1521"&amp;C175=KHN&amp;MH,SL))</f>
        <v>258</v>
      </c>
      <c r="H175" s="25">
        <f t="array" ref="H175">SUM(IF("1521"&amp;C175=KHN&amp;MH,TH))</f>
        <v>5133168</v>
      </c>
      <c r="I175" s="25">
        <f t="array" ref="I175">SUM(IF("1521"&amp;C175=KHC&amp;MH,SL))</f>
        <v>258</v>
      </c>
      <c r="J175" s="25">
        <f t="array" ref="J175">SUM(IF("1521"&amp;C175=KHC&amp;MH,TH))</f>
        <v>5133168</v>
      </c>
      <c r="K175" s="8">
        <f t="shared" si="21"/>
        <v>0</v>
      </c>
      <c r="L175" s="8">
        <f t="shared" si="22"/>
        <v>0</v>
      </c>
      <c r="M175" s="293" t="e">
        <f t="shared" si="20"/>
        <v>#DIV/0!</v>
      </c>
    </row>
    <row r="176" spans="1:13" ht="18" hidden="1" customHeight="1">
      <c r="A176" s="293" t="str">
        <f t="shared" si="14"/>
        <v>NL</v>
      </c>
      <c r="B176" s="477">
        <f t="shared" si="15"/>
        <v>159</v>
      </c>
      <c r="C176" s="192" t="s">
        <v>600</v>
      </c>
      <c r="D176" s="296" t="s">
        <v>1168</v>
      </c>
      <c r="E176" s="8"/>
      <c r="F176" s="8"/>
      <c r="G176" s="25">
        <f t="array" ref="G176">SUM(IF("1521"&amp;C176=KHN&amp;MH,SL))</f>
        <v>512</v>
      </c>
      <c r="H176" s="25">
        <f t="array" ref="H176">SUM(IF("1521"&amp;C176=KHN&amp;MH,TH))</f>
        <v>11206656</v>
      </c>
      <c r="I176" s="25">
        <f t="array" ref="I176">SUM(IF("1521"&amp;C176=KHC&amp;MH,SL))</f>
        <v>512</v>
      </c>
      <c r="J176" s="25">
        <f t="array" ref="J176">SUM(IF("1521"&amp;C176=KHC&amp;MH,TH))</f>
        <v>11206656</v>
      </c>
      <c r="K176" s="8">
        <f t="shared" si="21"/>
        <v>0</v>
      </c>
      <c r="L176" s="8">
        <f t="shared" si="22"/>
        <v>0</v>
      </c>
      <c r="M176" s="293" t="e">
        <f t="shared" si="20"/>
        <v>#DIV/0!</v>
      </c>
    </row>
    <row r="177" spans="1:13" ht="18" customHeight="1">
      <c r="A177" s="293" t="str">
        <f t="shared" si="14"/>
        <v>NL</v>
      </c>
      <c r="B177" s="477">
        <f t="shared" si="15"/>
        <v>160</v>
      </c>
      <c r="C177" s="192" t="s">
        <v>599</v>
      </c>
      <c r="D177" s="296" t="s">
        <v>1168</v>
      </c>
      <c r="E177" s="8"/>
      <c r="F177" s="8"/>
      <c r="G177" s="25">
        <f t="array" ref="G177">SUM(IF("1521"&amp;C177=KHN&amp;MH,SL))</f>
        <v>206</v>
      </c>
      <c r="H177" s="25">
        <f t="array" ref="H177">SUM(IF("1521"&amp;C177=KHN&amp;MH,TH))</f>
        <v>4111348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21"/>
        <v>206</v>
      </c>
      <c r="L177" s="8">
        <f t="shared" si="22"/>
        <v>4111348</v>
      </c>
      <c r="M177" s="293">
        <f t="shared" si="20"/>
        <v>19958</v>
      </c>
    </row>
    <row r="178" spans="1:13" ht="18" customHeight="1">
      <c r="A178" s="293" t="str">
        <f t="shared" si="14"/>
        <v>NL</v>
      </c>
      <c r="B178" s="477">
        <f t="shared" si="15"/>
        <v>161</v>
      </c>
      <c r="C178" s="192" t="s">
        <v>583</v>
      </c>
      <c r="D178" s="296" t="s">
        <v>1168</v>
      </c>
      <c r="E178" s="8"/>
      <c r="F178" s="8"/>
      <c r="G178" s="25">
        <f t="array" ref="G178">SUM(IF("1521"&amp;C178=KHN&amp;MH,SL))</f>
        <v>203</v>
      </c>
      <c r="H178" s="25">
        <f t="array" ref="H178">SUM(IF("1521"&amp;C178=KHN&amp;MH,TH))</f>
        <v>4215295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21"/>
        <v>203</v>
      </c>
      <c r="L178" s="8">
        <f t="shared" si="22"/>
        <v>4215295</v>
      </c>
      <c r="M178" s="293">
        <f t="shared" si="20"/>
        <v>20765</v>
      </c>
    </row>
    <row r="179" spans="1:13" ht="18" customHeight="1">
      <c r="A179" s="293" t="str">
        <f t="shared" si="14"/>
        <v>NL</v>
      </c>
      <c r="B179" s="477">
        <f t="shared" si="15"/>
        <v>162</v>
      </c>
      <c r="C179" s="192" t="s">
        <v>619</v>
      </c>
      <c r="D179" s="296" t="s">
        <v>1168</v>
      </c>
      <c r="E179" s="8"/>
      <c r="F179" s="8"/>
      <c r="G179" s="25">
        <f t="array" ref="G179">SUM(IF("1521"&amp;C179=KHN&amp;MH,SL))</f>
        <v>203</v>
      </c>
      <c r="H179" s="25">
        <f t="array" ref="H179">SUM(IF("1521"&amp;C179=KHN&amp;MH,TH))</f>
        <v>4522231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21"/>
        <v>203</v>
      </c>
      <c r="L179" s="8">
        <f t="shared" si="22"/>
        <v>4522231</v>
      </c>
      <c r="M179" s="293">
        <f t="shared" si="20"/>
        <v>22277</v>
      </c>
    </row>
    <row r="180" spans="1:13" ht="18" hidden="1" customHeight="1">
      <c r="A180" s="293" t="str">
        <f t="shared" si="14"/>
        <v>NL</v>
      </c>
      <c r="B180" s="477">
        <f t="shared" si="15"/>
        <v>163</v>
      </c>
      <c r="C180" s="192" t="s">
        <v>636</v>
      </c>
      <c r="D180" s="296" t="s">
        <v>1168</v>
      </c>
      <c r="E180" s="8"/>
      <c r="F180" s="8"/>
      <c r="G180" s="25">
        <f t="array" ref="G180">SUM(IF("1521"&amp;C180=KHN&amp;MH,SL))</f>
        <v>235</v>
      </c>
      <c r="H180" s="25">
        <f t="array" ref="H180">SUM(IF("1521"&amp;C180=KHN&amp;MH,TH))</f>
        <v>8514990</v>
      </c>
      <c r="I180" s="25">
        <f t="array" ref="I180">SUM(IF("1521"&amp;C180=KHC&amp;MH,SL))</f>
        <v>235</v>
      </c>
      <c r="J180" s="25">
        <f t="array" ref="J180">SUM(IF("1521"&amp;C180=KHC&amp;MH,TH))</f>
        <v>8514990</v>
      </c>
      <c r="K180" s="8">
        <f t="shared" si="21"/>
        <v>0</v>
      </c>
      <c r="L180" s="8">
        <f t="shared" si="22"/>
        <v>0</v>
      </c>
      <c r="M180" s="293" t="e">
        <f t="shared" si="20"/>
        <v>#DIV/0!</v>
      </c>
    </row>
    <row r="181" spans="1:13" ht="18" customHeight="1">
      <c r="A181" s="293" t="str">
        <f t="shared" si="14"/>
        <v>NL</v>
      </c>
      <c r="B181" s="477">
        <f t="shared" si="15"/>
        <v>164</v>
      </c>
      <c r="C181" s="192" t="s">
        <v>618</v>
      </c>
      <c r="D181" s="296" t="s">
        <v>1168</v>
      </c>
      <c r="E181" s="8"/>
      <c r="F181" s="8"/>
      <c r="G181" s="25">
        <f t="array" ref="G181">SUM(IF("1521"&amp;C181=KHN&amp;MH,SL))</f>
        <v>101</v>
      </c>
      <c r="H181" s="25">
        <f t="array" ref="H181">SUM(IF("1521"&amp;C181=KHN&amp;MH,TH))</f>
        <v>2321182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21"/>
        <v>101</v>
      </c>
      <c r="L181" s="8">
        <f t="shared" si="22"/>
        <v>2321182</v>
      </c>
      <c r="M181" s="293">
        <f t="shared" si="20"/>
        <v>22982</v>
      </c>
    </row>
    <row r="182" spans="1:13" ht="18" customHeight="1">
      <c r="A182" s="293" t="str">
        <f t="shared" si="14"/>
        <v>NL</v>
      </c>
      <c r="B182" s="477">
        <f t="shared" si="15"/>
        <v>165</v>
      </c>
      <c r="C182" s="297" t="s">
        <v>596</v>
      </c>
      <c r="D182" s="296" t="s">
        <v>1168</v>
      </c>
      <c r="E182" s="8"/>
      <c r="F182" s="8"/>
      <c r="G182" s="25">
        <f t="array" ref="G182">SUM(IF("1521"&amp;C182=KHN&amp;MH,SL))</f>
        <v>100</v>
      </c>
      <c r="H182" s="25">
        <f t="array" ref="H182">SUM(IF("1521"&amp;C182=KHN&amp;MH,TH))</f>
        <v>2389000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21"/>
        <v>100</v>
      </c>
      <c r="L182" s="8">
        <f t="shared" si="22"/>
        <v>2389000</v>
      </c>
      <c r="M182" s="293">
        <f t="shared" si="20"/>
        <v>23890</v>
      </c>
    </row>
    <row r="183" spans="1:13" ht="18" customHeight="1">
      <c r="A183" s="293" t="str">
        <f t="shared" si="14"/>
        <v>NL</v>
      </c>
      <c r="B183" s="477">
        <f t="shared" si="15"/>
        <v>166</v>
      </c>
      <c r="C183" s="192" t="s">
        <v>620</v>
      </c>
      <c r="D183" s="296" t="s">
        <v>1168</v>
      </c>
      <c r="E183" s="8"/>
      <c r="F183" s="8"/>
      <c r="G183" s="25">
        <f t="array" ref="G183">SUM(IF("1521"&amp;C183=KHN&amp;MH,SL))</f>
        <v>114</v>
      </c>
      <c r="H183" s="25">
        <f t="array" ref="H183">SUM(IF("1521"&amp;C183=KHN&amp;MH,TH))</f>
        <v>2495232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21"/>
        <v>114</v>
      </c>
      <c r="L183" s="8">
        <f t="shared" si="22"/>
        <v>2495232</v>
      </c>
      <c r="M183" s="293">
        <f t="shared" si="20"/>
        <v>21888</v>
      </c>
    </row>
    <row r="184" spans="1:13" ht="18" hidden="1" customHeight="1">
      <c r="A184" s="293" t="str">
        <f t="shared" ref="A184:A212" si="23">IF(B184&lt;&gt;"","NL","")</f>
        <v>NL</v>
      </c>
      <c r="B184" s="477">
        <f t="shared" ref="B184:B216" si="24">IF(C184&lt;&gt;"",ROW()-17,"")</f>
        <v>167</v>
      </c>
      <c r="C184" s="192" t="s">
        <v>606</v>
      </c>
      <c r="D184" s="296" t="s">
        <v>1168</v>
      </c>
      <c r="E184" s="8"/>
      <c r="F184" s="8"/>
      <c r="G184" s="25">
        <f t="array" ref="G184">SUM(IF("1521"&amp;C184=KHN&amp;MH,SL))</f>
        <v>140</v>
      </c>
      <c r="H184" s="25">
        <f t="array" ref="H184">SUM(IF("1521"&amp;C184=KHN&amp;MH,TH))</f>
        <v>5455240</v>
      </c>
      <c r="I184" s="25">
        <f t="array" ref="I184">SUM(IF("1521"&amp;C184=KHC&amp;MH,SL))</f>
        <v>140</v>
      </c>
      <c r="J184" s="25">
        <f t="array" ref="J184">SUM(IF("1521"&amp;C184=KHC&amp;MH,TH))</f>
        <v>5455240</v>
      </c>
      <c r="K184" s="8">
        <f t="shared" si="21"/>
        <v>0</v>
      </c>
      <c r="L184" s="8">
        <f t="shared" si="22"/>
        <v>0</v>
      </c>
      <c r="M184" s="293" t="e">
        <f t="shared" si="20"/>
        <v>#DIV/0!</v>
      </c>
    </row>
    <row r="185" spans="1:13" ht="18" customHeight="1">
      <c r="A185" s="293" t="str">
        <f t="shared" si="23"/>
        <v>NL</v>
      </c>
      <c r="B185" s="477">
        <f t="shared" si="24"/>
        <v>168</v>
      </c>
      <c r="C185" s="192" t="s">
        <v>597</v>
      </c>
      <c r="D185" s="296" t="s">
        <v>1168</v>
      </c>
      <c r="E185" s="8"/>
      <c r="F185" s="8"/>
      <c r="G185" s="25">
        <f t="array" ref="G185">SUM(IF("1521"&amp;C185=KHN&amp;MH,SL))</f>
        <v>100</v>
      </c>
      <c r="H185" s="25">
        <f t="array" ref="H185">SUM(IF("1521"&amp;C185=KHN&amp;MH,TH))</f>
        <v>2560300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21"/>
        <v>100</v>
      </c>
      <c r="L185" s="8">
        <f t="shared" si="22"/>
        <v>2560300</v>
      </c>
      <c r="M185" s="293">
        <f t="shared" si="20"/>
        <v>25603</v>
      </c>
    </row>
    <row r="186" spans="1:13" ht="18" hidden="1" customHeight="1">
      <c r="A186" s="293" t="str">
        <f t="shared" si="23"/>
        <v>NL</v>
      </c>
      <c r="B186" s="477">
        <f t="shared" si="24"/>
        <v>169</v>
      </c>
      <c r="C186" s="192" t="s">
        <v>685</v>
      </c>
      <c r="D186" s="296" t="s">
        <v>1168</v>
      </c>
      <c r="E186" s="8"/>
      <c r="F186" s="8"/>
      <c r="G186" s="25">
        <f t="array" ref="G186">SUM(IF("1521"&amp;C186=KHN&amp;MH,SL))</f>
        <v>2300</v>
      </c>
      <c r="H186" s="25">
        <f t="array" ref="H186">SUM(IF("1521"&amp;C186=KHN&amp;MH,TH))</f>
        <v>19550000</v>
      </c>
      <c r="I186" s="25">
        <f t="array" ref="I186">SUM(IF("1521"&amp;C186=KHC&amp;MH,SL))</f>
        <v>2300</v>
      </c>
      <c r="J186" s="25">
        <f t="array" ref="J186">SUM(IF("1521"&amp;C186=KHC&amp;MH,TH))</f>
        <v>19550000</v>
      </c>
      <c r="K186" s="8">
        <f t="shared" si="21"/>
        <v>0</v>
      </c>
      <c r="L186" s="8">
        <f t="shared" si="22"/>
        <v>0</v>
      </c>
      <c r="M186" s="293" t="e">
        <f t="shared" si="20"/>
        <v>#DIV/0!</v>
      </c>
    </row>
    <row r="187" spans="1:13" ht="18" hidden="1" customHeight="1">
      <c r="A187" s="293" t="str">
        <f t="shared" si="23"/>
        <v>NL</v>
      </c>
      <c r="B187" s="477">
        <f t="shared" si="24"/>
        <v>170</v>
      </c>
      <c r="C187" s="192" t="s">
        <v>688</v>
      </c>
      <c r="D187" s="296" t="s">
        <v>1168</v>
      </c>
      <c r="E187" s="8"/>
      <c r="F187" s="8"/>
      <c r="G187" s="25">
        <f t="array" ref="G187">SUM(IF("1521"&amp;C187=KHN&amp;MH,SL))</f>
        <v>5000</v>
      </c>
      <c r="H187" s="25">
        <f t="array" ref="H187">SUM(IF("1521"&amp;C187=KHN&amp;MH,TH))</f>
        <v>80000000</v>
      </c>
      <c r="I187" s="25">
        <f t="array" ref="I187">SUM(IF("1521"&amp;C187=KHC&amp;MH,SL))</f>
        <v>5000</v>
      </c>
      <c r="J187" s="25">
        <f t="array" ref="J187">SUM(IF("1521"&amp;C187=KHC&amp;MH,TH))</f>
        <v>80000000</v>
      </c>
      <c r="K187" s="8">
        <f t="shared" si="21"/>
        <v>0</v>
      </c>
      <c r="L187" s="8">
        <f t="shared" si="22"/>
        <v>0</v>
      </c>
      <c r="M187" s="293" t="e">
        <f t="shared" si="20"/>
        <v>#DIV/0!</v>
      </c>
    </row>
    <row r="188" spans="1:13" ht="18" hidden="1" customHeight="1">
      <c r="A188" s="293" t="str">
        <f t="shared" si="23"/>
        <v>NL</v>
      </c>
      <c r="B188" s="477">
        <f t="shared" si="24"/>
        <v>171</v>
      </c>
      <c r="C188" s="189" t="s">
        <v>673</v>
      </c>
      <c r="D188" s="296" t="s">
        <v>1168</v>
      </c>
      <c r="E188" s="8"/>
      <c r="F188" s="8"/>
      <c r="G188" s="25">
        <f t="array" ref="G188">SUM(IF("1521"&amp;C188=KHN&amp;MH,SL))</f>
        <v>150</v>
      </c>
      <c r="H188" s="25">
        <f t="array" ref="H188">SUM(IF("1521"&amp;C188=KHN&amp;MH,TH))</f>
        <v>1635600</v>
      </c>
      <c r="I188" s="25">
        <f t="array" ref="I188">SUM(IF("1521"&amp;C188=KHC&amp;MH,SL))</f>
        <v>150</v>
      </c>
      <c r="J188" s="25">
        <f t="array" ref="J188">SUM(IF("1521"&amp;C188=KHC&amp;MH,TH))</f>
        <v>1635600</v>
      </c>
      <c r="K188" s="8">
        <f t="shared" si="21"/>
        <v>0</v>
      </c>
      <c r="L188" s="8">
        <f t="shared" si="22"/>
        <v>0</v>
      </c>
      <c r="M188" s="293" t="e">
        <f t="shared" si="20"/>
        <v>#DIV/0!</v>
      </c>
    </row>
    <row r="189" spans="1:13" ht="18" hidden="1" customHeight="1">
      <c r="A189" s="293" t="str">
        <f t="shared" si="23"/>
        <v>NL</v>
      </c>
      <c r="B189" s="477">
        <f t="shared" si="24"/>
        <v>172</v>
      </c>
      <c r="C189" s="192" t="s">
        <v>670</v>
      </c>
      <c r="D189" s="296" t="s">
        <v>1168</v>
      </c>
      <c r="E189" s="8"/>
      <c r="F189" s="8"/>
      <c r="G189" s="25">
        <f t="array" ref="G189">SUM(IF("1521"&amp;C189=KHN&amp;MH,SL))</f>
        <v>1280</v>
      </c>
      <c r="H189" s="25">
        <f t="array" ref="H189">SUM(IF("1521"&amp;C189=KHN&amp;MH,TH))</f>
        <v>13825280</v>
      </c>
      <c r="I189" s="25">
        <f t="array" ref="I189">SUM(IF("1521"&amp;C189=KHC&amp;MH,SL))</f>
        <v>1280</v>
      </c>
      <c r="J189" s="25">
        <f t="array" ref="J189">SUM(IF("1521"&amp;C189=KHC&amp;MH,TH))</f>
        <v>13825280</v>
      </c>
      <c r="K189" s="8">
        <f t="shared" si="21"/>
        <v>0</v>
      </c>
      <c r="L189" s="8">
        <f t="shared" si="22"/>
        <v>0</v>
      </c>
      <c r="M189" s="293" t="e">
        <f t="shared" si="20"/>
        <v>#DIV/0!</v>
      </c>
    </row>
    <row r="190" spans="1:13" ht="18" hidden="1" customHeight="1">
      <c r="A190" s="293" t="str">
        <f t="shared" si="23"/>
        <v>NL</v>
      </c>
      <c r="B190" s="477">
        <f t="shared" si="24"/>
        <v>173</v>
      </c>
      <c r="C190" s="192" t="s">
        <v>646</v>
      </c>
      <c r="D190" s="296" t="s">
        <v>1168</v>
      </c>
      <c r="E190" s="8"/>
      <c r="F190" s="8"/>
      <c r="G190" s="25">
        <f t="array" ref="G190">SUM(IF("1521"&amp;C190=KHN&amp;MH,SL))</f>
        <v>530</v>
      </c>
      <c r="H190" s="25">
        <f t="array" ref="H190">SUM(IF("1521"&amp;C190=KHN&amp;MH,TH))</f>
        <v>3922000</v>
      </c>
      <c r="I190" s="25">
        <f t="array" ref="I190">SUM(IF("1521"&amp;C190=KHC&amp;MH,SL))</f>
        <v>530</v>
      </c>
      <c r="J190" s="25">
        <f t="array" ref="J190">SUM(IF("1521"&amp;C190=KHC&amp;MH,TH))</f>
        <v>3922000</v>
      </c>
      <c r="K190" s="8">
        <f t="shared" si="21"/>
        <v>0</v>
      </c>
      <c r="L190" s="8">
        <f t="shared" si="22"/>
        <v>0</v>
      </c>
      <c r="M190" s="293" t="e">
        <f t="shared" si="20"/>
        <v>#DIV/0!</v>
      </c>
    </row>
    <row r="191" spans="1:13" ht="18" hidden="1" customHeight="1">
      <c r="A191" s="293" t="str">
        <f t="shared" si="23"/>
        <v>NL</v>
      </c>
      <c r="B191" s="477">
        <f t="shared" si="24"/>
        <v>174</v>
      </c>
      <c r="C191" s="192" t="s">
        <v>648</v>
      </c>
      <c r="D191" s="296" t="s">
        <v>1168</v>
      </c>
      <c r="E191" s="8"/>
      <c r="F191" s="8"/>
      <c r="G191" s="25">
        <f t="array" ref="G191">SUM(IF("1521"&amp;C191=KHN&amp;MH,SL))</f>
        <v>105</v>
      </c>
      <c r="H191" s="25">
        <f t="array" ref="H191">SUM(IF("1521"&amp;C191=KHN&amp;MH,TH))</f>
        <v>693000</v>
      </c>
      <c r="I191" s="25">
        <f t="array" ref="I191">SUM(IF("1521"&amp;C191=KHC&amp;MH,SL))</f>
        <v>105</v>
      </c>
      <c r="J191" s="25">
        <f t="array" ref="J191">SUM(IF("1521"&amp;C191=KHC&amp;MH,TH))</f>
        <v>693000</v>
      </c>
      <c r="K191" s="8">
        <f t="shared" si="21"/>
        <v>0</v>
      </c>
      <c r="L191" s="8">
        <f t="shared" si="22"/>
        <v>0</v>
      </c>
      <c r="M191" s="293" t="e">
        <f t="shared" si="20"/>
        <v>#DIV/0!</v>
      </c>
    </row>
    <row r="192" spans="1:13" ht="18" hidden="1" customHeight="1">
      <c r="A192" s="293" t="str">
        <f t="shared" si="23"/>
        <v>NL</v>
      </c>
      <c r="B192" s="477">
        <f t="shared" si="24"/>
        <v>175</v>
      </c>
      <c r="C192" s="192" t="s">
        <v>664</v>
      </c>
      <c r="D192" s="296" t="s">
        <v>1168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1262900</v>
      </c>
      <c r="I192" s="25">
        <f t="array" ref="I192">SUM(IF("1521"&amp;C192=KHC&amp;MH,SL))</f>
        <v>100</v>
      </c>
      <c r="J192" s="25">
        <f t="array" ref="J192">SUM(IF("1521"&amp;C192=KHC&amp;MH,TH))</f>
        <v>1262900</v>
      </c>
      <c r="K192" s="8">
        <f t="shared" si="21"/>
        <v>0</v>
      </c>
      <c r="L192" s="8">
        <f t="shared" si="22"/>
        <v>0</v>
      </c>
      <c r="M192" s="293" t="e">
        <f t="shared" si="20"/>
        <v>#DIV/0!</v>
      </c>
    </row>
    <row r="193" spans="1:13" ht="18" customHeight="1">
      <c r="A193" s="293" t="str">
        <f t="shared" si="23"/>
        <v>NL</v>
      </c>
      <c r="B193" s="477">
        <f t="shared" si="24"/>
        <v>176</v>
      </c>
      <c r="C193" s="192" t="s">
        <v>662</v>
      </c>
      <c r="D193" s="296" t="s">
        <v>1168</v>
      </c>
      <c r="E193" s="8"/>
      <c r="F193" s="8"/>
      <c r="G193" s="25">
        <f t="array" ref="G193">SUM(IF("1521"&amp;C193=KHN&amp;MH,SL))</f>
        <v>108</v>
      </c>
      <c r="H193" s="25">
        <f t="array" ref="H193">SUM(IF("1521"&amp;C193=KHN&amp;MH,TH))</f>
        <v>1617624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21"/>
        <v>108</v>
      </c>
      <c r="L193" s="8">
        <f t="shared" si="22"/>
        <v>1617624</v>
      </c>
      <c r="M193" s="293">
        <f t="shared" si="20"/>
        <v>14978</v>
      </c>
    </row>
    <row r="194" spans="1:13" ht="18" hidden="1" customHeight="1">
      <c r="A194" s="293" t="str">
        <f t="shared" si="23"/>
        <v>NL</v>
      </c>
      <c r="B194" s="477">
        <f t="shared" si="24"/>
        <v>177</v>
      </c>
      <c r="C194" s="192" t="s">
        <v>644</v>
      </c>
      <c r="D194" s="296" t="s">
        <v>1168</v>
      </c>
      <c r="E194" s="8"/>
      <c r="F194" s="8"/>
      <c r="G194" s="25">
        <f t="array" ref="G194">SUM(IF("1521"&amp;C194=KHN&amp;MH,SL))</f>
        <v>500</v>
      </c>
      <c r="H194" s="25">
        <f t="array" ref="H194">SUM(IF("1521"&amp;C194=KHN&amp;MH,TH))</f>
        <v>9656000</v>
      </c>
      <c r="I194" s="25">
        <f t="array" ref="I194">SUM(IF("1521"&amp;C194=KHC&amp;MH,SL))</f>
        <v>500</v>
      </c>
      <c r="J194" s="25">
        <f t="array" ref="J194">SUM(IF("1521"&amp;C194=KHC&amp;MH,TH))</f>
        <v>9656000</v>
      </c>
      <c r="K194" s="8">
        <f t="shared" si="21"/>
        <v>0</v>
      </c>
      <c r="L194" s="8">
        <f t="shared" si="22"/>
        <v>0</v>
      </c>
      <c r="M194" s="293" t="e">
        <f t="shared" si="20"/>
        <v>#DIV/0!</v>
      </c>
    </row>
    <row r="195" spans="1:13" ht="18" customHeight="1">
      <c r="A195" s="293" t="str">
        <f t="shared" si="23"/>
        <v>NL</v>
      </c>
      <c r="B195" s="477">
        <f t="shared" si="24"/>
        <v>178</v>
      </c>
      <c r="C195" s="192" t="s">
        <v>668</v>
      </c>
      <c r="D195" s="296" t="s">
        <v>1168</v>
      </c>
      <c r="E195" s="8"/>
      <c r="F195" s="8"/>
      <c r="G195" s="25">
        <f t="array" ref="G195">SUM(IF("1521"&amp;C195=KHN&amp;MH,SL))</f>
        <v>150</v>
      </c>
      <c r="H195" s="25">
        <f t="array" ref="H195">SUM(IF("1521"&amp;C195=KHN&amp;MH,TH))</f>
        <v>2318400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21"/>
        <v>150</v>
      </c>
      <c r="L195" s="8">
        <f t="shared" si="22"/>
        <v>2318400</v>
      </c>
      <c r="M195" s="293">
        <f t="shared" si="20"/>
        <v>15456</v>
      </c>
    </row>
    <row r="196" spans="1:13" ht="18" customHeight="1">
      <c r="A196" s="293" t="str">
        <f t="shared" si="23"/>
        <v>NL</v>
      </c>
      <c r="B196" s="477">
        <f t="shared" si="24"/>
        <v>179</v>
      </c>
      <c r="C196" s="192" t="s">
        <v>654</v>
      </c>
      <c r="D196" s="296" t="s">
        <v>1168</v>
      </c>
      <c r="E196" s="8"/>
      <c r="F196" s="8"/>
      <c r="G196" s="25">
        <f t="array" ref="G196">SUM(IF("1521"&amp;C196=KHN&amp;MH,SL))</f>
        <v>50</v>
      </c>
      <c r="H196" s="25">
        <f t="array" ref="H196">SUM(IF("1521"&amp;C196=KHN&amp;MH,TH))</f>
        <v>1021000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21"/>
        <v>50</v>
      </c>
      <c r="L196" s="8">
        <f t="shared" si="22"/>
        <v>1021000</v>
      </c>
      <c r="M196" s="293">
        <f t="shared" si="20"/>
        <v>20420</v>
      </c>
    </row>
    <row r="197" spans="1:13" ht="18" hidden="1" customHeight="1">
      <c r="A197" s="293" t="str">
        <f t="shared" si="23"/>
        <v>NL</v>
      </c>
      <c r="B197" s="477">
        <f t="shared" si="24"/>
        <v>180</v>
      </c>
      <c r="C197" s="192" t="s">
        <v>663</v>
      </c>
      <c r="D197" s="296" t="s">
        <v>1168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1123800</v>
      </c>
      <c r="I197" s="25">
        <f t="array" ref="I197">SUM(IF("1521"&amp;C197=KHC&amp;MH,SL))</f>
        <v>100</v>
      </c>
      <c r="J197" s="25">
        <f t="array" ref="J197">SUM(IF("1521"&amp;C197=KHC&amp;MH,TH))</f>
        <v>1123800</v>
      </c>
      <c r="K197" s="8">
        <f t="shared" si="21"/>
        <v>0</v>
      </c>
      <c r="L197" s="8">
        <f t="shared" si="22"/>
        <v>0</v>
      </c>
      <c r="M197" s="293" t="e">
        <f t="shared" si="20"/>
        <v>#DIV/0!</v>
      </c>
    </row>
    <row r="198" spans="1:13" ht="18" hidden="1" customHeight="1">
      <c r="A198" s="293" t="str">
        <f t="shared" si="23"/>
        <v>NL</v>
      </c>
      <c r="B198" s="477">
        <f t="shared" si="24"/>
        <v>181</v>
      </c>
      <c r="C198" s="192" t="s">
        <v>665</v>
      </c>
      <c r="D198" s="296" t="s">
        <v>1168</v>
      </c>
      <c r="E198" s="8"/>
      <c r="F198" s="8"/>
      <c r="G198" s="25">
        <f t="array" ref="G198">SUM(IF("1521"&amp;C198=KHN&amp;MH,SL))</f>
        <v>510</v>
      </c>
      <c r="H198" s="25">
        <f t="array" ref="H198">SUM(IF("1521"&amp;C198=KHN&amp;MH,TH))</f>
        <v>8351250</v>
      </c>
      <c r="I198" s="25">
        <f t="array" ref="I198">SUM(IF("1521"&amp;C198=KHC&amp;MH,SL))</f>
        <v>510</v>
      </c>
      <c r="J198" s="25">
        <f t="array" ref="J198">SUM(IF("1521"&amp;C198=KHC&amp;MH,TH))</f>
        <v>8351250</v>
      </c>
      <c r="K198" s="8">
        <f t="shared" ref="K198:K215" si="25">E198+G198-I198</f>
        <v>0</v>
      </c>
      <c r="L198" s="8">
        <f t="shared" ref="L198:L215" si="26">F198+H198-J198</f>
        <v>0</v>
      </c>
      <c r="M198" s="293" t="e">
        <f t="shared" si="20"/>
        <v>#DIV/0!</v>
      </c>
    </row>
    <row r="199" spans="1:13" ht="18" customHeight="1">
      <c r="A199" s="293" t="str">
        <f t="shared" si="23"/>
        <v>NL</v>
      </c>
      <c r="B199" s="477">
        <f t="shared" si="24"/>
        <v>182</v>
      </c>
      <c r="C199" s="192" t="s">
        <v>661</v>
      </c>
      <c r="D199" s="296" t="s">
        <v>1168</v>
      </c>
      <c r="E199" s="8"/>
      <c r="F199" s="8"/>
      <c r="G199" s="25">
        <f t="array" ref="G199">SUM(IF("1521"&amp;C199=KHN&amp;MH,SL))</f>
        <v>60</v>
      </c>
      <c r="H199" s="25">
        <f t="array" ref="H199">SUM(IF("1521"&amp;C199=KHN&amp;MH,TH))</f>
        <v>1033320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25"/>
        <v>60</v>
      </c>
      <c r="L199" s="8">
        <f t="shared" si="26"/>
        <v>1033320</v>
      </c>
      <c r="M199" s="293">
        <f t="shared" si="20"/>
        <v>17222</v>
      </c>
    </row>
    <row r="200" spans="1:13" ht="18" customHeight="1">
      <c r="A200" s="293" t="str">
        <f t="shared" si="23"/>
        <v>NL</v>
      </c>
      <c r="B200" s="477">
        <f t="shared" si="24"/>
        <v>183</v>
      </c>
      <c r="C200" s="297" t="s">
        <v>653</v>
      </c>
      <c r="D200" s="296" t="s">
        <v>1168</v>
      </c>
      <c r="E200" s="8"/>
      <c r="F200" s="8"/>
      <c r="G200" s="25">
        <f t="array" ref="G200">SUM(IF("1521"&amp;C200=KHN&amp;MH,SL))</f>
        <v>50</v>
      </c>
      <c r="H200" s="25">
        <f t="array" ref="H200">SUM(IF("1521"&amp;C200=KHN&amp;MH,TH))</f>
        <v>1140600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25"/>
        <v>50</v>
      </c>
      <c r="L200" s="8">
        <f t="shared" si="26"/>
        <v>1140600</v>
      </c>
      <c r="M200" s="293">
        <f t="shared" si="20"/>
        <v>22812</v>
      </c>
    </row>
    <row r="201" spans="1:13" ht="18" hidden="1" customHeight="1">
      <c r="A201" s="293" t="str">
        <f t="shared" si="23"/>
        <v>NL</v>
      </c>
      <c r="B201" s="477">
        <f t="shared" si="24"/>
        <v>184</v>
      </c>
      <c r="C201" s="192" t="s">
        <v>651</v>
      </c>
      <c r="D201" s="296" t="s">
        <v>1168</v>
      </c>
      <c r="E201" s="8"/>
      <c r="F201" s="8"/>
      <c r="G201" s="25">
        <f t="array" ref="G201">SUM(IF("1521"&amp;C201=KHN&amp;MH,SL))</f>
        <v>50</v>
      </c>
      <c r="H201" s="25">
        <f t="array" ref="H201">SUM(IF("1521"&amp;C201=KHN&amp;MH,TH))</f>
        <v>1204900</v>
      </c>
      <c r="I201" s="25">
        <f t="array" ref="I201">SUM(IF("1521"&amp;C201=KHC&amp;MH,SL))</f>
        <v>50</v>
      </c>
      <c r="J201" s="25">
        <f t="array" ref="J201">SUM(IF("1521"&amp;C201=KHC&amp;MH,TH))</f>
        <v>1204900</v>
      </c>
      <c r="K201" s="8">
        <f t="shared" si="25"/>
        <v>0</v>
      </c>
      <c r="L201" s="8">
        <f t="shared" si="26"/>
        <v>0</v>
      </c>
      <c r="M201" s="293" t="e">
        <f t="shared" si="20"/>
        <v>#DIV/0!</v>
      </c>
    </row>
    <row r="202" spans="1:13" ht="18" customHeight="1">
      <c r="A202" s="293" t="str">
        <f t="shared" si="23"/>
        <v>NL</v>
      </c>
      <c r="B202" s="477">
        <f t="shared" si="24"/>
        <v>185</v>
      </c>
      <c r="C202" s="192" t="s">
        <v>667</v>
      </c>
      <c r="D202" s="296" t="s">
        <v>1168</v>
      </c>
      <c r="E202" s="8"/>
      <c r="F202" s="8"/>
      <c r="G202" s="25">
        <f t="array" ref="G202">SUM(IF("1521"&amp;C202=KHN&amp;MH,SL))</f>
        <v>250</v>
      </c>
      <c r="H202" s="25">
        <f t="array" ref="H202">SUM(IF("1521"&amp;C202=KHN&amp;MH,TH))</f>
        <v>6725750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25"/>
        <v>250</v>
      </c>
      <c r="L202" s="8">
        <f t="shared" si="26"/>
        <v>6725750</v>
      </c>
      <c r="M202" s="293">
        <f t="shared" si="20"/>
        <v>26903</v>
      </c>
    </row>
    <row r="203" spans="1:13" ht="18" customHeight="1">
      <c r="A203" s="293" t="str">
        <f t="shared" si="23"/>
        <v>NL</v>
      </c>
      <c r="B203" s="477">
        <f t="shared" si="24"/>
        <v>186</v>
      </c>
      <c r="C203" s="192" t="s">
        <v>649</v>
      </c>
      <c r="D203" s="296" t="s">
        <v>1168</v>
      </c>
      <c r="E203" s="8"/>
      <c r="F203" s="8"/>
      <c r="G203" s="25">
        <f t="array" ref="G203">SUM(IF("1521"&amp;C203=KHN&amp;MH,SL))</f>
        <v>215</v>
      </c>
      <c r="H203" s="25">
        <f t="array" ref="H203">SUM(IF("1521"&amp;C203=KHN&amp;MH,TH))</f>
        <v>1978000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25"/>
        <v>215</v>
      </c>
      <c r="L203" s="8">
        <f t="shared" si="26"/>
        <v>1978000</v>
      </c>
      <c r="M203" s="293">
        <f t="shared" si="20"/>
        <v>9200</v>
      </c>
    </row>
    <row r="204" spans="1:13" ht="18" customHeight="1">
      <c r="A204" s="293" t="str">
        <f t="shared" si="23"/>
        <v>NL</v>
      </c>
      <c r="B204" s="477">
        <f t="shared" si="24"/>
        <v>187</v>
      </c>
      <c r="C204" s="192" t="s">
        <v>671</v>
      </c>
      <c r="D204" s="296" t="s">
        <v>1168</v>
      </c>
      <c r="E204" s="8"/>
      <c r="F204" s="8"/>
      <c r="G204" s="25">
        <f t="array" ref="G204">SUM(IF("1521"&amp;C204=KHN&amp;MH,SL))</f>
        <v>835</v>
      </c>
      <c r="H204" s="25">
        <f t="array" ref="H204">SUM(IF("1521"&amp;C204=KHN&amp;MH,TH))</f>
        <v>12368855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25"/>
        <v>835</v>
      </c>
      <c r="L204" s="8">
        <f t="shared" si="26"/>
        <v>12368855</v>
      </c>
      <c r="M204" s="293">
        <f t="shared" si="20"/>
        <v>14813</v>
      </c>
    </row>
    <row r="205" spans="1:13" ht="18" customHeight="1">
      <c r="A205" s="293" t="str">
        <f t="shared" si="23"/>
        <v>NL</v>
      </c>
      <c r="B205" s="477">
        <f t="shared" si="24"/>
        <v>188</v>
      </c>
      <c r="C205" s="192" t="s">
        <v>645</v>
      </c>
      <c r="D205" s="296" t="s">
        <v>1168</v>
      </c>
      <c r="E205" s="8"/>
      <c r="F205" s="8"/>
      <c r="G205" s="25">
        <f t="array" ref="G205">SUM(IF("1521"&amp;C205=KHN&amp;MH,SL))</f>
        <v>250</v>
      </c>
      <c r="H205" s="25">
        <f t="array" ref="H205">SUM(IF("1521"&amp;C205=KHN&amp;MH,TH))</f>
        <v>4448000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25"/>
        <v>250</v>
      </c>
      <c r="L205" s="8">
        <f t="shared" si="26"/>
        <v>4448000</v>
      </c>
      <c r="M205" s="293">
        <f t="shared" si="20"/>
        <v>17792</v>
      </c>
    </row>
    <row r="206" spans="1:13" ht="18" hidden="1" customHeight="1">
      <c r="A206" s="293" t="str">
        <f t="shared" si="23"/>
        <v>NL</v>
      </c>
      <c r="B206" s="477">
        <f t="shared" si="24"/>
        <v>189</v>
      </c>
      <c r="C206" s="192" t="s">
        <v>659</v>
      </c>
      <c r="D206" s="296" t="s">
        <v>1168</v>
      </c>
      <c r="E206" s="8"/>
      <c r="F206" s="8"/>
      <c r="G206" s="25">
        <f t="array" ref="G206">SUM(IF("1521"&amp;C206=KHN&amp;MH,SL))</f>
        <v>350</v>
      </c>
      <c r="H206" s="25">
        <f t="array" ref="H206">SUM(IF("1521"&amp;C206=KHN&amp;MH,TH))</f>
        <v>7101500</v>
      </c>
      <c r="I206" s="25">
        <f t="array" ref="I206">SUM(IF("1521"&amp;C206=KHC&amp;MH,SL))</f>
        <v>350</v>
      </c>
      <c r="J206" s="25">
        <f t="array" ref="J206">SUM(IF("1521"&amp;C206=KHC&amp;MH,TH))</f>
        <v>7101500</v>
      </c>
      <c r="K206" s="8">
        <f t="shared" si="25"/>
        <v>0</v>
      </c>
      <c r="L206" s="8">
        <f t="shared" si="26"/>
        <v>0</v>
      </c>
      <c r="M206" s="293" t="e">
        <f t="shared" si="20"/>
        <v>#DIV/0!</v>
      </c>
    </row>
    <row r="207" spans="1:13" ht="18" hidden="1" customHeight="1">
      <c r="A207" s="293" t="str">
        <f t="shared" si="23"/>
        <v>NL</v>
      </c>
      <c r="B207" s="477">
        <f t="shared" si="24"/>
        <v>190</v>
      </c>
      <c r="C207" s="192" t="s">
        <v>656</v>
      </c>
      <c r="D207" s="296" t="s">
        <v>1168</v>
      </c>
      <c r="E207" s="8"/>
      <c r="F207" s="8"/>
      <c r="G207" s="25">
        <f t="array" ref="G207">SUM(IF("1521"&amp;C207=KHN&amp;MH,SL))</f>
        <v>265</v>
      </c>
      <c r="H207" s="25">
        <f t="array" ref="H207">SUM(IF("1521"&amp;C207=KHN&amp;MH,TH))</f>
        <v>3665480</v>
      </c>
      <c r="I207" s="25">
        <f t="array" ref="I207">SUM(IF("1521"&amp;C207=KHC&amp;MH,SL))</f>
        <v>265</v>
      </c>
      <c r="J207" s="25">
        <f t="array" ref="J207">SUM(IF("1521"&amp;C207=KHC&amp;MH,TH))</f>
        <v>3665480</v>
      </c>
      <c r="K207" s="8">
        <f t="shared" si="25"/>
        <v>0</v>
      </c>
      <c r="L207" s="8">
        <f t="shared" si="26"/>
        <v>0</v>
      </c>
      <c r="M207" s="293" t="e">
        <f t="shared" si="20"/>
        <v>#DIV/0!</v>
      </c>
    </row>
    <row r="208" spans="1:13" ht="18" customHeight="1">
      <c r="A208" s="293" t="str">
        <f t="shared" si="23"/>
        <v>NL</v>
      </c>
      <c r="B208" s="477">
        <f t="shared" si="24"/>
        <v>191</v>
      </c>
      <c r="C208" s="192" t="s">
        <v>657</v>
      </c>
      <c r="D208" s="296" t="s">
        <v>1168</v>
      </c>
      <c r="E208" s="8"/>
      <c r="F208" s="8"/>
      <c r="G208" s="25">
        <f t="array" ref="G208">SUM(IF("1521"&amp;C208=KHN&amp;MH,SL))</f>
        <v>265</v>
      </c>
      <c r="H208" s="25">
        <f t="array" ref="H208">SUM(IF("1521"&amp;C208=KHN&amp;MH,TH))</f>
        <v>3825010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25"/>
        <v>265</v>
      </c>
      <c r="L208" s="8">
        <f t="shared" si="26"/>
        <v>3825010</v>
      </c>
      <c r="M208" s="293">
        <f t="shared" si="20"/>
        <v>14434</v>
      </c>
    </row>
    <row r="209" spans="1:13" ht="18" customHeight="1">
      <c r="A209" s="293" t="str">
        <f t="shared" si="23"/>
        <v>NL</v>
      </c>
      <c r="B209" s="477">
        <f t="shared" si="24"/>
        <v>192</v>
      </c>
      <c r="C209" s="192" t="s">
        <v>650</v>
      </c>
      <c r="D209" s="296" t="s">
        <v>1168</v>
      </c>
      <c r="E209" s="8"/>
      <c r="F209" s="8"/>
      <c r="G209" s="25">
        <f t="array" ref="G209">SUM(IF("1521"&amp;C209=KHN&amp;MH,SL))</f>
        <v>4039</v>
      </c>
      <c r="H209" s="25">
        <f t="array" ref="H209">SUM(IF("1521"&amp;C209=KHN&amp;MH,TH))</f>
        <v>34179708</v>
      </c>
      <c r="I209" s="25">
        <f t="array" ref="I209">SUM(IF("1521"&amp;C209=KHC&amp;MH,SL))</f>
        <v>3633</v>
      </c>
      <c r="J209" s="25">
        <f t="array" ref="J209">SUM(IF("1521"&amp;C209=KHC&amp;MH,TH))</f>
        <v>30743966</v>
      </c>
      <c r="K209" s="8">
        <f t="shared" si="25"/>
        <v>406</v>
      </c>
      <c r="L209" s="8">
        <f t="shared" si="26"/>
        <v>3435742</v>
      </c>
      <c r="M209" s="293">
        <f t="shared" si="20"/>
        <v>8462.4187192118225</v>
      </c>
    </row>
    <row r="210" spans="1:13" ht="18" customHeight="1">
      <c r="A210" s="293" t="str">
        <f t="shared" si="23"/>
        <v>NL</v>
      </c>
      <c r="B210" s="477">
        <f t="shared" si="24"/>
        <v>193</v>
      </c>
      <c r="C210" s="192" t="s">
        <v>641</v>
      </c>
      <c r="D210" s="296" t="s">
        <v>1168</v>
      </c>
      <c r="E210" s="8"/>
      <c r="F210" s="8"/>
      <c r="G210" s="25">
        <f t="array" ref="G210">SUM(IF("1521"&amp;C210=KHN&amp;MH,SL))</f>
        <v>350</v>
      </c>
      <c r="H210" s="25">
        <f t="array" ref="H210">SUM(IF("1521"&amp;C210=KHN&amp;MH,TH))</f>
        <v>2738050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25"/>
        <v>350</v>
      </c>
      <c r="L210" s="8">
        <f t="shared" si="26"/>
        <v>2738050</v>
      </c>
      <c r="M210" s="293">
        <f t="shared" si="20"/>
        <v>7823</v>
      </c>
    </row>
    <row r="211" spans="1:13" ht="18" customHeight="1">
      <c r="A211" s="293" t="str">
        <f t="shared" si="23"/>
        <v>NL</v>
      </c>
      <c r="B211" s="477">
        <f t="shared" si="24"/>
        <v>194</v>
      </c>
      <c r="C211" s="192" t="s">
        <v>655</v>
      </c>
      <c r="D211" s="296" t="s">
        <v>1168</v>
      </c>
      <c r="E211" s="8"/>
      <c r="F211" s="8"/>
      <c r="G211" s="25">
        <f t="array" ref="G211">SUM(IF("1521"&amp;C211=KHN&amp;MH,SL))</f>
        <v>135</v>
      </c>
      <c r="H211" s="25">
        <f t="array" ref="H211">SUM(IF("1521"&amp;C211=KHN&amp;MH,TH))</f>
        <v>1709775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si="25"/>
        <v>135</v>
      </c>
      <c r="L211" s="8">
        <f t="shared" si="26"/>
        <v>1709775</v>
      </c>
      <c r="M211" s="293">
        <f t="shared" ref="M211:M215" si="27">L211/K211</f>
        <v>12665</v>
      </c>
    </row>
    <row r="212" spans="1:13" ht="18" hidden="1" customHeight="1">
      <c r="A212" s="293" t="str">
        <f t="shared" si="23"/>
        <v>NL</v>
      </c>
      <c r="B212" s="477">
        <f t="shared" si="24"/>
        <v>195</v>
      </c>
      <c r="C212" s="189" t="s">
        <v>708</v>
      </c>
      <c r="D212" s="296" t="s">
        <v>1168</v>
      </c>
      <c r="E212" s="8"/>
      <c r="F212" s="8"/>
      <c r="G212" s="25">
        <f t="array" ref="G212">SUM(IF("1521"&amp;C212=KHN&amp;MH,SL))</f>
        <v>800</v>
      </c>
      <c r="H212" s="25">
        <f t="array" ref="H212">SUM(IF("1521"&amp;C212=KHN&amp;MH,TH))</f>
        <v>7200000</v>
      </c>
      <c r="I212" s="25">
        <f t="array" ref="I212">SUM(IF("1521"&amp;C212=KHC&amp;MH,SL))</f>
        <v>800</v>
      </c>
      <c r="J212" s="25">
        <f t="array" ref="J212">SUM(IF("1521"&amp;C212=KHC&amp;MH,TH))</f>
        <v>7200000</v>
      </c>
      <c r="K212" s="8">
        <f t="shared" si="25"/>
        <v>0</v>
      </c>
      <c r="L212" s="8">
        <f t="shared" si="26"/>
        <v>0</v>
      </c>
      <c r="M212" s="293" t="e">
        <f t="shared" si="27"/>
        <v>#DIV/0!</v>
      </c>
    </row>
    <row r="213" spans="1:13" ht="18" hidden="1" customHeight="1">
      <c r="A213" s="293" t="str">
        <f t="shared" ref="A213:A216" si="28">IF(B213&lt;&gt;"","NL","")</f>
        <v>NL</v>
      </c>
      <c r="B213" s="477">
        <f t="shared" si="24"/>
        <v>196</v>
      </c>
      <c r="C213" s="192" t="s">
        <v>706</v>
      </c>
      <c r="D213" s="296" t="s">
        <v>1168</v>
      </c>
      <c r="E213" s="8"/>
      <c r="F213" s="8"/>
      <c r="G213" s="25">
        <f t="array" ref="G213">SUM(IF("1521"&amp;C213=KHN&amp;MH,SL))</f>
        <v>1000</v>
      </c>
      <c r="H213" s="25">
        <f t="array" ref="H213">SUM(IF("1521"&amp;C213=KHN&amp;MH,TH))</f>
        <v>9500000</v>
      </c>
      <c r="I213" s="25">
        <f t="array" ref="I213">SUM(IF("1521"&amp;C213=KHC&amp;MH,SL))</f>
        <v>1000</v>
      </c>
      <c r="J213" s="25">
        <f t="array" ref="J213">SUM(IF("1521"&amp;C213=KHC&amp;MH,TH))</f>
        <v>9500000</v>
      </c>
      <c r="K213" s="8">
        <f t="shared" si="25"/>
        <v>0</v>
      </c>
      <c r="L213" s="8">
        <f t="shared" si="26"/>
        <v>0</v>
      </c>
      <c r="M213" s="293" t="e">
        <f t="shared" si="27"/>
        <v>#DIV/0!</v>
      </c>
    </row>
    <row r="214" spans="1:13" ht="18" hidden="1" customHeight="1">
      <c r="A214" s="293" t="str">
        <f t="shared" si="28"/>
        <v>NL</v>
      </c>
      <c r="B214" s="477">
        <f t="shared" si="24"/>
        <v>197</v>
      </c>
      <c r="C214" s="192" t="s">
        <v>703</v>
      </c>
      <c r="D214" s="296" t="s">
        <v>1168</v>
      </c>
      <c r="E214" s="8"/>
      <c r="F214" s="8"/>
      <c r="G214" s="25">
        <f t="array" ref="G214">SUM(IF("1521"&amp;C214=KHN&amp;MH,SL))</f>
        <v>1000</v>
      </c>
      <c r="H214" s="25">
        <f t="array" ref="H214">SUM(IF("1521"&amp;C214=KHN&amp;MH,TH))</f>
        <v>16800000</v>
      </c>
      <c r="I214" s="25">
        <f t="array" ref="I214">SUM(IF("1521"&amp;C214=KHC&amp;MH,SL))</f>
        <v>1000</v>
      </c>
      <c r="J214" s="25">
        <f t="array" ref="J214">SUM(IF("1521"&amp;C214=KHC&amp;MH,TH))</f>
        <v>16800000</v>
      </c>
      <c r="K214" s="8">
        <f t="shared" si="25"/>
        <v>0</v>
      </c>
      <c r="L214" s="8">
        <f t="shared" si="26"/>
        <v>0</v>
      </c>
      <c r="M214" s="293" t="e">
        <f t="shared" si="27"/>
        <v>#DIV/0!</v>
      </c>
    </row>
    <row r="215" spans="1:13" ht="18" hidden="1" customHeight="1">
      <c r="A215" s="293" t="str">
        <f t="shared" si="28"/>
        <v>NL</v>
      </c>
      <c r="B215" s="477">
        <f t="shared" si="24"/>
        <v>198</v>
      </c>
      <c r="C215" s="192" t="s">
        <v>709</v>
      </c>
      <c r="D215" s="296" t="s">
        <v>1168</v>
      </c>
      <c r="E215" s="8"/>
      <c r="F215" s="8"/>
      <c r="G215" s="25">
        <f t="array" ref="G215">SUM(IF("1521"&amp;C215=KHN&amp;MH,SL))</f>
        <v>1100</v>
      </c>
      <c r="H215" s="25">
        <f t="array" ref="H215">SUM(IF("1521"&amp;C215=KHN&amp;MH,TH))</f>
        <v>16500000</v>
      </c>
      <c r="I215" s="25">
        <f t="array" ref="I215">SUM(IF("1521"&amp;C215=KHC&amp;MH,SL))</f>
        <v>1100</v>
      </c>
      <c r="J215" s="25">
        <f t="array" ref="J215">SUM(IF("1521"&amp;C215=KHC&amp;MH,TH))</f>
        <v>16500000</v>
      </c>
      <c r="K215" s="8">
        <f t="shared" si="25"/>
        <v>0</v>
      </c>
      <c r="L215" s="8">
        <f t="shared" si="26"/>
        <v>0</v>
      </c>
      <c r="M215" s="293" t="e">
        <f t="shared" si="27"/>
        <v>#DIV/0!</v>
      </c>
    </row>
    <row r="216" spans="1:13" ht="19.5" customHeight="1">
      <c r="A216" s="293" t="str">
        <f t="shared" si="28"/>
        <v/>
      </c>
      <c r="B216" s="477" t="str">
        <f t="shared" si="24"/>
        <v/>
      </c>
      <c r="C216" s="302"/>
      <c r="D216" s="303"/>
      <c r="E216" s="304"/>
      <c r="F216" s="304"/>
      <c r="G216" s="304"/>
      <c r="H216" s="304"/>
      <c r="I216" s="304"/>
      <c r="J216" s="304"/>
      <c r="K216" s="8"/>
      <c r="L216" s="8"/>
      <c r="M216" s="293"/>
    </row>
    <row r="217" spans="1:13" ht="19.5" customHeight="1">
      <c r="A217" s="293" t="str">
        <f t="shared" ref="A217" si="29">IF(B217&lt;&gt;"","NL","")</f>
        <v/>
      </c>
      <c r="B217" s="292"/>
      <c r="C217" s="301" t="s">
        <v>352</v>
      </c>
      <c r="D217" s="292"/>
      <c r="E217" s="13">
        <f t="shared" ref="E217:L217" si="30">SUM(E18:E216)</f>
        <v>53620</v>
      </c>
      <c r="F217" s="13">
        <f t="shared" si="30"/>
        <v>928036588</v>
      </c>
      <c r="G217" s="13">
        <f t="shared" si="30"/>
        <v>46877</v>
      </c>
      <c r="H217" s="13">
        <f t="shared" si="30"/>
        <v>651927124</v>
      </c>
      <c r="I217" s="13">
        <f t="shared" si="30"/>
        <v>93398</v>
      </c>
      <c r="J217" s="13">
        <f t="shared" si="30"/>
        <v>1465113201</v>
      </c>
      <c r="K217" s="13">
        <f t="shared" si="30"/>
        <v>7099</v>
      </c>
      <c r="L217" s="13">
        <f t="shared" si="30"/>
        <v>114850511</v>
      </c>
      <c r="M217" s="293"/>
    </row>
    <row r="218" spans="1:13" ht="19.5" customHeight="1">
      <c r="A218" s="293"/>
      <c r="B218" s="478"/>
      <c r="C218" s="479"/>
      <c r="D218" s="478"/>
      <c r="E218" s="480"/>
      <c r="F218" s="480">
        <f>F217-CDPS!C19</f>
        <v>0</v>
      </c>
      <c r="G218" s="480"/>
      <c r="H218" s="480">
        <f>H217-CDPS!E19</f>
        <v>0</v>
      </c>
      <c r="I218" s="480"/>
      <c r="J218" s="480">
        <f>J217-CDPS!F19</f>
        <v>0</v>
      </c>
      <c r="K218" s="480"/>
      <c r="L218" s="480">
        <f>L217-CDPS!G19</f>
        <v>0</v>
      </c>
      <c r="M218" s="293"/>
    </row>
    <row r="219" spans="1:13" ht="19.5" hidden="1" customHeight="1">
      <c r="A219" s="293" t="str">
        <f t="shared" ref="A219:A250" si="31">IF(B219&lt;&gt;"","TP","")</f>
        <v>TP</v>
      </c>
      <c r="B219" s="306">
        <f t="shared" ref="B219:B250" si="32">IF(C219&lt;&gt;"",B218+1,"")</f>
        <v>1</v>
      </c>
      <c r="C219" s="192" t="s">
        <v>1135</v>
      </c>
      <c r="D219" s="305"/>
      <c r="E219" s="25"/>
      <c r="F219" s="25"/>
      <c r="G219" s="25">
        <f t="array" ref="G219">SUM(IF("155"&amp;C219=KHN&amp;MH,SL))</f>
        <v>25990</v>
      </c>
      <c r="H219" s="25">
        <f t="array" ref="H219">SUM(IF("155"&amp;C219=KHN&amp;MH,TH))</f>
        <v>157637444</v>
      </c>
      <c r="I219" s="25">
        <f t="array" ref="I219">SUM(IF("155"&amp;C219=KHC&amp;MH,SL))</f>
        <v>25990</v>
      </c>
      <c r="J219" s="25">
        <f t="array" ref="J219">SUM(IF("155"&amp;C219=KHC&amp;MH,TH))</f>
        <v>157637444</v>
      </c>
      <c r="K219" s="25">
        <f t="shared" ref="K219:K250" si="33">E219+G219-I219</f>
        <v>0</v>
      </c>
      <c r="L219" s="25">
        <f t="shared" ref="L219:L250" si="34">F219+H219-J219</f>
        <v>0</v>
      </c>
      <c r="M219" s="293"/>
    </row>
    <row r="220" spans="1:13" ht="19.5" hidden="1" customHeight="1">
      <c r="A220" s="293" t="str">
        <f t="shared" si="31"/>
        <v>TP</v>
      </c>
      <c r="B220" s="306">
        <f t="shared" si="32"/>
        <v>2</v>
      </c>
      <c r="C220" s="192" t="s">
        <v>735</v>
      </c>
      <c r="D220" s="305"/>
      <c r="E220" s="8"/>
      <c r="F220" s="8"/>
      <c r="G220" s="25">
        <f t="array" ref="G220">SUM(IF("155"&amp;C220=KHN&amp;MH,SL))</f>
        <v>420</v>
      </c>
      <c r="H220" s="25">
        <f t="array" ref="H220">SUM(IF("155"&amp;C220=KHN&amp;MH,TH))</f>
        <v>815835</v>
      </c>
      <c r="I220" s="25">
        <f t="array" ref="I220">SUM(IF("155"&amp;C220=KHC&amp;MH,SL))</f>
        <v>420</v>
      </c>
      <c r="J220" s="25">
        <f t="array" ref="J220">SUM(IF("155"&amp;C220=KHC&amp;MH,TH))</f>
        <v>815835</v>
      </c>
      <c r="K220" s="8">
        <f t="shared" si="33"/>
        <v>0</v>
      </c>
      <c r="L220" s="8">
        <f t="shared" si="34"/>
        <v>0</v>
      </c>
      <c r="M220" s="293"/>
    </row>
    <row r="221" spans="1:13" ht="18" hidden="1" customHeight="1">
      <c r="A221" s="293" t="str">
        <f t="shared" si="31"/>
        <v>TP</v>
      </c>
      <c r="B221" s="306">
        <f t="shared" si="32"/>
        <v>3</v>
      </c>
      <c r="C221" s="192" t="s">
        <v>737</v>
      </c>
      <c r="D221" s="305"/>
      <c r="E221" s="8"/>
      <c r="F221" s="8"/>
      <c r="G221" s="25">
        <f t="array" ref="G221">SUM(IF("155"&amp;C221=KHN&amp;MH,SL))</f>
        <v>420</v>
      </c>
      <c r="H221" s="25">
        <f t="array" ref="H221">SUM(IF("155"&amp;C221=KHN&amp;MH,TH))</f>
        <v>815835</v>
      </c>
      <c r="I221" s="25">
        <f t="array" ref="I221">SUM(IF("155"&amp;C221=KHC&amp;MH,SL))</f>
        <v>420</v>
      </c>
      <c r="J221" s="25">
        <f t="array" ref="J221">SUM(IF("155"&amp;C221=KHC&amp;MH,TH))</f>
        <v>815835</v>
      </c>
      <c r="K221" s="8">
        <f t="shared" si="33"/>
        <v>0</v>
      </c>
      <c r="L221" s="8">
        <f t="shared" si="34"/>
        <v>0</v>
      </c>
      <c r="M221" s="293"/>
    </row>
    <row r="222" spans="1:13" ht="18" hidden="1" customHeight="1">
      <c r="A222" s="293" t="str">
        <f t="shared" si="31"/>
        <v>TP</v>
      </c>
      <c r="B222" s="306">
        <f t="shared" si="32"/>
        <v>4</v>
      </c>
      <c r="C222" s="192" t="s">
        <v>736</v>
      </c>
      <c r="D222" s="305"/>
      <c r="E222" s="8"/>
      <c r="F222" s="8"/>
      <c r="G222" s="25">
        <f t="array" ref="G222">SUM(IF("155"&amp;C222=KHN&amp;MH,SL))</f>
        <v>200</v>
      </c>
      <c r="H222" s="25">
        <f t="array" ref="H222">SUM(IF("155"&amp;C222=KHN&amp;MH,TH))</f>
        <v>416468</v>
      </c>
      <c r="I222" s="25">
        <f t="array" ref="I222">SUM(IF("155"&amp;C222=KHC&amp;MH,SL))</f>
        <v>200</v>
      </c>
      <c r="J222" s="25">
        <f t="array" ref="J222">SUM(IF("155"&amp;C222=KHC&amp;MH,TH))</f>
        <v>416468</v>
      </c>
      <c r="K222" s="8">
        <f t="shared" si="33"/>
        <v>0</v>
      </c>
      <c r="L222" s="8">
        <f t="shared" si="34"/>
        <v>0</v>
      </c>
      <c r="M222" s="293"/>
    </row>
    <row r="223" spans="1:13" ht="18.75" hidden="1" customHeight="1">
      <c r="A223" s="293" t="str">
        <f t="shared" si="31"/>
        <v>TP</v>
      </c>
      <c r="B223" s="306">
        <f t="shared" si="32"/>
        <v>5</v>
      </c>
      <c r="C223" s="192" t="s">
        <v>734</v>
      </c>
      <c r="D223" s="305"/>
      <c r="E223" s="8"/>
      <c r="F223" s="8"/>
      <c r="G223" s="25">
        <f t="array" ref="G223">SUM(IF("155"&amp;C223=KHN&amp;MH,SL))</f>
        <v>510</v>
      </c>
      <c r="H223" s="25">
        <f t="array" ref="H223">SUM(IF("155"&amp;C223=KHN&amp;MH,TH))</f>
        <v>979212</v>
      </c>
      <c r="I223" s="25">
        <f t="array" ref="I223">SUM(IF("155"&amp;C223=KHC&amp;MH,SL))</f>
        <v>510</v>
      </c>
      <c r="J223" s="25">
        <f t="array" ref="J223">SUM(IF("155"&amp;C223=KHC&amp;MH,TH))</f>
        <v>979212</v>
      </c>
      <c r="K223" s="8">
        <f t="shared" si="33"/>
        <v>0</v>
      </c>
      <c r="L223" s="8">
        <f t="shared" si="34"/>
        <v>0</v>
      </c>
      <c r="M223" s="293"/>
    </row>
    <row r="224" spans="1:13" ht="18.75" hidden="1" customHeight="1">
      <c r="A224" s="293" t="str">
        <f t="shared" si="31"/>
        <v>TP</v>
      </c>
      <c r="B224" s="306">
        <f t="shared" si="32"/>
        <v>6</v>
      </c>
      <c r="C224" s="192" t="s">
        <v>799</v>
      </c>
      <c r="D224" s="305"/>
      <c r="E224" s="8"/>
      <c r="F224" s="8"/>
      <c r="G224" s="25">
        <f t="array" ref="G224">SUM(IF("155"&amp;C224=KHN&amp;MH,SL))</f>
        <v>200</v>
      </c>
      <c r="H224" s="25">
        <f t="array" ref="H224">SUM(IF("155"&amp;C224=KHN&amp;MH,TH))</f>
        <v>271287</v>
      </c>
      <c r="I224" s="25">
        <f t="array" ref="I224">SUM(IF("155"&amp;C224=KHC&amp;MH,SL))</f>
        <v>200</v>
      </c>
      <c r="J224" s="25">
        <f t="array" ref="J224">SUM(IF("155"&amp;C224=KHC&amp;MH,TH))</f>
        <v>271287</v>
      </c>
      <c r="K224" s="8">
        <f t="shared" si="33"/>
        <v>0</v>
      </c>
      <c r="L224" s="8">
        <f t="shared" si="34"/>
        <v>0</v>
      </c>
      <c r="M224" s="293"/>
    </row>
    <row r="225" spans="1:13" ht="18.75" hidden="1" customHeight="1">
      <c r="A225" s="293" t="str">
        <f t="shared" si="31"/>
        <v>TP</v>
      </c>
      <c r="B225" s="306">
        <f t="shared" si="32"/>
        <v>7</v>
      </c>
      <c r="C225" s="192" t="s">
        <v>817</v>
      </c>
      <c r="D225" s="305"/>
      <c r="E225" s="8"/>
      <c r="F225" s="8"/>
      <c r="G225" s="25">
        <f t="array" ref="G225">SUM(IF("155"&amp;C225=KHN&amp;MH,SL))</f>
        <v>4600</v>
      </c>
      <c r="H225" s="25">
        <f t="array" ref="H225">SUM(IF("155"&amp;C225=KHN&amp;MH,TH))</f>
        <v>6664851</v>
      </c>
      <c r="I225" s="25">
        <f t="array" ref="I225">SUM(IF("155"&amp;C225=KHC&amp;MH,SL))</f>
        <v>4600</v>
      </c>
      <c r="J225" s="25">
        <f t="array" ref="J225">SUM(IF("155"&amp;C225=KHC&amp;MH,TH))</f>
        <v>6664851</v>
      </c>
      <c r="K225" s="8">
        <f t="shared" si="33"/>
        <v>0</v>
      </c>
      <c r="L225" s="8">
        <f t="shared" si="34"/>
        <v>0</v>
      </c>
      <c r="M225" s="293"/>
    </row>
    <row r="226" spans="1:13" ht="18.75" hidden="1" customHeight="1">
      <c r="A226" s="293" t="str">
        <f t="shared" si="31"/>
        <v>TP</v>
      </c>
      <c r="B226" s="306">
        <f t="shared" si="32"/>
        <v>8</v>
      </c>
      <c r="C226" s="192" t="s">
        <v>885</v>
      </c>
      <c r="D226" s="305"/>
      <c r="E226" s="8"/>
      <c r="F226" s="8"/>
      <c r="G226" s="25">
        <f t="array" ref="G226">SUM(IF("155"&amp;C226=KHN&amp;MH,SL))</f>
        <v>1220</v>
      </c>
      <c r="H226" s="25">
        <f t="array" ref="H226">SUM(IF("155"&amp;C226=KHN&amp;MH,TH))</f>
        <v>9178457</v>
      </c>
      <c r="I226" s="25">
        <f t="array" ref="I226">SUM(IF("155"&amp;C226=KHC&amp;MH,SL))</f>
        <v>1220</v>
      </c>
      <c r="J226" s="25">
        <f t="array" ref="J226">SUM(IF("155"&amp;C226=KHC&amp;MH,TH))</f>
        <v>9178457</v>
      </c>
      <c r="K226" s="8">
        <f t="shared" si="33"/>
        <v>0</v>
      </c>
      <c r="L226" s="8">
        <f t="shared" si="34"/>
        <v>0</v>
      </c>
      <c r="M226" s="293"/>
    </row>
    <row r="227" spans="1:13" ht="18.75" hidden="1" customHeight="1">
      <c r="A227" s="293" t="str">
        <f t="shared" si="31"/>
        <v>TP</v>
      </c>
      <c r="B227" s="306">
        <f t="shared" si="32"/>
        <v>9</v>
      </c>
      <c r="C227" s="192" t="s">
        <v>908</v>
      </c>
      <c r="D227" s="305"/>
      <c r="E227" s="8"/>
      <c r="F227" s="8"/>
      <c r="G227" s="25">
        <f t="array" ref="G227">SUM(IF("155"&amp;C227=KHN&amp;MH,SL))</f>
        <v>85</v>
      </c>
      <c r="H227" s="25">
        <f t="array" ref="H227">SUM(IF("155"&amp;C227=KHN&amp;MH,TH))</f>
        <v>783447</v>
      </c>
      <c r="I227" s="25">
        <f t="array" ref="I227">SUM(IF("155"&amp;C227=KHC&amp;MH,SL))</f>
        <v>85</v>
      </c>
      <c r="J227" s="25">
        <f t="array" ref="J227">SUM(IF("155"&amp;C227=KHC&amp;MH,TH))</f>
        <v>783447</v>
      </c>
      <c r="K227" s="8">
        <f t="shared" si="33"/>
        <v>0</v>
      </c>
      <c r="L227" s="8">
        <f t="shared" si="34"/>
        <v>0</v>
      </c>
      <c r="M227" s="293"/>
    </row>
    <row r="228" spans="1:13" ht="18.75" hidden="1" customHeight="1">
      <c r="A228" s="293" t="str">
        <f t="shared" si="31"/>
        <v>TP</v>
      </c>
      <c r="B228" s="306">
        <f t="shared" si="32"/>
        <v>10</v>
      </c>
      <c r="C228" s="192" t="s">
        <v>875</v>
      </c>
      <c r="D228" s="305"/>
      <c r="E228" s="8"/>
      <c r="F228" s="8"/>
      <c r="G228" s="25">
        <f t="array" ref="G228">SUM(IF("155"&amp;C228=KHN&amp;MH,SL))</f>
        <v>110</v>
      </c>
      <c r="H228" s="25">
        <f t="array" ref="H228">SUM(IF("155"&amp;C228=KHN&amp;MH,TH))</f>
        <v>4096199</v>
      </c>
      <c r="I228" s="25">
        <f t="array" ref="I228">SUM(IF("155"&amp;C228=KHC&amp;MH,SL))</f>
        <v>110</v>
      </c>
      <c r="J228" s="25">
        <f t="array" ref="J228">SUM(IF("155"&amp;C228=KHC&amp;MH,TH))</f>
        <v>4096199</v>
      </c>
      <c r="K228" s="8">
        <f t="shared" si="33"/>
        <v>0</v>
      </c>
      <c r="L228" s="8">
        <f t="shared" si="34"/>
        <v>0</v>
      </c>
      <c r="M228" s="293"/>
    </row>
    <row r="229" spans="1:13" ht="18.75" hidden="1" customHeight="1">
      <c r="A229" s="293" t="str">
        <f t="shared" si="31"/>
        <v>TP</v>
      </c>
      <c r="B229" s="306">
        <f t="shared" si="32"/>
        <v>11</v>
      </c>
      <c r="C229" s="192" t="s">
        <v>1016</v>
      </c>
      <c r="D229" s="305"/>
      <c r="E229" s="8"/>
      <c r="F229" s="8"/>
      <c r="G229" s="25">
        <f t="array" ref="G229">SUM(IF("155"&amp;C229=KHN&amp;MH,SL))</f>
        <v>70</v>
      </c>
      <c r="H229" s="25">
        <f t="array" ref="H229">SUM(IF("155"&amp;C229=KHN&amp;MH,TH))</f>
        <v>2881964</v>
      </c>
      <c r="I229" s="25">
        <f t="array" ref="I229">SUM(IF("155"&amp;C229=KHC&amp;MH,SL))</f>
        <v>70</v>
      </c>
      <c r="J229" s="25">
        <f t="array" ref="J229">SUM(IF("155"&amp;C229=KHC&amp;MH,TH))</f>
        <v>2881964</v>
      </c>
      <c r="K229" s="8">
        <f t="shared" si="33"/>
        <v>0</v>
      </c>
      <c r="L229" s="8">
        <f t="shared" si="34"/>
        <v>0</v>
      </c>
      <c r="M229" s="293"/>
    </row>
    <row r="230" spans="1:13" ht="18.75" hidden="1" customHeight="1">
      <c r="A230" s="293" t="str">
        <f t="shared" si="31"/>
        <v>TP</v>
      </c>
      <c r="B230" s="306">
        <f t="shared" si="32"/>
        <v>12</v>
      </c>
      <c r="C230" s="192" t="s">
        <v>878</v>
      </c>
      <c r="D230" s="305"/>
      <c r="E230" s="8"/>
      <c r="F230" s="8"/>
      <c r="G230" s="25">
        <f t="array" ref="G230">SUM(IF("155"&amp;C230=KHN&amp;MH,SL))</f>
        <v>130</v>
      </c>
      <c r="H230" s="25">
        <f t="array" ref="H230">SUM(IF("155"&amp;C230=KHN&amp;MH,TH))</f>
        <v>5411552</v>
      </c>
      <c r="I230" s="25">
        <f t="array" ref="I230">SUM(IF("155"&amp;C230=KHC&amp;MH,SL))</f>
        <v>130</v>
      </c>
      <c r="J230" s="25">
        <f t="array" ref="J230">SUM(IF("155"&amp;C230=KHC&amp;MH,TH))</f>
        <v>5411552</v>
      </c>
      <c r="K230" s="8">
        <f t="shared" si="33"/>
        <v>0</v>
      </c>
      <c r="L230" s="8">
        <f t="shared" si="34"/>
        <v>0</v>
      </c>
      <c r="M230" s="293"/>
    </row>
    <row r="231" spans="1:13" ht="18.75" hidden="1" customHeight="1">
      <c r="A231" s="293" t="str">
        <f t="shared" si="31"/>
        <v>TP</v>
      </c>
      <c r="B231" s="306">
        <f t="shared" si="32"/>
        <v>13</v>
      </c>
      <c r="C231" s="192" t="s">
        <v>1018</v>
      </c>
      <c r="D231" s="305"/>
      <c r="E231" s="8"/>
      <c r="F231" s="8"/>
      <c r="G231" s="25">
        <f t="array" ref="G231">SUM(IF("155"&amp;C231=KHN&amp;MH,SL))</f>
        <v>70</v>
      </c>
      <c r="H231" s="25">
        <f t="array" ref="H231">SUM(IF("155"&amp;C231=KHN&amp;MH,TH))</f>
        <v>2657065</v>
      </c>
      <c r="I231" s="25">
        <f t="array" ref="I231">SUM(IF("155"&amp;C231=KHC&amp;MH,SL))</f>
        <v>70</v>
      </c>
      <c r="J231" s="25">
        <f t="array" ref="J231">SUM(IF("155"&amp;C231=KHC&amp;MH,TH))</f>
        <v>2657065</v>
      </c>
      <c r="K231" s="8">
        <f t="shared" si="33"/>
        <v>0</v>
      </c>
      <c r="L231" s="8">
        <f t="shared" si="34"/>
        <v>0</v>
      </c>
      <c r="M231" s="293"/>
    </row>
    <row r="232" spans="1:13" ht="18.75" hidden="1" customHeight="1">
      <c r="A232" s="293" t="str">
        <f t="shared" si="31"/>
        <v>TP</v>
      </c>
      <c r="B232" s="306">
        <f t="shared" si="32"/>
        <v>14</v>
      </c>
      <c r="C232" s="192" t="s">
        <v>879</v>
      </c>
      <c r="D232" s="305"/>
      <c r="E232" s="8"/>
      <c r="F232" s="8"/>
      <c r="G232" s="25">
        <f t="array" ref="G232">SUM(IF("155"&amp;C232=KHN&amp;MH,SL))</f>
        <v>70</v>
      </c>
      <c r="H232" s="25">
        <f t="array" ref="H232">SUM(IF("155"&amp;C232=KHN&amp;MH,TH))</f>
        <v>2848117</v>
      </c>
      <c r="I232" s="25">
        <f t="array" ref="I232">SUM(IF("155"&amp;C232=KHC&amp;MH,SL))</f>
        <v>70</v>
      </c>
      <c r="J232" s="25">
        <f t="array" ref="J232">SUM(IF("155"&amp;C232=KHC&amp;MH,TH))</f>
        <v>2848117</v>
      </c>
      <c r="K232" s="8">
        <f t="shared" si="33"/>
        <v>0</v>
      </c>
      <c r="L232" s="8">
        <f t="shared" si="34"/>
        <v>0</v>
      </c>
      <c r="M232" s="293"/>
    </row>
    <row r="233" spans="1:13" ht="18.75" hidden="1" customHeight="1">
      <c r="A233" s="293" t="str">
        <f t="shared" si="31"/>
        <v>TP</v>
      </c>
      <c r="B233" s="306">
        <f t="shared" si="32"/>
        <v>15</v>
      </c>
      <c r="C233" s="192" t="s">
        <v>880</v>
      </c>
      <c r="D233" s="305"/>
      <c r="E233" s="8"/>
      <c r="F233" s="8"/>
      <c r="G233" s="25">
        <f t="array" ref="G233">SUM(IF("155"&amp;C233=KHN&amp;MH,SL))</f>
        <v>70</v>
      </c>
      <c r="H233" s="25">
        <f t="array" ref="H233">SUM(IF("155"&amp;C233=KHN&amp;MH,TH))</f>
        <v>3376853</v>
      </c>
      <c r="I233" s="25">
        <f t="array" ref="I233">SUM(IF("155"&amp;C233=KHC&amp;MH,SL))</f>
        <v>70</v>
      </c>
      <c r="J233" s="25">
        <f t="array" ref="J233">SUM(IF("155"&amp;C233=KHC&amp;MH,TH))</f>
        <v>3376853</v>
      </c>
      <c r="K233" s="8">
        <f t="shared" si="33"/>
        <v>0</v>
      </c>
      <c r="L233" s="8">
        <f t="shared" si="34"/>
        <v>0</v>
      </c>
      <c r="M233" s="293"/>
    </row>
    <row r="234" spans="1:13" ht="18.75" hidden="1" customHeight="1">
      <c r="A234" s="293" t="str">
        <f t="shared" si="31"/>
        <v>TP</v>
      </c>
      <c r="B234" s="306">
        <f t="shared" si="32"/>
        <v>16</v>
      </c>
      <c r="C234" s="192" t="s">
        <v>783</v>
      </c>
      <c r="D234" s="305"/>
      <c r="E234" s="8"/>
      <c r="F234" s="8"/>
      <c r="G234" s="25">
        <f t="array" ref="G234">SUM(IF("155"&amp;C234=KHN&amp;MH,SL))</f>
        <v>310</v>
      </c>
      <c r="H234" s="25">
        <f t="array" ref="H234">SUM(IF("155"&amp;C234=KHN&amp;MH,TH))</f>
        <v>1735743</v>
      </c>
      <c r="I234" s="25">
        <f t="array" ref="I234">SUM(IF("155"&amp;C234=KHC&amp;MH,SL))</f>
        <v>310</v>
      </c>
      <c r="J234" s="25">
        <f t="array" ref="J234">SUM(IF("155"&amp;C234=KHC&amp;MH,TH))</f>
        <v>1735743</v>
      </c>
      <c r="K234" s="8">
        <f t="shared" si="33"/>
        <v>0</v>
      </c>
      <c r="L234" s="8">
        <f t="shared" si="34"/>
        <v>0</v>
      </c>
      <c r="M234" s="293"/>
    </row>
    <row r="235" spans="1:13" ht="18.75" hidden="1" customHeight="1">
      <c r="A235" s="293" t="str">
        <f t="shared" si="31"/>
        <v>TP</v>
      </c>
      <c r="B235" s="306">
        <f t="shared" si="32"/>
        <v>17</v>
      </c>
      <c r="C235" s="192" t="s">
        <v>784</v>
      </c>
      <c r="D235" s="305"/>
      <c r="E235" s="8"/>
      <c r="F235" s="8"/>
      <c r="G235" s="25">
        <f t="array" ref="G235">SUM(IF("155"&amp;C235=KHN&amp;MH,SL))</f>
        <v>305</v>
      </c>
      <c r="H235" s="25">
        <f t="array" ref="H235">SUM(IF("155"&amp;C235=KHN&amp;MH,TH))</f>
        <v>1194967</v>
      </c>
      <c r="I235" s="25">
        <f t="array" ref="I235">SUM(IF("155"&amp;C235=KHC&amp;MH,SL))</f>
        <v>305</v>
      </c>
      <c r="J235" s="25">
        <f t="array" ref="J235">SUM(IF("155"&amp;C235=KHC&amp;MH,TH))</f>
        <v>1194967</v>
      </c>
      <c r="K235" s="8">
        <f t="shared" si="33"/>
        <v>0</v>
      </c>
      <c r="L235" s="8">
        <f t="shared" si="34"/>
        <v>0</v>
      </c>
      <c r="M235" s="293"/>
    </row>
    <row r="236" spans="1:13" ht="18.75" hidden="1" customHeight="1">
      <c r="A236" s="293" t="str">
        <f t="shared" si="31"/>
        <v>TP</v>
      </c>
      <c r="B236" s="306">
        <f t="shared" si="32"/>
        <v>18</v>
      </c>
      <c r="C236" s="192" t="s">
        <v>881</v>
      </c>
      <c r="D236" s="305"/>
      <c r="E236" s="8"/>
      <c r="F236" s="8"/>
      <c r="G236" s="25">
        <f t="array" ref="G236">SUM(IF("155"&amp;C236=KHN&amp;MH,SL))</f>
        <v>20</v>
      </c>
      <c r="H236" s="25">
        <f t="array" ref="H236">SUM(IF("155"&amp;C236=KHN&amp;MH,TH))</f>
        <v>1106140</v>
      </c>
      <c r="I236" s="25">
        <f t="array" ref="I236">SUM(IF("155"&amp;C236=KHC&amp;MH,SL))</f>
        <v>20</v>
      </c>
      <c r="J236" s="25">
        <f t="array" ref="J236">SUM(IF("155"&amp;C236=KHC&amp;MH,TH))</f>
        <v>1106140</v>
      </c>
      <c r="K236" s="8">
        <f t="shared" si="33"/>
        <v>0</v>
      </c>
      <c r="L236" s="8">
        <f t="shared" si="34"/>
        <v>0</v>
      </c>
      <c r="M236" s="293"/>
    </row>
    <row r="237" spans="1:13" ht="18.75" hidden="1" customHeight="1">
      <c r="A237" s="293" t="str">
        <f t="shared" si="31"/>
        <v>TP</v>
      </c>
      <c r="B237" s="306">
        <f t="shared" si="32"/>
        <v>19</v>
      </c>
      <c r="C237" s="192" t="s">
        <v>1020</v>
      </c>
      <c r="D237" s="305"/>
      <c r="E237" s="8"/>
      <c r="F237" s="8"/>
      <c r="G237" s="25">
        <f t="array" ref="G237">SUM(IF("155"&amp;C237=KHN&amp;MH,SL))</f>
        <v>50</v>
      </c>
      <c r="H237" s="25">
        <f t="array" ref="H237">SUM(IF("155"&amp;C237=KHN&amp;MH,TH))</f>
        <v>2277357</v>
      </c>
      <c r="I237" s="25">
        <f t="array" ref="I237">SUM(IF("155"&amp;C237=KHC&amp;MH,SL))</f>
        <v>50</v>
      </c>
      <c r="J237" s="25">
        <f t="array" ref="J237">SUM(IF("155"&amp;C237=KHC&amp;MH,TH))</f>
        <v>2277357</v>
      </c>
      <c r="K237" s="8">
        <f t="shared" si="33"/>
        <v>0</v>
      </c>
      <c r="L237" s="8">
        <f t="shared" si="34"/>
        <v>0</v>
      </c>
      <c r="M237" s="293"/>
    </row>
    <row r="238" spans="1:13" ht="18.75" hidden="1" customHeight="1">
      <c r="A238" s="293" t="str">
        <f t="shared" si="31"/>
        <v>TP</v>
      </c>
      <c r="B238" s="306">
        <f t="shared" si="32"/>
        <v>20</v>
      </c>
      <c r="C238" s="192" t="s">
        <v>723</v>
      </c>
      <c r="D238" s="305"/>
      <c r="E238" s="8"/>
      <c r="F238" s="8"/>
      <c r="G238" s="25">
        <f t="array" ref="G238">SUM(IF("155"&amp;C238=KHN&amp;MH,SL))</f>
        <v>2780</v>
      </c>
      <c r="H238" s="25">
        <f t="array" ref="H238">SUM(IF("155"&amp;C238=KHN&amp;MH,TH))</f>
        <v>13477700</v>
      </c>
      <c r="I238" s="25">
        <f t="array" ref="I238">SUM(IF("155"&amp;C238=KHC&amp;MH,SL))</f>
        <v>2780</v>
      </c>
      <c r="J238" s="25">
        <f t="array" ref="J238">SUM(IF("155"&amp;C238=KHC&amp;MH,TH))</f>
        <v>13477700</v>
      </c>
      <c r="K238" s="8">
        <f t="shared" si="33"/>
        <v>0</v>
      </c>
      <c r="L238" s="8">
        <f t="shared" si="34"/>
        <v>0</v>
      </c>
      <c r="M238" s="293"/>
    </row>
    <row r="239" spans="1:13" ht="18.75" hidden="1" customHeight="1">
      <c r="A239" s="293" t="str">
        <f t="shared" si="31"/>
        <v>TP</v>
      </c>
      <c r="B239" s="306">
        <f t="shared" si="32"/>
        <v>21</v>
      </c>
      <c r="C239" s="192" t="s">
        <v>1136</v>
      </c>
      <c r="D239" s="305"/>
      <c r="E239" s="8"/>
      <c r="F239" s="8"/>
      <c r="G239" s="25">
        <f t="array" ref="G239">SUM(IF("155"&amp;C239=KHN&amp;MH,SL))</f>
        <v>960</v>
      </c>
      <c r="H239" s="25">
        <f t="array" ref="H239">SUM(IF("155"&amp;C239=KHN&amp;MH,TH))</f>
        <v>3848012</v>
      </c>
      <c r="I239" s="25">
        <f t="array" ref="I239">SUM(IF("155"&amp;C239=KHC&amp;MH,SL))</f>
        <v>960</v>
      </c>
      <c r="J239" s="25">
        <f t="array" ref="J239">SUM(IF("155"&amp;C239=KHC&amp;MH,TH))</f>
        <v>3848012</v>
      </c>
      <c r="K239" s="8">
        <f t="shared" si="33"/>
        <v>0</v>
      </c>
      <c r="L239" s="8">
        <f t="shared" si="34"/>
        <v>0</v>
      </c>
      <c r="M239" s="293"/>
    </row>
    <row r="240" spans="1:13" ht="18.75" hidden="1" customHeight="1">
      <c r="A240" s="293" t="str">
        <f t="shared" si="31"/>
        <v>TP</v>
      </c>
      <c r="B240" s="306">
        <f t="shared" si="32"/>
        <v>22</v>
      </c>
      <c r="C240" s="192" t="s">
        <v>803</v>
      </c>
      <c r="D240" s="305"/>
      <c r="E240" s="8"/>
      <c r="F240" s="8"/>
      <c r="G240" s="25">
        <f t="array" ref="G240">SUM(IF("155"&amp;C240=KHN&amp;MH,SL))</f>
        <v>514</v>
      </c>
      <c r="H240" s="25">
        <f t="array" ref="H240">SUM(IF("155"&amp;C240=KHN&amp;MH,TH))</f>
        <v>4097321</v>
      </c>
      <c r="I240" s="25">
        <f t="array" ref="I240">SUM(IF("155"&amp;C240=KHC&amp;MH,SL))</f>
        <v>514</v>
      </c>
      <c r="J240" s="25">
        <f t="array" ref="J240">SUM(IF("155"&amp;C240=KHC&amp;MH,TH))</f>
        <v>4097321</v>
      </c>
      <c r="K240" s="8">
        <f t="shared" si="33"/>
        <v>0</v>
      </c>
      <c r="L240" s="8">
        <f t="shared" si="34"/>
        <v>0</v>
      </c>
      <c r="M240" s="293"/>
    </row>
    <row r="241" spans="1:13" ht="18.75" hidden="1" customHeight="1">
      <c r="A241" s="293" t="str">
        <f t="shared" si="31"/>
        <v>TP</v>
      </c>
      <c r="B241" s="306">
        <f t="shared" si="32"/>
        <v>23</v>
      </c>
      <c r="C241" s="192" t="s">
        <v>1021</v>
      </c>
      <c r="D241" s="305"/>
      <c r="E241" s="8"/>
      <c r="F241" s="8"/>
      <c r="G241" s="25">
        <f t="array" ref="G241">SUM(IF("155"&amp;C241=KHN&amp;MH,SL))</f>
        <v>50</v>
      </c>
      <c r="H241" s="25">
        <f t="array" ref="H241">SUM(IF("155"&amp;C241=KHN&amp;MH,TH))</f>
        <v>3117716</v>
      </c>
      <c r="I241" s="25">
        <f t="array" ref="I241">SUM(IF("155"&amp;C241=KHC&amp;MH,SL))</f>
        <v>50</v>
      </c>
      <c r="J241" s="25">
        <f t="array" ref="J241">SUM(IF("155"&amp;C241=KHC&amp;MH,TH))</f>
        <v>3117716</v>
      </c>
      <c r="K241" s="8">
        <f t="shared" si="33"/>
        <v>0</v>
      </c>
      <c r="L241" s="8">
        <f t="shared" si="34"/>
        <v>0</v>
      </c>
      <c r="M241" s="293"/>
    </row>
    <row r="242" spans="1:13" ht="18.75" hidden="1" customHeight="1">
      <c r="A242" s="293" t="str">
        <f t="shared" si="31"/>
        <v>TP</v>
      </c>
      <c r="B242" s="306">
        <f t="shared" si="32"/>
        <v>24</v>
      </c>
      <c r="C242" s="192" t="s">
        <v>806</v>
      </c>
      <c r="D242" s="305"/>
      <c r="E242" s="8"/>
      <c r="F242" s="8"/>
      <c r="G242" s="25">
        <f t="array" ref="G242">SUM(IF("155"&amp;C242=KHN&amp;MH,SL))</f>
        <v>812</v>
      </c>
      <c r="H242" s="25">
        <f t="array" ref="H242">SUM(IF("155"&amp;C242=KHN&amp;MH,TH))</f>
        <v>7370288</v>
      </c>
      <c r="I242" s="25">
        <f t="array" ref="I242">SUM(IF("155"&amp;C242=KHC&amp;MH,SL))</f>
        <v>812</v>
      </c>
      <c r="J242" s="25">
        <f t="array" ref="J242">SUM(IF("155"&amp;C242=KHC&amp;MH,TH))</f>
        <v>7370288</v>
      </c>
      <c r="K242" s="8">
        <f t="shared" si="33"/>
        <v>0</v>
      </c>
      <c r="L242" s="8">
        <f t="shared" si="34"/>
        <v>0</v>
      </c>
      <c r="M242" s="293"/>
    </row>
    <row r="243" spans="1:13" ht="18.75" hidden="1" customHeight="1">
      <c r="A243" s="293" t="str">
        <f t="shared" si="31"/>
        <v>TP</v>
      </c>
      <c r="B243" s="306">
        <f t="shared" si="32"/>
        <v>25</v>
      </c>
      <c r="C243" s="192" t="s">
        <v>844</v>
      </c>
      <c r="D243" s="305"/>
      <c r="E243" s="8"/>
      <c r="F243" s="8"/>
      <c r="G243" s="25">
        <f t="array" ref="G243">SUM(IF("155"&amp;C243=KHN&amp;MH,SL))</f>
        <v>296</v>
      </c>
      <c r="H243" s="25">
        <f t="array" ref="H243">SUM(IF("155"&amp;C243=KHN&amp;MH,TH))</f>
        <v>1297364</v>
      </c>
      <c r="I243" s="25">
        <f t="array" ref="I243">SUM(IF("155"&amp;C243=KHC&amp;MH,SL))</f>
        <v>296</v>
      </c>
      <c r="J243" s="25">
        <f t="array" ref="J243">SUM(IF("155"&amp;C243=KHC&amp;MH,TH))</f>
        <v>1297364</v>
      </c>
      <c r="K243" s="8">
        <f t="shared" si="33"/>
        <v>0</v>
      </c>
      <c r="L243" s="8">
        <f t="shared" si="34"/>
        <v>0</v>
      </c>
      <c r="M243" s="293"/>
    </row>
    <row r="244" spans="1:13" ht="18.75" hidden="1" customHeight="1">
      <c r="A244" s="293" t="str">
        <f t="shared" si="31"/>
        <v>TP</v>
      </c>
      <c r="B244" s="306">
        <f t="shared" si="32"/>
        <v>26</v>
      </c>
      <c r="C244" s="192" t="s">
        <v>1137</v>
      </c>
      <c r="D244" s="305"/>
      <c r="E244" s="8"/>
      <c r="F244" s="8"/>
      <c r="G244" s="25">
        <f t="array" ref="G244">SUM(IF("155"&amp;C244=KHN&amp;MH,SL))</f>
        <v>667</v>
      </c>
      <c r="H244" s="25">
        <f t="array" ref="H244">SUM(IF("155"&amp;C244=KHN&amp;MH,TH))</f>
        <v>3227023</v>
      </c>
      <c r="I244" s="25">
        <f t="array" ref="I244">SUM(IF("155"&amp;C244=KHC&amp;MH,SL))</f>
        <v>667</v>
      </c>
      <c r="J244" s="25">
        <f t="array" ref="J244">SUM(IF("155"&amp;C244=KHC&amp;MH,TH))</f>
        <v>3227023</v>
      </c>
      <c r="K244" s="8">
        <f t="shared" si="33"/>
        <v>0</v>
      </c>
      <c r="L244" s="8">
        <f t="shared" si="34"/>
        <v>0</v>
      </c>
      <c r="M244" s="293"/>
    </row>
    <row r="245" spans="1:13" ht="18.75" hidden="1" customHeight="1">
      <c r="A245" s="293" t="str">
        <f t="shared" si="31"/>
        <v>TP</v>
      </c>
      <c r="B245" s="306">
        <f t="shared" si="32"/>
        <v>27</v>
      </c>
      <c r="C245" s="192" t="s">
        <v>1138</v>
      </c>
      <c r="D245" s="305"/>
      <c r="E245" s="8"/>
      <c r="F245" s="8"/>
      <c r="G245" s="25">
        <f t="array" ref="G245">SUM(IF("155"&amp;C245=KHN&amp;MH,SL))</f>
        <v>484</v>
      </c>
      <c r="H245" s="25">
        <f t="array" ref="H245">SUM(IF("155"&amp;C245=KHN&amp;MH,TH))</f>
        <v>2544974</v>
      </c>
      <c r="I245" s="25">
        <f t="array" ref="I245">SUM(IF("155"&amp;C245=KHC&amp;MH,SL))</f>
        <v>484</v>
      </c>
      <c r="J245" s="25">
        <f t="array" ref="J245">SUM(IF("155"&amp;C245=KHC&amp;MH,TH))</f>
        <v>2544974</v>
      </c>
      <c r="K245" s="8">
        <f t="shared" si="33"/>
        <v>0</v>
      </c>
      <c r="L245" s="8">
        <f t="shared" si="34"/>
        <v>0</v>
      </c>
      <c r="M245" s="293"/>
    </row>
    <row r="246" spans="1:13" ht="18.75" hidden="1" customHeight="1">
      <c r="A246" s="293" t="str">
        <f t="shared" si="31"/>
        <v>TP</v>
      </c>
      <c r="B246" s="306">
        <f t="shared" si="32"/>
        <v>28</v>
      </c>
      <c r="C246" s="192" t="s">
        <v>882</v>
      </c>
      <c r="D246" s="305"/>
      <c r="E246" s="8"/>
      <c r="F246" s="8"/>
      <c r="G246" s="25">
        <f t="array" ref="G246">SUM(IF("155"&amp;C246=KHN&amp;MH,SL))</f>
        <v>20</v>
      </c>
      <c r="H246" s="25">
        <f t="array" ref="H246">SUM(IF("155"&amp;C246=KHN&amp;MH,TH))</f>
        <v>1184072</v>
      </c>
      <c r="I246" s="25">
        <f t="array" ref="I246">SUM(IF("155"&amp;C246=KHC&amp;MH,SL))</f>
        <v>20</v>
      </c>
      <c r="J246" s="25">
        <f t="array" ref="J246">SUM(IF("155"&amp;C246=KHC&amp;MH,TH))</f>
        <v>1184072</v>
      </c>
      <c r="K246" s="8">
        <f t="shared" si="33"/>
        <v>0</v>
      </c>
      <c r="L246" s="8">
        <f t="shared" si="34"/>
        <v>0</v>
      </c>
      <c r="M246" s="293"/>
    </row>
    <row r="247" spans="1:13" ht="18.75" hidden="1" customHeight="1">
      <c r="A247" s="293" t="str">
        <f t="shared" si="31"/>
        <v>TP</v>
      </c>
      <c r="B247" s="306">
        <f t="shared" si="32"/>
        <v>29</v>
      </c>
      <c r="C247" s="192" t="s">
        <v>833</v>
      </c>
      <c r="D247" s="305"/>
      <c r="E247" s="8"/>
      <c r="F247" s="8"/>
      <c r="G247" s="25">
        <f t="array" ref="G247">SUM(IF("155"&amp;C247=KHN&amp;MH,SL))</f>
        <v>303</v>
      </c>
      <c r="H247" s="25">
        <f t="array" ref="H247">SUM(IF("155"&amp;C247=KHN&amp;MH,TH))</f>
        <v>1273241</v>
      </c>
      <c r="I247" s="25">
        <f t="array" ref="I247">SUM(IF("155"&amp;C247=KHC&amp;MH,SL))</f>
        <v>303</v>
      </c>
      <c r="J247" s="25">
        <f t="array" ref="J247">SUM(IF("155"&amp;C247=KHC&amp;MH,TH))</f>
        <v>1273241</v>
      </c>
      <c r="K247" s="8">
        <f t="shared" si="33"/>
        <v>0</v>
      </c>
      <c r="L247" s="8">
        <f t="shared" si="34"/>
        <v>0</v>
      </c>
      <c r="M247" s="293"/>
    </row>
    <row r="248" spans="1:13" ht="18.75" hidden="1" customHeight="1">
      <c r="A248" s="293" t="str">
        <f t="shared" si="31"/>
        <v>TP</v>
      </c>
      <c r="B248" s="306">
        <f t="shared" si="32"/>
        <v>30</v>
      </c>
      <c r="C248" s="189" t="s">
        <v>991</v>
      </c>
      <c r="D248" s="305"/>
      <c r="E248" s="8"/>
      <c r="F248" s="8"/>
      <c r="G248" s="25">
        <f t="array" ref="G248">SUM(IF("155"&amp;C248=KHN&amp;MH,SL))</f>
        <v>50</v>
      </c>
      <c r="H248" s="25">
        <f t="array" ref="H248">SUM(IF("155"&amp;C248=KHN&amp;MH,TH))</f>
        <v>1688775</v>
      </c>
      <c r="I248" s="25">
        <f t="array" ref="I248">SUM(IF("155"&amp;C248=KHC&amp;MH,SL))</f>
        <v>50</v>
      </c>
      <c r="J248" s="25">
        <f t="array" ref="J248">SUM(IF("155"&amp;C248=KHC&amp;MH,TH))</f>
        <v>1688775</v>
      </c>
      <c r="K248" s="8">
        <f t="shared" si="33"/>
        <v>0</v>
      </c>
      <c r="L248" s="8">
        <f t="shared" si="34"/>
        <v>0</v>
      </c>
      <c r="M248" s="293"/>
    </row>
    <row r="249" spans="1:13" ht="18.75" hidden="1" customHeight="1">
      <c r="A249" s="293" t="str">
        <f t="shared" si="31"/>
        <v>TP</v>
      </c>
      <c r="B249" s="306">
        <f t="shared" si="32"/>
        <v>31</v>
      </c>
      <c r="C249" s="189" t="s">
        <v>1153</v>
      </c>
      <c r="D249" s="305"/>
      <c r="E249" s="8"/>
      <c r="F249" s="8"/>
      <c r="G249" s="25">
        <f t="array" ref="G249">SUM(IF("155"&amp;C249=KHN&amp;MH,SL))</f>
        <v>200</v>
      </c>
      <c r="H249" s="25">
        <f t="array" ref="H249">SUM(IF("155"&amp;C249=KHN&amp;MH,TH))</f>
        <v>881698</v>
      </c>
      <c r="I249" s="25">
        <f t="array" ref="I249">SUM(IF("155"&amp;C249=KHC&amp;MH,SL))</f>
        <v>200</v>
      </c>
      <c r="J249" s="25">
        <f t="array" ref="J249">SUM(IF("155"&amp;C249=KHC&amp;MH,TH))</f>
        <v>881698</v>
      </c>
      <c r="K249" s="8">
        <f t="shared" si="33"/>
        <v>0</v>
      </c>
      <c r="L249" s="8">
        <f t="shared" si="34"/>
        <v>0</v>
      </c>
      <c r="M249" s="293"/>
    </row>
    <row r="250" spans="1:13" ht="18.75" hidden="1" customHeight="1">
      <c r="A250" s="293" t="str">
        <f t="shared" si="31"/>
        <v>TP</v>
      </c>
      <c r="B250" s="306">
        <f t="shared" si="32"/>
        <v>32</v>
      </c>
      <c r="C250" s="192" t="s">
        <v>1141</v>
      </c>
      <c r="D250" s="305"/>
      <c r="E250" s="8"/>
      <c r="F250" s="8"/>
      <c r="G250" s="25">
        <f t="array" ref="G250">SUM(IF("155"&amp;C250=KHN&amp;MH,SL))</f>
        <v>1034</v>
      </c>
      <c r="H250" s="25">
        <f t="array" ref="H250">SUM(IF("155"&amp;C250=KHN&amp;MH,TH))</f>
        <v>6143614</v>
      </c>
      <c r="I250" s="25">
        <f t="array" ref="I250">SUM(IF("155"&amp;C250=KHC&amp;MH,SL))</f>
        <v>1034</v>
      </c>
      <c r="J250" s="25">
        <f t="array" ref="J250">SUM(IF("155"&amp;C250=KHC&amp;MH,TH))</f>
        <v>6143614</v>
      </c>
      <c r="K250" s="8">
        <f t="shared" si="33"/>
        <v>0</v>
      </c>
      <c r="L250" s="8">
        <f t="shared" si="34"/>
        <v>0</v>
      </c>
      <c r="M250" s="293"/>
    </row>
    <row r="251" spans="1:13" ht="18.75" hidden="1" customHeight="1">
      <c r="A251" s="293" t="str">
        <f t="shared" ref="A251:A282" si="35">IF(B251&lt;&gt;"","TP","")</f>
        <v>TP</v>
      </c>
      <c r="B251" s="306">
        <f t="shared" ref="B251:B282" si="36">IF(C251&lt;&gt;"",B250+1,"")</f>
        <v>33</v>
      </c>
      <c r="C251" s="192" t="s">
        <v>832</v>
      </c>
      <c r="D251" s="305"/>
      <c r="E251" s="8"/>
      <c r="F251" s="8"/>
      <c r="G251" s="25">
        <f t="array" ref="G251">SUM(IF("155"&amp;C251=KHN&amp;MH,SL))</f>
        <v>305</v>
      </c>
      <c r="H251" s="25">
        <f t="array" ref="H251">SUM(IF("155"&amp;C251=KHN&amp;MH,TH))</f>
        <v>652854</v>
      </c>
      <c r="I251" s="25">
        <f t="array" ref="I251">SUM(IF("155"&amp;C251=KHC&amp;MH,SL))</f>
        <v>305</v>
      </c>
      <c r="J251" s="25">
        <f t="array" ref="J251">SUM(IF("155"&amp;C251=KHC&amp;MH,TH))</f>
        <v>652854</v>
      </c>
      <c r="K251" s="8">
        <f t="shared" ref="K251:K282" si="37">E251+G251-I251</f>
        <v>0</v>
      </c>
      <c r="L251" s="8">
        <f t="shared" ref="L251:L282" si="38">F251+H251-J251</f>
        <v>0</v>
      </c>
      <c r="M251" s="293"/>
    </row>
    <row r="252" spans="1:13" ht="18.75" hidden="1" customHeight="1">
      <c r="A252" s="293" t="str">
        <f t="shared" si="35"/>
        <v>TP</v>
      </c>
      <c r="B252" s="306">
        <f t="shared" si="36"/>
        <v>34</v>
      </c>
      <c r="C252" s="192" t="s">
        <v>1147</v>
      </c>
      <c r="D252" s="305"/>
      <c r="E252" s="8"/>
      <c r="F252" s="8"/>
      <c r="G252" s="25">
        <f t="array" ref="G252">SUM(IF("155"&amp;C252=KHN&amp;MH,SL))</f>
        <v>20068</v>
      </c>
      <c r="H252" s="25">
        <f t="array" ref="H252">SUM(IF("155"&amp;C252=KHN&amp;MH,TH))</f>
        <v>80586696</v>
      </c>
      <c r="I252" s="25">
        <f t="array" ref="I252">SUM(IF("155"&amp;C252=KHC&amp;MH,SL))</f>
        <v>20068</v>
      </c>
      <c r="J252" s="25">
        <f t="array" ref="J252">SUM(IF("155"&amp;C252=KHC&amp;MH,TH))</f>
        <v>80586696</v>
      </c>
      <c r="K252" s="8">
        <f t="shared" si="37"/>
        <v>0</v>
      </c>
      <c r="L252" s="8">
        <f t="shared" si="38"/>
        <v>0</v>
      </c>
      <c r="M252" s="293"/>
    </row>
    <row r="253" spans="1:13" ht="18.75" hidden="1" customHeight="1">
      <c r="A253" s="293" t="str">
        <f t="shared" si="35"/>
        <v>TP</v>
      </c>
      <c r="B253" s="306">
        <f t="shared" si="36"/>
        <v>35</v>
      </c>
      <c r="C253" s="192" t="s">
        <v>1146</v>
      </c>
      <c r="D253" s="305"/>
      <c r="E253" s="8"/>
      <c r="F253" s="8"/>
      <c r="G253" s="25">
        <f t="array" ref="G253">SUM(IF("155"&amp;C253=KHN&amp;MH,SL))</f>
        <v>305</v>
      </c>
      <c r="H253" s="25">
        <f t="array" ref="H253">SUM(IF("155"&amp;C253=KHN&amp;MH,TH))</f>
        <v>1547222</v>
      </c>
      <c r="I253" s="25">
        <f t="array" ref="I253">SUM(IF("155"&amp;C253=KHC&amp;MH,SL))</f>
        <v>305</v>
      </c>
      <c r="J253" s="25">
        <f t="array" ref="J253">SUM(IF("155"&amp;C253=KHC&amp;MH,TH))</f>
        <v>1547222</v>
      </c>
      <c r="K253" s="8">
        <f t="shared" si="37"/>
        <v>0</v>
      </c>
      <c r="L253" s="8">
        <f t="shared" si="38"/>
        <v>0</v>
      </c>
      <c r="M253" s="293"/>
    </row>
    <row r="254" spans="1:13" ht="18.75" hidden="1" customHeight="1">
      <c r="A254" s="293" t="str">
        <f t="shared" si="35"/>
        <v>TP</v>
      </c>
      <c r="B254" s="306">
        <f t="shared" si="36"/>
        <v>36</v>
      </c>
      <c r="C254" s="192" t="s">
        <v>831</v>
      </c>
      <c r="D254" s="305"/>
      <c r="E254" s="8"/>
      <c r="F254" s="8"/>
      <c r="G254" s="25">
        <f t="array" ref="G254">SUM(IF("155"&amp;C254=KHN&amp;MH,SL))</f>
        <v>514</v>
      </c>
      <c r="H254" s="25">
        <f t="array" ref="H254">SUM(IF("155"&amp;C254=KHN&amp;MH,TH))</f>
        <v>1799618</v>
      </c>
      <c r="I254" s="25">
        <f t="array" ref="I254">SUM(IF("155"&amp;C254=KHC&amp;MH,SL))</f>
        <v>514</v>
      </c>
      <c r="J254" s="25">
        <f t="array" ref="J254">SUM(IF("155"&amp;C254=KHC&amp;MH,TH))</f>
        <v>1799618</v>
      </c>
      <c r="K254" s="8">
        <f t="shared" si="37"/>
        <v>0</v>
      </c>
      <c r="L254" s="8">
        <f t="shared" si="38"/>
        <v>0</v>
      </c>
      <c r="M254" s="293"/>
    </row>
    <row r="255" spans="1:13" ht="18.75" hidden="1" customHeight="1">
      <c r="A255" s="293" t="str">
        <f t="shared" si="35"/>
        <v>TP</v>
      </c>
      <c r="B255" s="306">
        <f t="shared" si="36"/>
        <v>37</v>
      </c>
      <c r="C255" s="192" t="s">
        <v>810</v>
      </c>
      <c r="D255" s="305"/>
      <c r="E255" s="8"/>
      <c r="F255" s="8"/>
      <c r="G255" s="25">
        <f t="array" ref="G255">SUM(IF("155"&amp;C255=KHN&amp;MH,SL))</f>
        <v>204</v>
      </c>
      <c r="H255" s="25">
        <f t="array" ref="H255">SUM(IF("155"&amp;C255=KHN&amp;MH,TH))</f>
        <v>1026772</v>
      </c>
      <c r="I255" s="25">
        <f t="array" ref="I255">SUM(IF("155"&amp;C255=KHC&amp;MH,SL))</f>
        <v>204</v>
      </c>
      <c r="J255" s="25">
        <f t="array" ref="J255">SUM(IF("155"&amp;C255=KHC&amp;MH,TH))</f>
        <v>1026772</v>
      </c>
      <c r="K255" s="8">
        <f t="shared" si="37"/>
        <v>0</v>
      </c>
      <c r="L255" s="8">
        <f t="shared" si="38"/>
        <v>0</v>
      </c>
      <c r="M255" s="293"/>
    </row>
    <row r="256" spans="1:13" ht="18.75" hidden="1" customHeight="1">
      <c r="A256" s="293" t="str">
        <f t="shared" si="35"/>
        <v>TP</v>
      </c>
      <c r="B256" s="306">
        <f t="shared" si="36"/>
        <v>38</v>
      </c>
      <c r="C256" s="192" t="s">
        <v>1154</v>
      </c>
      <c r="D256" s="305"/>
      <c r="E256" s="8"/>
      <c r="F256" s="8"/>
      <c r="G256" s="25">
        <f t="array" ref="G256">SUM(IF("155"&amp;C256=KHN&amp;MH,SL))</f>
        <v>4601</v>
      </c>
      <c r="H256" s="25">
        <f t="array" ref="H256">SUM(IF("155"&amp;C256=KHN&amp;MH,TH))</f>
        <v>20621768</v>
      </c>
      <c r="I256" s="25">
        <f t="array" ref="I256">SUM(IF("155"&amp;C256=KHC&amp;MH,SL))</f>
        <v>4601</v>
      </c>
      <c r="J256" s="25">
        <f t="array" ref="J256">SUM(IF("155"&amp;C256=KHC&amp;MH,TH))</f>
        <v>20621768</v>
      </c>
      <c r="K256" s="8">
        <f t="shared" si="37"/>
        <v>0</v>
      </c>
      <c r="L256" s="8">
        <f t="shared" si="38"/>
        <v>0</v>
      </c>
      <c r="M256" s="293"/>
    </row>
    <row r="257" spans="1:13" ht="18.75" hidden="1" customHeight="1">
      <c r="A257" s="293" t="str">
        <f t="shared" si="35"/>
        <v>TP</v>
      </c>
      <c r="B257" s="306">
        <f t="shared" si="36"/>
        <v>39</v>
      </c>
      <c r="C257" s="192" t="s">
        <v>829</v>
      </c>
      <c r="D257" s="305"/>
      <c r="E257" s="8"/>
      <c r="F257" s="8"/>
      <c r="G257" s="25">
        <f t="array" ref="G257">SUM(IF("155"&amp;C257=KHN&amp;MH,SL))</f>
        <v>811</v>
      </c>
      <c r="H257" s="25">
        <f t="array" ref="H257">SUM(IF("155"&amp;C257=KHN&amp;MH,TH))</f>
        <v>4017953</v>
      </c>
      <c r="I257" s="25">
        <f t="array" ref="I257">SUM(IF("155"&amp;C257=KHC&amp;MH,SL))</f>
        <v>811</v>
      </c>
      <c r="J257" s="25">
        <f t="array" ref="J257">SUM(IF("155"&amp;C257=KHC&amp;MH,TH))</f>
        <v>4017953</v>
      </c>
      <c r="K257" s="8">
        <f t="shared" si="37"/>
        <v>0</v>
      </c>
      <c r="L257" s="8">
        <f t="shared" si="38"/>
        <v>0</v>
      </c>
      <c r="M257" s="293"/>
    </row>
    <row r="258" spans="1:13" ht="18.75" hidden="1" customHeight="1">
      <c r="A258" s="293" t="str">
        <f t="shared" si="35"/>
        <v>TP</v>
      </c>
      <c r="B258" s="306">
        <f t="shared" si="36"/>
        <v>40</v>
      </c>
      <c r="C258" s="192" t="s">
        <v>753</v>
      </c>
      <c r="D258" s="305"/>
      <c r="E258" s="8"/>
      <c r="F258" s="8"/>
      <c r="G258" s="25">
        <f t="array" ref="G258">SUM(IF("155"&amp;C258=KHN&amp;MH,SL))</f>
        <v>1589</v>
      </c>
      <c r="H258" s="25">
        <f t="array" ref="H258">SUM(IF("155"&amp;C258=KHN&amp;MH,TH))</f>
        <v>20866842</v>
      </c>
      <c r="I258" s="25">
        <f t="array" ref="I258">SUM(IF("155"&amp;C258=KHC&amp;MH,SL))</f>
        <v>1589</v>
      </c>
      <c r="J258" s="25">
        <f t="array" ref="J258">SUM(IF("155"&amp;C258=KHC&amp;MH,TH))</f>
        <v>20866842</v>
      </c>
      <c r="K258" s="8">
        <f t="shared" si="37"/>
        <v>0</v>
      </c>
      <c r="L258" s="8">
        <f t="shared" si="38"/>
        <v>0</v>
      </c>
      <c r="M258" s="293"/>
    </row>
    <row r="259" spans="1:13" ht="18.75" hidden="1" customHeight="1">
      <c r="A259" s="293" t="str">
        <f t="shared" si="35"/>
        <v>TP</v>
      </c>
      <c r="B259" s="306">
        <f t="shared" si="36"/>
        <v>41</v>
      </c>
      <c r="C259" s="192" t="s">
        <v>750</v>
      </c>
      <c r="D259" s="305"/>
      <c r="E259" s="8"/>
      <c r="F259" s="8"/>
      <c r="G259" s="25">
        <f t="array" ref="G259">SUM(IF("155"&amp;C259=KHN&amp;MH,SL))</f>
        <v>1064</v>
      </c>
      <c r="H259" s="25">
        <f t="array" ref="H259">SUM(IF("155"&amp;C259=KHN&amp;MH,TH))</f>
        <v>13832193</v>
      </c>
      <c r="I259" s="25">
        <f t="array" ref="I259">SUM(IF("155"&amp;C259=KHC&amp;MH,SL))</f>
        <v>1064</v>
      </c>
      <c r="J259" s="25">
        <f t="array" ref="J259">SUM(IF("155"&amp;C259=KHC&amp;MH,TH))</f>
        <v>13832193</v>
      </c>
      <c r="K259" s="8">
        <f t="shared" si="37"/>
        <v>0</v>
      </c>
      <c r="L259" s="8">
        <f t="shared" si="38"/>
        <v>0</v>
      </c>
      <c r="M259" s="293"/>
    </row>
    <row r="260" spans="1:13" ht="18.75" hidden="1" customHeight="1">
      <c r="A260" s="293" t="str">
        <f t="shared" si="35"/>
        <v>TP</v>
      </c>
      <c r="B260" s="306">
        <f t="shared" si="36"/>
        <v>42</v>
      </c>
      <c r="C260" s="192" t="s">
        <v>1151</v>
      </c>
      <c r="D260" s="305"/>
      <c r="E260" s="8"/>
      <c r="F260" s="8"/>
      <c r="G260" s="25">
        <f t="array" ref="G260">SUM(IF("155"&amp;C260=KHN&amp;MH,SL))</f>
        <v>7000</v>
      </c>
      <c r="H260" s="25">
        <f t="array" ref="H260">SUM(IF("155"&amp;C260=KHN&amp;MH,TH))</f>
        <v>25193899</v>
      </c>
      <c r="I260" s="25">
        <f t="array" ref="I260">SUM(IF("155"&amp;C260=KHC&amp;MH,SL))</f>
        <v>7000</v>
      </c>
      <c r="J260" s="25">
        <f t="array" ref="J260">SUM(IF("155"&amp;C260=KHC&amp;MH,TH))</f>
        <v>25193899</v>
      </c>
      <c r="K260" s="8">
        <f t="shared" si="37"/>
        <v>0</v>
      </c>
      <c r="L260" s="8">
        <f t="shared" si="38"/>
        <v>0</v>
      </c>
      <c r="M260" s="293"/>
    </row>
    <row r="261" spans="1:13" ht="18.75" hidden="1" customHeight="1">
      <c r="A261" s="293" t="str">
        <f t="shared" si="35"/>
        <v>TP</v>
      </c>
      <c r="B261" s="306">
        <f t="shared" si="36"/>
        <v>43</v>
      </c>
      <c r="C261" s="189" t="s">
        <v>962</v>
      </c>
      <c r="D261" s="305"/>
      <c r="E261" s="8"/>
      <c r="F261" s="8"/>
      <c r="G261" s="25">
        <f t="array" ref="G261">SUM(IF("155"&amp;C261=KHN&amp;MH,SL))</f>
        <v>220</v>
      </c>
      <c r="H261" s="25">
        <f t="array" ref="H261">SUM(IF("155"&amp;C261=KHN&amp;MH,TH))</f>
        <v>1738448</v>
      </c>
      <c r="I261" s="25">
        <f t="array" ref="I261">SUM(IF("155"&amp;C261=KHC&amp;MH,SL))</f>
        <v>220</v>
      </c>
      <c r="J261" s="25">
        <f t="array" ref="J261">SUM(IF("155"&amp;C261=KHC&amp;MH,TH))</f>
        <v>1738448</v>
      </c>
      <c r="K261" s="8">
        <f t="shared" si="37"/>
        <v>0</v>
      </c>
      <c r="L261" s="8">
        <f t="shared" si="38"/>
        <v>0</v>
      </c>
      <c r="M261" s="293"/>
    </row>
    <row r="262" spans="1:13" ht="18.75" hidden="1" customHeight="1">
      <c r="A262" s="293" t="str">
        <f t="shared" si="35"/>
        <v>TP</v>
      </c>
      <c r="B262" s="306">
        <f t="shared" si="36"/>
        <v>44</v>
      </c>
      <c r="C262" s="189" t="s">
        <v>992</v>
      </c>
      <c r="D262" s="305"/>
      <c r="E262" s="8"/>
      <c r="F262" s="8"/>
      <c r="G262" s="25">
        <f t="array" ref="G262">SUM(IF("155"&amp;C262=KHN&amp;MH,SL))</f>
        <v>50</v>
      </c>
      <c r="H262" s="25">
        <f t="array" ref="H262">SUM(IF("155"&amp;C262=KHN&amp;MH,TH))</f>
        <v>3127065</v>
      </c>
      <c r="I262" s="25">
        <f t="array" ref="I262">SUM(IF("155"&amp;C262=KHC&amp;MH,SL))</f>
        <v>50</v>
      </c>
      <c r="J262" s="25">
        <f t="array" ref="J262">SUM(IF("155"&amp;C262=KHC&amp;MH,TH))</f>
        <v>3127065</v>
      </c>
      <c r="K262" s="8">
        <f t="shared" si="37"/>
        <v>0</v>
      </c>
      <c r="L262" s="8">
        <f t="shared" si="38"/>
        <v>0</v>
      </c>
      <c r="M262" s="293"/>
    </row>
    <row r="263" spans="1:13" ht="18.75" hidden="1" customHeight="1">
      <c r="A263" s="293" t="str">
        <f t="shared" si="35"/>
        <v>TP</v>
      </c>
      <c r="B263" s="306">
        <f t="shared" si="36"/>
        <v>45</v>
      </c>
      <c r="C263" s="192" t="s">
        <v>1155</v>
      </c>
      <c r="D263" s="305"/>
      <c r="E263" s="8"/>
      <c r="F263" s="8"/>
      <c r="G263" s="25">
        <f t="array" ref="G263">SUM(IF("155"&amp;C263=KHN&amp;MH,SL))</f>
        <v>270</v>
      </c>
      <c r="H263" s="25">
        <f t="array" ref="H263">SUM(IF("155"&amp;C263=KHN&amp;MH,TH))</f>
        <v>1837964</v>
      </c>
      <c r="I263" s="25">
        <f t="array" ref="I263">SUM(IF("155"&amp;C263=KHC&amp;MH,SL))</f>
        <v>270</v>
      </c>
      <c r="J263" s="25">
        <f t="array" ref="J263">SUM(IF("155"&amp;C263=KHC&amp;MH,TH))</f>
        <v>1837964</v>
      </c>
      <c r="K263" s="8">
        <f t="shared" si="37"/>
        <v>0</v>
      </c>
      <c r="L263" s="8">
        <f t="shared" si="38"/>
        <v>0</v>
      </c>
      <c r="M263" s="293"/>
    </row>
    <row r="264" spans="1:13" ht="18.75" hidden="1" customHeight="1">
      <c r="A264" s="293" t="str">
        <f t="shared" si="35"/>
        <v>TP</v>
      </c>
      <c r="B264" s="306">
        <f t="shared" si="36"/>
        <v>46</v>
      </c>
      <c r="C264" s="189" t="s">
        <v>1157</v>
      </c>
      <c r="D264" s="305"/>
      <c r="E264" s="8"/>
      <c r="F264" s="8"/>
      <c r="G264" s="25">
        <f t="array" ref="G264">SUM(IF("155"&amp;C264=KHN&amp;MH,SL))</f>
        <v>62</v>
      </c>
      <c r="H264" s="25">
        <f t="array" ref="H264">SUM(IF("155"&amp;C264=KHN&amp;MH,TH))</f>
        <v>303536</v>
      </c>
      <c r="I264" s="25">
        <f t="array" ref="I264">SUM(IF("155"&amp;C264=KHC&amp;MH,SL))</f>
        <v>62</v>
      </c>
      <c r="J264" s="25">
        <f t="array" ref="J264">SUM(IF("155"&amp;C264=KHC&amp;MH,TH))</f>
        <v>303536</v>
      </c>
      <c r="K264" s="8">
        <f t="shared" si="37"/>
        <v>0</v>
      </c>
      <c r="L264" s="8">
        <f t="shared" si="38"/>
        <v>0</v>
      </c>
      <c r="M264" s="293"/>
    </row>
    <row r="265" spans="1:13" ht="18.75" hidden="1" customHeight="1">
      <c r="A265" s="293" t="str">
        <f t="shared" si="35"/>
        <v>TP</v>
      </c>
      <c r="B265" s="306">
        <f t="shared" si="36"/>
        <v>47</v>
      </c>
      <c r="C265" s="189" t="s">
        <v>1156</v>
      </c>
      <c r="D265" s="305"/>
      <c r="E265" s="8"/>
      <c r="F265" s="8"/>
      <c r="G265" s="25">
        <f t="array" ref="G265">SUM(IF("155"&amp;C265=KHN&amp;MH,SL))</f>
        <v>66</v>
      </c>
      <c r="H265" s="25">
        <f t="array" ref="H265">SUM(IF("155"&amp;C265=KHN&amp;MH,TH))</f>
        <v>302312</v>
      </c>
      <c r="I265" s="25">
        <f t="array" ref="I265">SUM(IF("155"&amp;C265=KHC&amp;MH,SL))</f>
        <v>66</v>
      </c>
      <c r="J265" s="25">
        <f t="array" ref="J265">SUM(IF("155"&amp;C265=KHC&amp;MH,TH))</f>
        <v>302312</v>
      </c>
      <c r="K265" s="8">
        <f t="shared" si="37"/>
        <v>0</v>
      </c>
      <c r="L265" s="8">
        <f t="shared" si="38"/>
        <v>0</v>
      </c>
      <c r="M265" s="293"/>
    </row>
    <row r="266" spans="1:13" ht="18" hidden="1" customHeight="1">
      <c r="A266" s="293" t="str">
        <f t="shared" si="35"/>
        <v>TP</v>
      </c>
      <c r="B266" s="306">
        <f t="shared" si="36"/>
        <v>48</v>
      </c>
      <c r="C266" s="192" t="s">
        <v>1133</v>
      </c>
      <c r="D266" s="305"/>
      <c r="E266" s="8"/>
      <c r="F266" s="8"/>
      <c r="G266" s="25">
        <f t="array" ref="G266">SUM(IF("155"&amp;C266=KHN&amp;MH,SL))</f>
        <v>695</v>
      </c>
      <c r="H266" s="25">
        <f t="array" ref="H266">SUM(IF("155"&amp;C266=KHN&amp;MH,TH))</f>
        <v>4631030</v>
      </c>
      <c r="I266" s="25">
        <f t="array" ref="I266">SUM(IF("155"&amp;C266=KHC&amp;MH,SL))</f>
        <v>695</v>
      </c>
      <c r="J266" s="25">
        <f t="array" ref="J266">SUM(IF("155"&amp;C266=KHC&amp;MH,TH))</f>
        <v>4631030</v>
      </c>
      <c r="K266" s="8">
        <f t="shared" si="37"/>
        <v>0</v>
      </c>
      <c r="L266" s="8">
        <f t="shared" si="38"/>
        <v>0</v>
      </c>
      <c r="M266" s="293"/>
    </row>
    <row r="267" spans="1:13" ht="18" hidden="1" customHeight="1">
      <c r="A267" s="293" t="str">
        <f t="shared" si="35"/>
        <v>TP</v>
      </c>
      <c r="B267" s="306">
        <f t="shared" si="36"/>
        <v>49</v>
      </c>
      <c r="C267" s="189" t="s">
        <v>966</v>
      </c>
      <c r="D267" s="305"/>
      <c r="E267" s="8"/>
      <c r="F267" s="8"/>
      <c r="G267" s="25">
        <f t="array" ref="G267">SUM(IF("155"&amp;C267=KHN&amp;MH,SL))</f>
        <v>80</v>
      </c>
      <c r="H267" s="25">
        <f t="array" ref="H267">SUM(IF("155"&amp;C267=KHN&amp;MH,TH))</f>
        <v>312939</v>
      </c>
      <c r="I267" s="25">
        <f t="array" ref="I267">SUM(IF("155"&amp;C267=KHC&amp;MH,SL))</f>
        <v>80</v>
      </c>
      <c r="J267" s="25">
        <f t="array" ref="J267">SUM(IF("155"&amp;C267=KHC&amp;MH,TH))</f>
        <v>312939</v>
      </c>
      <c r="K267" s="8">
        <f t="shared" si="37"/>
        <v>0</v>
      </c>
      <c r="L267" s="8">
        <f t="shared" si="38"/>
        <v>0</v>
      </c>
      <c r="M267" s="293"/>
    </row>
    <row r="268" spans="1:13" ht="18.75" hidden="1" customHeight="1">
      <c r="A268" s="293" t="str">
        <f t="shared" si="35"/>
        <v>TP</v>
      </c>
      <c r="B268" s="306">
        <f t="shared" si="36"/>
        <v>50</v>
      </c>
      <c r="C268" s="189" t="s">
        <v>964</v>
      </c>
      <c r="D268" s="305"/>
      <c r="E268" s="8"/>
      <c r="F268" s="8"/>
      <c r="G268" s="25">
        <f t="array" ref="G268">SUM(IF("155"&amp;C268=KHN&amp;MH,SL))</f>
        <v>80</v>
      </c>
      <c r="H268" s="25">
        <f t="array" ref="H268">SUM(IF("155"&amp;C268=KHN&amp;MH,TH))</f>
        <v>271877</v>
      </c>
      <c r="I268" s="25">
        <f t="array" ref="I268">SUM(IF("155"&amp;C268=KHC&amp;MH,SL))</f>
        <v>80</v>
      </c>
      <c r="J268" s="25">
        <f t="array" ref="J268">SUM(IF("155"&amp;C268=KHC&amp;MH,TH))</f>
        <v>271877</v>
      </c>
      <c r="K268" s="8">
        <f t="shared" si="37"/>
        <v>0</v>
      </c>
      <c r="L268" s="8">
        <f t="shared" si="38"/>
        <v>0</v>
      </c>
      <c r="M268" s="293"/>
    </row>
    <row r="269" spans="1:13" ht="18.75" hidden="1" customHeight="1">
      <c r="A269" s="293" t="str">
        <f t="shared" si="35"/>
        <v>TP</v>
      </c>
      <c r="B269" s="306">
        <f t="shared" si="36"/>
        <v>51</v>
      </c>
      <c r="C269" s="192" t="s">
        <v>782</v>
      </c>
      <c r="D269" s="305"/>
      <c r="E269" s="8"/>
      <c r="F269" s="8"/>
      <c r="G269" s="25">
        <f t="array" ref="G269">SUM(IF("155"&amp;C269=KHN&amp;MH,SL))</f>
        <v>1990</v>
      </c>
      <c r="H269" s="25">
        <f t="array" ref="H269">SUM(IF("155"&amp;C269=KHN&amp;MH,TH))</f>
        <v>14333575</v>
      </c>
      <c r="I269" s="25">
        <f t="array" ref="I269">SUM(IF("155"&amp;C269=KHC&amp;MH,SL))</f>
        <v>1990</v>
      </c>
      <c r="J269" s="25">
        <f t="array" ref="J269">SUM(IF("155"&amp;C269=KHC&amp;MH,TH))</f>
        <v>14333575</v>
      </c>
      <c r="K269" s="8">
        <f t="shared" si="37"/>
        <v>0</v>
      </c>
      <c r="L269" s="8">
        <f t="shared" si="38"/>
        <v>0</v>
      </c>
      <c r="M269" s="293"/>
    </row>
    <row r="270" spans="1:13" ht="18.75" hidden="1" customHeight="1">
      <c r="A270" s="293" t="str">
        <f t="shared" si="35"/>
        <v>TP</v>
      </c>
      <c r="B270" s="306">
        <f t="shared" si="36"/>
        <v>52</v>
      </c>
      <c r="C270" s="189" t="s">
        <v>752</v>
      </c>
      <c r="D270" s="305"/>
      <c r="E270" s="8"/>
      <c r="F270" s="8"/>
      <c r="G270" s="25">
        <f t="array" ref="G270">SUM(IF("155"&amp;C270=KHN&amp;MH,SL))</f>
        <v>600</v>
      </c>
      <c r="H270" s="25">
        <f t="array" ref="H270">SUM(IF("155"&amp;C270=KHN&amp;MH,TH))</f>
        <v>6455981</v>
      </c>
      <c r="I270" s="25">
        <f t="array" ref="I270">SUM(IF("155"&amp;C270=KHC&amp;MH,SL))</f>
        <v>600</v>
      </c>
      <c r="J270" s="25">
        <f t="array" ref="J270">SUM(IF("155"&amp;C270=KHC&amp;MH,TH))</f>
        <v>6455981</v>
      </c>
      <c r="K270" s="8">
        <f t="shared" si="37"/>
        <v>0</v>
      </c>
      <c r="L270" s="8">
        <f t="shared" si="38"/>
        <v>0</v>
      </c>
      <c r="M270" s="293"/>
    </row>
    <row r="271" spans="1:13" ht="18.75" hidden="1" customHeight="1">
      <c r="A271" s="293" t="str">
        <f t="shared" si="35"/>
        <v>TP</v>
      </c>
      <c r="B271" s="306">
        <f t="shared" si="36"/>
        <v>53</v>
      </c>
      <c r="C271" s="192" t="s">
        <v>812</v>
      </c>
      <c r="D271" s="305"/>
      <c r="E271" s="8"/>
      <c r="F271" s="8"/>
      <c r="G271" s="25">
        <f t="array" ref="G271">SUM(IF("155"&amp;C271=KHN&amp;MH,SL))</f>
        <v>1120</v>
      </c>
      <c r="H271" s="25">
        <f t="array" ref="H271">SUM(IF("155"&amp;C271=KHN&amp;MH,TH))</f>
        <v>10567532</v>
      </c>
      <c r="I271" s="25">
        <f t="array" ref="I271">SUM(IF("155"&amp;C271=KHC&amp;MH,SL))</f>
        <v>1120</v>
      </c>
      <c r="J271" s="25">
        <f t="array" ref="J271">SUM(IF("155"&amp;C271=KHC&amp;MH,TH))</f>
        <v>10567532</v>
      </c>
      <c r="K271" s="8">
        <f t="shared" si="37"/>
        <v>0</v>
      </c>
      <c r="L271" s="8">
        <f t="shared" si="38"/>
        <v>0</v>
      </c>
      <c r="M271" s="293"/>
    </row>
    <row r="272" spans="1:13" ht="18.75" hidden="1" customHeight="1">
      <c r="A272" s="293" t="str">
        <f t="shared" si="35"/>
        <v>TP</v>
      </c>
      <c r="B272" s="306">
        <f t="shared" si="36"/>
        <v>54</v>
      </c>
      <c r="C272" s="189" t="s">
        <v>1152</v>
      </c>
      <c r="D272" s="305"/>
      <c r="E272" s="8"/>
      <c r="F272" s="8"/>
      <c r="G272" s="25">
        <f t="array" ref="G272">SUM(IF("155"&amp;C272=KHN&amp;MH,SL))</f>
        <v>4553</v>
      </c>
      <c r="H272" s="25">
        <f t="array" ref="H272">SUM(IF("155"&amp;C272=KHN&amp;MH,TH))</f>
        <v>19591665</v>
      </c>
      <c r="I272" s="25">
        <f t="array" ref="I272">SUM(IF("155"&amp;C272=KHC&amp;MH,SL))</f>
        <v>4553</v>
      </c>
      <c r="J272" s="25">
        <f t="array" ref="J272">SUM(IF("155"&amp;C272=KHC&amp;MH,TH))</f>
        <v>19591665</v>
      </c>
      <c r="K272" s="8">
        <f t="shared" si="37"/>
        <v>0</v>
      </c>
      <c r="L272" s="8">
        <f t="shared" si="38"/>
        <v>0</v>
      </c>
      <c r="M272" s="293"/>
    </row>
    <row r="273" spans="1:13" ht="18.75" hidden="1" customHeight="1">
      <c r="A273" s="293" t="str">
        <f t="shared" si="35"/>
        <v>TP</v>
      </c>
      <c r="B273" s="306">
        <f t="shared" si="36"/>
        <v>55</v>
      </c>
      <c r="C273" s="192" t="s">
        <v>1139</v>
      </c>
      <c r="D273" s="305"/>
      <c r="E273" s="8"/>
      <c r="F273" s="8"/>
      <c r="G273" s="25">
        <f t="array" ref="G273">SUM(IF("155"&amp;C273=KHN&amp;MH,SL))</f>
        <v>508</v>
      </c>
      <c r="H273" s="25">
        <f t="array" ref="H273">SUM(IF("155"&amp;C273=KHN&amp;MH,TH))</f>
        <v>7690897</v>
      </c>
      <c r="I273" s="25">
        <f t="array" ref="I273">SUM(IF("155"&amp;C273=KHC&amp;MH,SL))</f>
        <v>508</v>
      </c>
      <c r="J273" s="25">
        <f t="array" ref="J273">SUM(IF("155"&amp;C273=KHC&amp;MH,TH))</f>
        <v>7690897</v>
      </c>
      <c r="K273" s="8">
        <f t="shared" si="37"/>
        <v>0</v>
      </c>
      <c r="L273" s="8">
        <f t="shared" si="38"/>
        <v>0</v>
      </c>
      <c r="M273" s="293"/>
    </row>
    <row r="274" spans="1:13" ht="18.75" hidden="1" customHeight="1">
      <c r="A274" s="293" t="str">
        <f t="shared" si="35"/>
        <v>TP</v>
      </c>
      <c r="B274" s="306">
        <f t="shared" si="36"/>
        <v>56</v>
      </c>
      <c r="C274" s="192" t="s">
        <v>1125</v>
      </c>
      <c r="D274" s="305"/>
      <c r="E274" s="8"/>
      <c r="F274" s="8"/>
      <c r="G274" s="25">
        <f t="array" ref="G274">SUM(IF("155"&amp;C274=KHN&amp;MH,SL))</f>
        <v>310</v>
      </c>
      <c r="H274" s="25">
        <f t="array" ref="H274">SUM(IF("155"&amp;C274=KHN&amp;MH,TH))</f>
        <v>3679143</v>
      </c>
      <c r="I274" s="25">
        <f t="array" ref="I274">SUM(IF("155"&amp;C274=KHC&amp;MH,SL))</f>
        <v>310</v>
      </c>
      <c r="J274" s="25">
        <f t="array" ref="J274">SUM(IF("155"&amp;C274=KHC&amp;MH,TH))</f>
        <v>3679143</v>
      </c>
      <c r="K274" s="8">
        <f t="shared" si="37"/>
        <v>0</v>
      </c>
      <c r="L274" s="8">
        <f t="shared" si="38"/>
        <v>0</v>
      </c>
      <c r="M274" s="293"/>
    </row>
    <row r="275" spans="1:13" ht="18.75" hidden="1" customHeight="1">
      <c r="A275" s="293" t="str">
        <f t="shared" si="35"/>
        <v>TP</v>
      </c>
      <c r="B275" s="306">
        <f t="shared" si="36"/>
        <v>57</v>
      </c>
      <c r="C275" s="189" t="s">
        <v>978</v>
      </c>
      <c r="D275" s="305"/>
      <c r="E275" s="8"/>
      <c r="F275" s="8"/>
      <c r="G275" s="25">
        <f t="array" ref="G275">SUM(IF("155"&amp;C275=KHN&amp;MH,SL))</f>
        <v>62</v>
      </c>
      <c r="H275" s="25">
        <f t="array" ref="H275">SUM(IF("155"&amp;C275=KHN&amp;MH,TH))</f>
        <v>432676</v>
      </c>
      <c r="I275" s="25">
        <f t="array" ref="I275">SUM(IF("155"&amp;C275=KHC&amp;MH,SL))</f>
        <v>62</v>
      </c>
      <c r="J275" s="25">
        <f t="array" ref="J275">SUM(IF("155"&amp;C275=KHC&amp;MH,TH))</f>
        <v>432676</v>
      </c>
      <c r="K275" s="8">
        <f t="shared" si="37"/>
        <v>0</v>
      </c>
      <c r="L275" s="8">
        <f t="shared" si="38"/>
        <v>0</v>
      </c>
      <c r="M275" s="293"/>
    </row>
    <row r="276" spans="1:13" ht="18.75" hidden="1" customHeight="1">
      <c r="A276" s="293" t="str">
        <f t="shared" si="35"/>
        <v>TP</v>
      </c>
      <c r="B276" s="306">
        <f t="shared" si="36"/>
        <v>58</v>
      </c>
      <c r="C276" s="192" t="s">
        <v>731</v>
      </c>
      <c r="D276" s="305"/>
      <c r="E276" s="8"/>
      <c r="F276" s="8"/>
      <c r="G276" s="25">
        <f t="array" ref="G276">SUM(IF("155"&amp;C276=KHN&amp;MH,SL))</f>
        <v>202</v>
      </c>
      <c r="H276" s="25">
        <f t="array" ref="H276">SUM(IF("155"&amp;C276=KHN&amp;MH,TH))</f>
        <v>1384691</v>
      </c>
      <c r="I276" s="25">
        <f t="array" ref="I276">SUM(IF("155"&amp;C276=KHC&amp;MH,SL))</f>
        <v>202</v>
      </c>
      <c r="J276" s="25">
        <f t="array" ref="J276">SUM(IF("155"&amp;C276=KHC&amp;MH,TH))</f>
        <v>1384691</v>
      </c>
      <c r="K276" s="8">
        <f t="shared" si="37"/>
        <v>0</v>
      </c>
      <c r="L276" s="8">
        <f t="shared" si="38"/>
        <v>0</v>
      </c>
      <c r="M276" s="293"/>
    </row>
    <row r="277" spans="1:13" ht="18.75" hidden="1" customHeight="1">
      <c r="A277" s="293" t="str">
        <f t="shared" si="35"/>
        <v>TP</v>
      </c>
      <c r="B277" s="306">
        <f t="shared" si="36"/>
        <v>59</v>
      </c>
      <c r="C277" s="192" t="s">
        <v>1150</v>
      </c>
      <c r="D277" s="305"/>
      <c r="E277" s="8"/>
      <c r="F277" s="8"/>
      <c r="G277" s="25">
        <f t="array" ref="G277">SUM(IF("155"&amp;C277=KHN&amp;MH,SL))</f>
        <v>7695</v>
      </c>
      <c r="H277" s="25">
        <f t="array" ref="H277">SUM(IF("155"&amp;C277=KHN&amp;MH,TH))</f>
        <v>30105560</v>
      </c>
      <c r="I277" s="25">
        <f t="array" ref="I277">SUM(IF("155"&amp;C277=KHC&amp;MH,SL))</f>
        <v>7695</v>
      </c>
      <c r="J277" s="25">
        <f t="array" ref="J277">SUM(IF("155"&amp;C277=KHC&amp;MH,TH))</f>
        <v>30105560</v>
      </c>
      <c r="K277" s="8">
        <f t="shared" si="37"/>
        <v>0</v>
      </c>
      <c r="L277" s="8">
        <f t="shared" si="38"/>
        <v>0</v>
      </c>
      <c r="M277" s="293"/>
    </row>
    <row r="278" spans="1:13" ht="18.75" hidden="1" customHeight="1">
      <c r="A278" s="293" t="str">
        <f t="shared" si="35"/>
        <v>TP</v>
      </c>
      <c r="B278" s="306">
        <f t="shared" si="36"/>
        <v>60</v>
      </c>
      <c r="C278" s="189" t="s">
        <v>1158</v>
      </c>
      <c r="D278" s="305"/>
      <c r="E278" s="8"/>
      <c r="F278" s="8"/>
      <c r="G278" s="25">
        <f t="array" ref="G278">SUM(IF("155"&amp;C278=KHN&amp;MH,SL))</f>
        <v>1400</v>
      </c>
      <c r="H278" s="25">
        <f t="array" ref="H278">SUM(IF("155"&amp;C278=KHN&amp;MH,TH))</f>
        <v>6783896</v>
      </c>
      <c r="I278" s="25">
        <f t="array" ref="I278">SUM(IF("155"&amp;C278=KHC&amp;MH,SL))</f>
        <v>1400</v>
      </c>
      <c r="J278" s="25">
        <f t="array" ref="J278">SUM(IF("155"&amp;C278=KHC&amp;MH,TH))</f>
        <v>6783896</v>
      </c>
      <c r="K278" s="8">
        <f t="shared" si="37"/>
        <v>0</v>
      </c>
      <c r="L278" s="8">
        <f t="shared" si="38"/>
        <v>0</v>
      </c>
      <c r="M278" s="293"/>
    </row>
    <row r="279" spans="1:13" ht="18.75" hidden="1" customHeight="1">
      <c r="A279" s="293" t="str">
        <f t="shared" si="35"/>
        <v>TP</v>
      </c>
      <c r="B279" s="306">
        <f t="shared" si="36"/>
        <v>61</v>
      </c>
      <c r="C279" s="192" t="s">
        <v>1148</v>
      </c>
      <c r="D279" s="305"/>
      <c r="E279" s="8"/>
      <c r="F279" s="8"/>
      <c r="G279" s="25">
        <f t="array" ref="G279">SUM(IF("155"&amp;C279=KHN&amp;MH,SL))</f>
        <v>21520</v>
      </c>
      <c r="H279" s="25">
        <f t="array" ref="H279">SUM(IF("155"&amp;C279=KHN&amp;MH,TH))</f>
        <v>90654022</v>
      </c>
      <c r="I279" s="25">
        <f t="array" ref="I279">SUM(IF("155"&amp;C279=KHC&amp;MH,SL))</f>
        <v>21520</v>
      </c>
      <c r="J279" s="25">
        <f t="array" ref="J279">SUM(IF("155"&amp;C279=KHC&amp;MH,TH))</f>
        <v>90654022</v>
      </c>
      <c r="K279" s="8">
        <f t="shared" si="37"/>
        <v>0</v>
      </c>
      <c r="L279" s="8">
        <f t="shared" si="38"/>
        <v>0</v>
      </c>
      <c r="M279" s="293"/>
    </row>
    <row r="280" spans="1:13" ht="18.75" hidden="1" customHeight="1">
      <c r="A280" s="293" t="str">
        <f t="shared" si="35"/>
        <v>TP</v>
      </c>
      <c r="B280" s="306">
        <f t="shared" si="36"/>
        <v>62</v>
      </c>
      <c r="C280" s="192" t="s">
        <v>818</v>
      </c>
      <c r="D280" s="305"/>
      <c r="E280" s="8"/>
      <c r="F280" s="8"/>
      <c r="G280" s="25">
        <f t="array" ref="G280">SUM(IF("155"&amp;C280=KHN&amp;MH,SL))</f>
        <v>500</v>
      </c>
      <c r="H280" s="25">
        <f t="array" ref="H280">SUM(IF("155"&amp;C280=KHN&amp;MH,TH))</f>
        <v>4126618</v>
      </c>
      <c r="I280" s="25">
        <f t="array" ref="I280">SUM(IF("155"&amp;C280=KHC&amp;MH,SL))</f>
        <v>500</v>
      </c>
      <c r="J280" s="25">
        <f t="array" ref="J280">SUM(IF("155"&amp;C280=KHC&amp;MH,TH))</f>
        <v>4126618</v>
      </c>
      <c r="K280" s="8">
        <f t="shared" si="37"/>
        <v>0</v>
      </c>
      <c r="L280" s="8">
        <f t="shared" si="38"/>
        <v>0</v>
      </c>
      <c r="M280" s="293"/>
    </row>
    <row r="281" spans="1:13" ht="18.75" hidden="1" customHeight="1">
      <c r="A281" s="293" t="str">
        <f t="shared" si="35"/>
        <v>TP</v>
      </c>
      <c r="B281" s="306">
        <f t="shared" si="36"/>
        <v>63</v>
      </c>
      <c r="C281" s="192" t="s">
        <v>943</v>
      </c>
      <c r="D281" s="305"/>
      <c r="E281" s="8"/>
      <c r="F281" s="8"/>
      <c r="G281" s="25">
        <f t="array" ref="G281">SUM(IF("155"&amp;C281=KHN&amp;MH,SL))</f>
        <v>1006</v>
      </c>
      <c r="H281" s="25">
        <f t="array" ref="H281">SUM(IF("155"&amp;C281=KHN&amp;MH,TH))</f>
        <v>4287124</v>
      </c>
      <c r="I281" s="25">
        <f t="array" ref="I281">SUM(IF("155"&amp;C281=KHC&amp;MH,SL))</f>
        <v>1006</v>
      </c>
      <c r="J281" s="25">
        <f t="array" ref="J281">SUM(IF("155"&amp;C281=KHC&amp;MH,TH))</f>
        <v>4287124</v>
      </c>
      <c r="K281" s="8">
        <f t="shared" si="37"/>
        <v>0</v>
      </c>
      <c r="L281" s="8">
        <f t="shared" si="38"/>
        <v>0</v>
      </c>
      <c r="M281" s="293"/>
    </row>
    <row r="282" spans="1:13" ht="18.75" hidden="1" customHeight="1">
      <c r="A282" s="293" t="str">
        <f t="shared" si="35"/>
        <v>TP</v>
      </c>
      <c r="B282" s="306">
        <f t="shared" si="36"/>
        <v>64</v>
      </c>
      <c r="C282" s="192" t="s">
        <v>952</v>
      </c>
      <c r="D282" s="305"/>
      <c r="E282" s="8"/>
      <c r="F282" s="8"/>
      <c r="G282" s="25">
        <f t="array" ref="G282">SUM(IF("155"&amp;C282=KHN&amp;MH,SL))</f>
        <v>509</v>
      </c>
      <c r="H282" s="25">
        <f t="array" ref="H282">SUM(IF("155"&amp;C282=KHN&amp;MH,TH))</f>
        <v>2375487</v>
      </c>
      <c r="I282" s="25">
        <f t="array" ref="I282">SUM(IF("155"&amp;C282=KHC&amp;MH,SL))</f>
        <v>509</v>
      </c>
      <c r="J282" s="25">
        <f t="array" ref="J282">SUM(IF("155"&amp;C282=KHC&amp;MH,TH))</f>
        <v>2375487</v>
      </c>
      <c r="K282" s="8">
        <f t="shared" si="37"/>
        <v>0</v>
      </c>
      <c r="L282" s="8">
        <f t="shared" si="38"/>
        <v>0</v>
      </c>
      <c r="M282" s="293"/>
    </row>
    <row r="283" spans="1:13" ht="18.75" hidden="1" customHeight="1">
      <c r="A283" s="293" t="str">
        <f t="shared" ref="A283:A314" si="39">IF(B283&lt;&gt;"","TP","")</f>
        <v>TP</v>
      </c>
      <c r="B283" s="306">
        <f t="shared" ref="B283:B314" si="40">IF(C283&lt;&gt;"",B282+1,"")</f>
        <v>65</v>
      </c>
      <c r="C283" s="192" t="s">
        <v>1143</v>
      </c>
      <c r="D283" s="305"/>
      <c r="E283" s="8"/>
      <c r="F283" s="8"/>
      <c r="G283" s="25">
        <f t="array" ref="G283">SUM(IF("155"&amp;C283=KHN&amp;MH,SL))</f>
        <v>99</v>
      </c>
      <c r="H283" s="25">
        <f t="array" ref="H283">SUM(IF("155"&amp;C283=KHN&amp;MH,TH))</f>
        <v>1252705</v>
      </c>
      <c r="I283" s="25">
        <f t="array" ref="I283">SUM(IF("155"&amp;C283=KHC&amp;MH,SL))</f>
        <v>99</v>
      </c>
      <c r="J283" s="25">
        <f t="array" ref="J283">SUM(IF("155"&amp;C283=KHC&amp;MH,TH))</f>
        <v>1252705</v>
      </c>
      <c r="K283" s="8">
        <f t="shared" ref="K283:K314" si="41">E283+G283-I283</f>
        <v>0</v>
      </c>
      <c r="L283" s="8">
        <f t="shared" ref="L283:L314" si="42">F283+H283-J283</f>
        <v>0</v>
      </c>
      <c r="M283" s="293"/>
    </row>
    <row r="284" spans="1:13" ht="19.5" hidden="1" customHeight="1">
      <c r="A284" s="293" t="str">
        <f t="shared" si="39"/>
        <v>TP</v>
      </c>
      <c r="B284" s="306">
        <f t="shared" si="40"/>
        <v>66</v>
      </c>
      <c r="C284" s="189" t="s">
        <v>1159</v>
      </c>
      <c r="D284" s="305"/>
      <c r="E284" s="8"/>
      <c r="F284" s="8"/>
      <c r="G284" s="25">
        <f t="array" ref="G284">SUM(IF("155"&amp;C284=KHN&amp;MH,SL))</f>
        <v>82</v>
      </c>
      <c r="H284" s="25">
        <f t="array" ref="H284">SUM(IF("155"&amp;C284=KHN&amp;MH,TH))</f>
        <v>331196</v>
      </c>
      <c r="I284" s="25">
        <f t="array" ref="I284">SUM(IF("155"&amp;C284=KHC&amp;MH,SL))</f>
        <v>82</v>
      </c>
      <c r="J284" s="25">
        <f t="array" ref="J284">SUM(IF("155"&amp;C284=KHC&amp;MH,TH))</f>
        <v>331196</v>
      </c>
      <c r="K284" s="8">
        <f t="shared" si="41"/>
        <v>0</v>
      </c>
      <c r="L284" s="8">
        <f t="shared" si="42"/>
        <v>0</v>
      </c>
      <c r="M284" s="293"/>
    </row>
    <row r="285" spans="1:13" ht="19.5" hidden="1" customHeight="1">
      <c r="A285" s="293" t="str">
        <f t="shared" si="39"/>
        <v>TP</v>
      </c>
      <c r="B285" s="306">
        <f t="shared" si="40"/>
        <v>67</v>
      </c>
      <c r="C285" s="192" t="s">
        <v>944</v>
      </c>
      <c r="D285" s="305"/>
      <c r="E285" s="8"/>
      <c r="F285" s="8"/>
      <c r="G285" s="25">
        <f t="array" ref="G285">SUM(IF("155"&amp;C285=KHN&amp;MH,SL))</f>
        <v>1004</v>
      </c>
      <c r="H285" s="25">
        <f t="array" ref="H285">SUM(IF("155"&amp;C285=KHN&amp;MH,TH))</f>
        <v>4450723</v>
      </c>
      <c r="I285" s="25">
        <f t="array" ref="I285">SUM(IF("155"&amp;C285=KHC&amp;MH,SL))</f>
        <v>1004</v>
      </c>
      <c r="J285" s="25">
        <f t="array" ref="J285">SUM(IF("155"&amp;C285=KHC&amp;MH,TH))</f>
        <v>4450723</v>
      </c>
      <c r="K285" s="8">
        <f t="shared" si="41"/>
        <v>0</v>
      </c>
      <c r="L285" s="8">
        <f t="shared" si="42"/>
        <v>0</v>
      </c>
      <c r="M285" s="293"/>
    </row>
    <row r="286" spans="1:13" ht="19.5" hidden="1" customHeight="1">
      <c r="A286" s="293" t="str">
        <f t="shared" si="39"/>
        <v>TP</v>
      </c>
      <c r="B286" s="306">
        <f t="shared" si="40"/>
        <v>68</v>
      </c>
      <c r="C286" s="192" t="s">
        <v>1160</v>
      </c>
      <c r="D286" s="305"/>
      <c r="E286" s="8"/>
      <c r="F286" s="8"/>
      <c r="G286" s="25">
        <f t="array" ref="G286">SUM(IF("155"&amp;C286=KHN&amp;MH,SL))</f>
        <v>3720</v>
      </c>
      <c r="H286" s="25">
        <f t="array" ref="H286">SUM(IF("155"&amp;C286=KHN&amp;MH,TH))</f>
        <v>21550981</v>
      </c>
      <c r="I286" s="25">
        <f t="array" ref="I286">SUM(IF("155"&amp;C286=KHC&amp;MH,SL))</f>
        <v>3720</v>
      </c>
      <c r="J286" s="25">
        <f t="array" ref="J286">SUM(IF("155"&amp;C286=KHC&amp;MH,TH))</f>
        <v>21550981</v>
      </c>
      <c r="K286" s="8">
        <f t="shared" si="41"/>
        <v>0</v>
      </c>
      <c r="L286" s="8">
        <f t="shared" si="42"/>
        <v>0</v>
      </c>
      <c r="M286" s="293"/>
    </row>
    <row r="287" spans="1:13" ht="19.5" hidden="1" customHeight="1">
      <c r="A287" s="293" t="str">
        <f t="shared" si="39"/>
        <v>TP</v>
      </c>
      <c r="B287" s="306">
        <f t="shared" si="40"/>
        <v>69</v>
      </c>
      <c r="C287" s="192" t="s">
        <v>1131</v>
      </c>
      <c r="D287" s="305"/>
      <c r="E287" s="8"/>
      <c r="F287" s="8"/>
      <c r="G287" s="25">
        <f t="array" ref="G287">SUM(IF("155"&amp;C287=KHN&amp;MH,SL))</f>
        <v>783</v>
      </c>
      <c r="H287" s="25">
        <f t="array" ref="H287">SUM(IF("155"&amp;C287=KHN&amp;MH,TH))</f>
        <v>7154157</v>
      </c>
      <c r="I287" s="25">
        <f t="array" ref="I287">SUM(IF("155"&amp;C287=KHC&amp;MH,SL))</f>
        <v>783</v>
      </c>
      <c r="J287" s="25">
        <f t="array" ref="J287">SUM(IF("155"&amp;C287=KHC&amp;MH,TH))</f>
        <v>7154157</v>
      </c>
      <c r="K287" s="8">
        <f t="shared" si="41"/>
        <v>0</v>
      </c>
      <c r="L287" s="8">
        <f t="shared" si="42"/>
        <v>0</v>
      </c>
      <c r="M287" s="293"/>
    </row>
    <row r="288" spans="1:13" ht="19.5" hidden="1" customHeight="1">
      <c r="A288" s="293" t="str">
        <f t="shared" si="39"/>
        <v>TP</v>
      </c>
      <c r="B288" s="306">
        <f t="shared" si="40"/>
        <v>70</v>
      </c>
      <c r="C288" s="192" t="s">
        <v>825</v>
      </c>
      <c r="D288" s="305"/>
      <c r="E288" s="8"/>
      <c r="F288" s="8"/>
      <c r="G288" s="25">
        <f t="array" ref="G288">SUM(IF("155"&amp;C288=KHN&amp;MH,SL))</f>
        <v>553</v>
      </c>
      <c r="H288" s="25">
        <f t="array" ref="H288">SUM(IF("155"&amp;C288=KHN&amp;MH,TH))</f>
        <v>4875825</v>
      </c>
      <c r="I288" s="25">
        <f t="array" ref="I288">SUM(IF("155"&amp;C288=KHC&amp;MH,SL))</f>
        <v>553</v>
      </c>
      <c r="J288" s="25">
        <f t="array" ref="J288">SUM(IF("155"&amp;C288=KHC&amp;MH,TH))</f>
        <v>4875825</v>
      </c>
      <c r="K288" s="8">
        <f t="shared" si="41"/>
        <v>0</v>
      </c>
      <c r="L288" s="8">
        <f t="shared" si="42"/>
        <v>0</v>
      </c>
      <c r="M288" s="293"/>
    </row>
    <row r="289" spans="1:13" ht="19.5" hidden="1" customHeight="1">
      <c r="A289" s="293" t="str">
        <f t="shared" si="39"/>
        <v>TP</v>
      </c>
      <c r="B289" s="306">
        <f t="shared" si="40"/>
        <v>71</v>
      </c>
      <c r="C289" s="189" t="s">
        <v>980</v>
      </c>
      <c r="D289" s="305"/>
      <c r="E289" s="8"/>
      <c r="F289" s="8"/>
      <c r="G289" s="25">
        <f t="array" ref="G289">SUM(IF("155"&amp;C289=KHN&amp;MH,SL))</f>
        <v>50</v>
      </c>
      <c r="H289" s="25">
        <f t="array" ref="H289">SUM(IF("155"&amp;C289=KHN&amp;MH,TH))</f>
        <v>621795</v>
      </c>
      <c r="I289" s="25">
        <f t="array" ref="I289">SUM(IF("155"&amp;C289=KHC&amp;MH,SL))</f>
        <v>50</v>
      </c>
      <c r="J289" s="25">
        <f t="array" ref="J289">SUM(IF("155"&amp;C289=KHC&amp;MH,TH))</f>
        <v>621795</v>
      </c>
      <c r="K289" s="8">
        <f t="shared" si="41"/>
        <v>0</v>
      </c>
      <c r="L289" s="8">
        <f t="shared" si="42"/>
        <v>0</v>
      </c>
      <c r="M289" s="293"/>
    </row>
    <row r="290" spans="1:13" ht="19.5" hidden="1" customHeight="1">
      <c r="A290" s="293" t="str">
        <f t="shared" si="39"/>
        <v>TP</v>
      </c>
      <c r="B290" s="306">
        <f t="shared" si="40"/>
        <v>72</v>
      </c>
      <c r="C290" s="192" t="s">
        <v>754</v>
      </c>
      <c r="D290" s="305"/>
      <c r="E290" s="8"/>
      <c r="F290" s="8"/>
      <c r="G290" s="25">
        <f t="array" ref="G290">SUM(IF("155"&amp;C290=KHN&amp;MH,SL))</f>
        <v>789</v>
      </c>
      <c r="H290" s="25">
        <f t="array" ref="H290">SUM(IF("155"&amp;C290=KHN&amp;MH,TH))</f>
        <v>9560118</v>
      </c>
      <c r="I290" s="25">
        <f t="array" ref="I290">SUM(IF("155"&amp;C290=KHC&amp;MH,SL))</f>
        <v>789</v>
      </c>
      <c r="J290" s="25">
        <f t="array" ref="J290">SUM(IF("155"&amp;C290=KHC&amp;MH,TH))</f>
        <v>9560118</v>
      </c>
      <c r="K290" s="8">
        <f t="shared" si="41"/>
        <v>0</v>
      </c>
      <c r="L290" s="8">
        <f t="shared" si="42"/>
        <v>0</v>
      </c>
      <c r="M290" s="293"/>
    </row>
    <row r="291" spans="1:13" ht="19.5" hidden="1" customHeight="1">
      <c r="A291" s="293" t="str">
        <f t="shared" si="39"/>
        <v>TP</v>
      </c>
      <c r="B291" s="306">
        <f t="shared" si="40"/>
        <v>73</v>
      </c>
      <c r="C291" s="192" t="s">
        <v>1161</v>
      </c>
      <c r="D291" s="305"/>
      <c r="E291" s="8"/>
      <c r="F291" s="8"/>
      <c r="G291" s="25">
        <f t="array" ref="G291">SUM(IF("155"&amp;C291=KHN&amp;MH,SL))</f>
        <v>3990</v>
      </c>
      <c r="H291" s="25">
        <f t="array" ref="H291">SUM(IF("155"&amp;C291=KHN&amp;MH,TH))</f>
        <v>21177041</v>
      </c>
      <c r="I291" s="25">
        <f t="array" ref="I291">SUM(IF("155"&amp;C291=KHC&amp;MH,SL))</f>
        <v>3990</v>
      </c>
      <c r="J291" s="25">
        <f t="array" ref="J291">SUM(IF("155"&amp;C291=KHC&amp;MH,TH))</f>
        <v>21177041</v>
      </c>
      <c r="K291" s="8">
        <f t="shared" si="41"/>
        <v>0</v>
      </c>
      <c r="L291" s="8">
        <f t="shared" si="42"/>
        <v>0</v>
      </c>
      <c r="M291" s="293"/>
    </row>
    <row r="292" spans="1:13" ht="19.5" hidden="1" customHeight="1">
      <c r="A292" s="293" t="str">
        <f t="shared" si="39"/>
        <v>TP</v>
      </c>
      <c r="B292" s="306">
        <f t="shared" si="40"/>
        <v>74</v>
      </c>
      <c r="C292" s="189" t="s">
        <v>1162</v>
      </c>
      <c r="D292" s="305"/>
      <c r="E292" s="8"/>
      <c r="F292" s="8"/>
      <c r="G292" s="25">
        <f t="array" ref="G292">SUM(IF("155"&amp;C292=KHN&amp;MH,SL))</f>
        <v>79</v>
      </c>
      <c r="H292" s="25">
        <f t="array" ref="H292">SUM(IF("155"&amp;C292=KHN&amp;MH,TH))</f>
        <v>365496</v>
      </c>
      <c r="I292" s="25">
        <f t="array" ref="I292">SUM(IF("155"&amp;C292=KHC&amp;MH,SL))</f>
        <v>79</v>
      </c>
      <c r="J292" s="25">
        <f t="array" ref="J292">SUM(IF("155"&amp;C292=KHC&amp;MH,TH))</f>
        <v>365496</v>
      </c>
      <c r="K292" s="8">
        <f t="shared" si="41"/>
        <v>0</v>
      </c>
      <c r="L292" s="8">
        <f t="shared" si="42"/>
        <v>0</v>
      </c>
      <c r="M292" s="293"/>
    </row>
    <row r="293" spans="1:13" ht="19.5" hidden="1" customHeight="1">
      <c r="A293" s="293" t="str">
        <f t="shared" si="39"/>
        <v>TP</v>
      </c>
      <c r="B293" s="306">
        <f t="shared" si="40"/>
        <v>75</v>
      </c>
      <c r="C293" s="192" t="s">
        <v>920</v>
      </c>
      <c r="D293" s="305"/>
      <c r="E293" s="8"/>
      <c r="F293" s="8"/>
      <c r="G293" s="25">
        <f t="array" ref="G293">SUM(IF("155"&amp;C293=KHN&amp;MH,SL))</f>
        <v>310</v>
      </c>
      <c r="H293" s="25">
        <f t="array" ref="H293">SUM(IF("155"&amp;C293=KHN&amp;MH,TH))</f>
        <v>1662405</v>
      </c>
      <c r="I293" s="25">
        <f t="array" ref="I293">SUM(IF("155"&amp;C293=KHC&amp;MH,SL))</f>
        <v>310</v>
      </c>
      <c r="J293" s="25">
        <f t="array" ref="J293">SUM(IF("155"&amp;C293=KHC&amp;MH,TH))</f>
        <v>1662405</v>
      </c>
      <c r="K293" s="8">
        <f t="shared" si="41"/>
        <v>0</v>
      </c>
      <c r="L293" s="8">
        <f t="shared" si="42"/>
        <v>0</v>
      </c>
      <c r="M293" s="293"/>
    </row>
    <row r="294" spans="1:13" ht="19.5" hidden="1" customHeight="1">
      <c r="A294" s="293" t="str">
        <f t="shared" si="39"/>
        <v>TP</v>
      </c>
      <c r="B294" s="306">
        <f t="shared" si="40"/>
        <v>76</v>
      </c>
      <c r="C294" s="192" t="s">
        <v>738</v>
      </c>
      <c r="D294" s="305"/>
      <c r="E294" s="8"/>
      <c r="F294" s="8"/>
      <c r="G294" s="25">
        <f t="array" ref="G294">SUM(IF("155"&amp;C294=KHN&amp;MH,SL))</f>
        <v>52</v>
      </c>
      <c r="H294" s="25">
        <f t="array" ref="H294">SUM(IF("155"&amp;C294=KHN&amp;MH,TH))</f>
        <v>547996</v>
      </c>
      <c r="I294" s="25">
        <f t="array" ref="I294">SUM(IF("155"&amp;C294=KHC&amp;MH,SL))</f>
        <v>52</v>
      </c>
      <c r="J294" s="25">
        <f t="array" ref="J294">SUM(IF("155"&amp;C294=KHC&amp;MH,TH))</f>
        <v>547996</v>
      </c>
      <c r="K294" s="8">
        <f t="shared" si="41"/>
        <v>0</v>
      </c>
      <c r="L294" s="8">
        <f t="shared" si="42"/>
        <v>0</v>
      </c>
      <c r="M294" s="293"/>
    </row>
    <row r="295" spans="1:13" ht="19.5" hidden="1" customHeight="1">
      <c r="A295" s="293" t="str">
        <f t="shared" si="39"/>
        <v>TP</v>
      </c>
      <c r="B295" s="306">
        <f t="shared" si="40"/>
        <v>77</v>
      </c>
      <c r="C295" s="192" t="s">
        <v>1142</v>
      </c>
      <c r="D295" s="305"/>
      <c r="E295" s="8"/>
      <c r="F295" s="8"/>
      <c r="G295" s="25">
        <f t="array" ref="G295">SUM(IF("155"&amp;C295=KHN&amp;MH,SL))</f>
        <v>103</v>
      </c>
      <c r="H295" s="25">
        <f t="array" ref="H295">SUM(IF("155"&amp;C295=KHN&amp;MH,TH))</f>
        <v>1768328</v>
      </c>
      <c r="I295" s="25">
        <f t="array" ref="I295">SUM(IF("155"&amp;C295=KHC&amp;MH,SL))</f>
        <v>103</v>
      </c>
      <c r="J295" s="25">
        <f t="array" ref="J295">SUM(IF("155"&amp;C295=KHC&amp;MH,TH))</f>
        <v>1768328</v>
      </c>
      <c r="K295" s="8">
        <f t="shared" si="41"/>
        <v>0</v>
      </c>
      <c r="L295" s="8">
        <f t="shared" si="42"/>
        <v>0</v>
      </c>
      <c r="M295" s="293"/>
    </row>
    <row r="296" spans="1:13" ht="19.5" hidden="1" customHeight="1">
      <c r="A296" s="293" t="str">
        <f t="shared" si="39"/>
        <v>TP</v>
      </c>
      <c r="B296" s="306">
        <f t="shared" si="40"/>
        <v>78</v>
      </c>
      <c r="C296" s="192" t="s">
        <v>1144</v>
      </c>
      <c r="D296" s="305"/>
      <c r="E296" s="8"/>
      <c r="F296" s="8"/>
      <c r="G296" s="25">
        <f t="array" ref="G296">SUM(IF("155"&amp;C296=KHN&amp;MH,SL))</f>
        <v>102</v>
      </c>
      <c r="H296" s="25">
        <f t="array" ref="H296">SUM(IF("155"&amp;C296=KHN&amp;MH,TH))</f>
        <v>1230885</v>
      </c>
      <c r="I296" s="25">
        <f t="array" ref="I296">SUM(IF("155"&amp;C296=KHC&amp;MH,SL))</f>
        <v>102</v>
      </c>
      <c r="J296" s="25">
        <f t="array" ref="J296">SUM(IF("155"&amp;C296=KHC&amp;MH,TH))</f>
        <v>1230885</v>
      </c>
      <c r="K296" s="8">
        <f t="shared" si="41"/>
        <v>0</v>
      </c>
      <c r="L296" s="8">
        <f t="shared" si="42"/>
        <v>0</v>
      </c>
      <c r="M296" s="293"/>
    </row>
    <row r="297" spans="1:13" ht="19.5" hidden="1" customHeight="1">
      <c r="A297" s="293" t="str">
        <f t="shared" si="39"/>
        <v>TP</v>
      </c>
      <c r="B297" s="306">
        <f t="shared" si="40"/>
        <v>79</v>
      </c>
      <c r="C297" s="192" t="s">
        <v>764</v>
      </c>
      <c r="D297" s="305"/>
      <c r="E297" s="8"/>
      <c r="F297" s="8"/>
      <c r="G297" s="25">
        <f t="array" ref="G297">SUM(IF("155"&amp;C297=KHN&amp;MH,SL))</f>
        <v>610</v>
      </c>
      <c r="H297" s="25">
        <f t="array" ref="H297">SUM(IF("155"&amp;C297=KHN&amp;MH,TH))</f>
        <v>4439973</v>
      </c>
      <c r="I297" s="25">
        <f t="array" ref="I297">SUM(IF("155"&amp;C297=KHC&amp;MH,SL))</f>
        <v>610</v>
      </c>
      <c r="J297" s="25">
        <f t="array" ref="J297">SUM(IF("155"&amp;C297=KHC&amp;MH,TH))</f>
        <v>4439973</v>
      </c>
      <c r="K297" s="8">
        <f t="shared" si="41"/>
        <v>0</v>
      </c>
      <c r="L297" s="8">
        <f t="shared" si="42"/>
        <v>0</v>
      </c>
      <c r="M297" s="293"/>
    </row>
    <row r="298" spans="1:13" ht="19.5" hidden="1" customHeight="1">
      <c r="A298" s="293" t="str">
        <f t="shared" si="39"/>
        <v>TP</v>
      </c>
      <c r="B298" s="306">
        <f t="shared" si="40"/>
        <v>80</v>
      </c>
      <c r="C298" s="192" t="s">
        <v>883</v>
      </c>
      <c r="D298" s="305"/>
      <c r="E298" s="8"/>
      <c r="F298" s="8"/>
      <c r="G298" s="25">
        <f t="array" ref="G298">SUM(IF("155"&amp;C298=KHN&amp;MH,SL))</f>
        <v>2334</v>
      </c>
      <c r="H298" s="25">
        <f t="array" ref="H298">SUM(IF("155"&amp;C298=KHN&amp;MH,TH))</f>
        <v>18410096</v>
      </c>
      <c r="I298" s="25">
        <f t="array" ref="I298">SUM(IF("155"&amp;C298=KHC&amp;MH,SL))</f>
        <v>2334</v>
      </c>
      <c r="J298" s="25">
        <f t="array" ref="J298">SUM(IF("155"&amp;C298=KHC&amp;MH,TH))</f>
        <v>18410096</v>
      </c>
      <c r="K298" s="8">
        <f t="shared" si="41"/>
        <v>0</v>
      </c>
      <c r="L298" s="8">
        <f t="shared" si="42"/>
        <v>0</v>
      </c>
      <c r="M298" s="293"/>
    </row>
    <row r="299" spans="1:13" ht="19.5" hidden="1" customHeight="1">
      <c r="A299" s="293" t="str">
        <f t="shared" si="39"/>
        <v>TP</v>
      </c>
      <c r="B299" s="306">
        <f t="shared" si="40"/>
        <v>81</v>
      </c>
      <c r="C299" s="192" t="s">
        <v>814</v>
      </c>
      <c r="D299" s="305"/>
      <c r="E299" s="8"/>
      <c r="F299" s="8"/>
      <c r="G299" s="25">
        <f t="array" ref="G299">SUM(IF("155"&amp;C299=KHN&amp;MH,SL))</f>
        <v>436</v>
      </c>
      <c r="H299" s="25">
        <f t="array" ref="H299">SUM(IF("155"&amp;C299=KHN&amp;MH,TH))</f>
        <v>3467923</v>
      </c>
      <c r="I299" s="25">
        <f t="array" ref="I299">SUM(IF("155"&amp;C299=KHC&amp;MH,SL))</f>
        <v>436</v>
      </c>
      <c r="J299" s="25">
        <f t="array" ref="J299">SUM(IF("155"&amp;C299=KHC&amp;MH,TH))</f>
        <v>3467923</v>
      </c>
      <c r="K299" s="8">
        <f t="shared" si="41"/>
        <v>0</v>
      </c>
      <c r="L299" s="8">
        <f t="shared" si="42"/>
        <v>0</v>
      </c>
      <c r="M299" s="293"/>
    </row>
    <row r="300" spans="1:13" ht="19.5" hidden="1" customHeight="1">
      <c r="A300" s="293" t="str">
        <f t="shared" si="39"/>
        <v>TP</v>
      </c>
      <c r="B300" s="306">
        <f t="shared" si="40"/>
        <v>82</v>
      </c>
      <c r="C300" s="192" t="s">
        <v>1001</v>
      </c>
      <c r="D300" s="305"/>
      <c r="E300" s="8"/>
      <c r="F300" s="8"/>
      <c r="G300" s="25">
        <f t="array" ref="G300">SUM(IF("155"&amp;C300=KHN&amp;MH,SL))</f>
        <v>1005</v>
      </c>
      <c r="H300" s="25">
        <f t="array" ref="H300">SUM(IF("155"&amp;C300=KHN&amp;MH,TH))</f>
        <v>5548208</v>
      </c>
      <c r="I300" s="25">
        <f t="array" ref="I300">SUM(IF("155"&amp;C300=KHC&amp;MH,SL))</f>
        <v>1005</v>
      </c>
      <c r="J300" s="25">
        <f t="array" ref="J300">SUM(IF("155"&amp;C300=KHC&amp;MH,TH))</f>
        <v>5548208</v>
      </c>
      <c r="K300" s="8">
        <f t="shared" si="41"/>
        <v>0</v>
      </c>
      <c r="L300" s="8">
        <f t="shared" si="42"/>
        <v>0</v>
      </c>
      <c r="M300" s="293"/>
    </row>
    <row r="301" spans="1:13" ht="19.5" hidden="1" customHeight="1">
      <c r="A301" s="293" t="str">
        <f t="shared" si="39"/>
        <v>TP</v>
      </c>
      <c r="B301" s="306">
        <f t="shared" si="40"/>
        <v>83</v>
      </c>
      <c r="C301" s="192" t="s">
        <v>1126</v>
      </c>
      <c r="D301" s="305"/>
      <c r="E301" s="8"/>
      <c r="F301" s="8"/>
      <c r="G301" s="25">
        <f t="array" ref="G301">SUM(IF("155"&amp;C301=KHN&amp;MH,SL))</f>
        <v>500</v>
      </c>
      <c r="H301" s="25">
        <f t="array" ref="H301">SUM(IF("155"&amp;C301=KHN&amp;MH,TH))</f>
        <v>5885166</v>
      </c>
      <c r="I301" s="25">
        <f t="array" ref="I301">SUM(IF("155"&amp;C301=KHC&amp;MH,SL))</f>
        <v>500</v>
      </c>
      <c r="J301" s="25">
        <f t="array" ref="J301">SUM(IF("155"&amp;C301=KHC&amp;MH,TH))</f>
        <v>5885166</v>
      </c>
      <c r="K301" s="8">
        <f t="shared" si="41"/>
        <v>0</v>
      </c>
      <c r="L301" s="8">
        <f t="shared" si="42"/>
        <v>0</v>
      </c>
      <c r="M301" s="293"/>
    </row>
    <row r="302" spans="1:13" ht="19.5" hidden="1" customHeight="1">
      <c r="A302" s="293" t="str">
        <f t="shared" si="39"/>
        <v>TP</v>
      </c>
      <c r="B302" s="306">
        <f t="shared" si="40"/>
        <v>84</v>
      </c>
      <c r="C302" s="192" t="s">
        <v>1129</v>
      </c>
      <c r="D302" s="305"/>
      <c r="E302" s="8"/>
      <c r="F302" s="8"/>
      <c r="G302" s="25">
        <f t="array" ref="G302">SUM(IF("155"&amp;C302=KHN&amp;MH,SL))</f>
        <v>1273</v>
      </c>
      <c r="H302" s="25">
        <f t="array" ref="H302">SUM(IF("155"&amp;C302=KHN&amp;MH,TH))</f>
        <v>8450072</v>
      </c>
      <c r="I302" s="25">
        <f t="array" ref="I302">SUM(IF("155"&amp;C302=KHC&amp;MH,SL))</f>
        <v>1273</v>
      </c>
      <c r="J302" s="25">
        <f t="array" ref="J302">SUM(IF("155"&amp;C302=KHC&amp;MH,TH))</f>
        <v>8450072</v>
      </c>
      <c r="K302" s="8">
        <f t="shared" si="41"/>
        <v>0</v>
      </c>
      <c r="L302" s="8">
        <f t="shared" si="42"/>
        <v>0</v>
      </c>
      <c r="M302" s="293"/>
    </row>
    <row r="303" spans="1:13" ht="19.5" hidden="1" customHeight="1">
      <c r="A303" s="293" t="str">
        <f t="shared" si="39"/>
        <v>TP</v>
      </c>
      <c r="B303" s="306">
        <f t="shared" si="40"/>
        <v>85</v>
      </c>
      <c r="C303" s="192" t="s">
        <v>728</v>
      </c>
      <c r="D303" s="305"/>
      <c r="E303" s="8"/>
      <c r="F303" s="8"/>
      <c r="G303" s="25">
        <f t="array" ref="G303">SUM(IF("155"&amp;C303=KHN&amp;MH,SL))</f>
        <v>199</v>
      </c>
      <c r="H303" s="25">
        <f t="array" ref="H303">SUM(IF("155"&amp;C303=KHN&amp;MH,TH))</f>
        <v>1379245</v>
      </c>
      <c r="I303" s="25">
        <f t="array" ref="I303">SUM(IF("155"&amp;C303=KHC&amp;MH,SL))</f>
        <v>199</v>
      </c>
      <c r="J303" s="25">
        <f t="array" ref="J303">SUM(IF("155"&amp;C303=KHC&amp;MH,TH))</f>
        <v>1379245</v>
      </c>
      <c r="K303" s="8">
        <f t="shared" si="41"/>
        <v>0</v>
      </c>
      <c r="L303" s="8">
        <f t="shared" si="42"/>
        <v>0</v>
      </c>
      <c r="M303" s="293"/>
    </row>
    <row r="304" spans="1:13" ht="19.5" hidden="1" customHeight="1">
      <c r="A304" s="293" t="str">
        <f t="shared" si="39"/>
        <v>TP</v>
      </c>
      <c r="B304" s="306">
        <f t="shared" si="40"/>
        <v>86</v>
      </c>
      <c r="C304" s="192" t="s">
        <v>941</v>
      </c>
      <c r="D304" s="305"/>
      <c r="E304" s="8"/>
      <c r="F304" s="8"/>
      <c r="G304" s="25">
        <f t="array" ref="G304">SUM(IF("155"&amp;C304=KHN&amp;MH,SL))</f>
        <v>499</v>
      </c>
      <c r="H304" s="25">
        <f t="array" ref="H304">SUM(IF("155"&amp;C304=KHN&amp;MH,TH))</f>
        <v>4257680</v>
      </c>
      <c r="I304" s="25">
        <f t="array" ref="I304">SUM(IF("155"&amp;C304=KHC&amp;MH,SL))</f>
        <v>499</v>
      </c>
      <c r="J304" s="25">
        <f t="array" ref="J304">SUM(IF("155"&amp;C304=KHC&amp;MH,TH))</f>
        <v>4257680</v>
      </c>
      <c r="K304" s="8">
        <f t="shared" si="41"/>
        <v>0</v>
      </c>
      <c r="L304" s="8">
        <f t="shared" si="42"/>
        <v>0</v>
      </c>
      <c r="M304" s="293"/>
    </row>
    <row r="305" spans="1:13" ht="19.5" hidden="1" customHeight="1">
      <c r="A305" s="293" t="str">
        <f t="shared" si="39"/>
        <v>TP</v>
      </c>
      <c r="B305" s="306">
        <f t="shared" si="40"/>
        <v>87</v>
      </c>
      <c r="C305" s="192" t="s">
        <v>1145</v>
      </c>
      <c r="D305" s="305"/>
      <c r="E305" s="8"/>
      <c r="F305" s="8"/>
      <c r="G305" s="25">
        <f t="array" ref="G305">SUM(IF("155"&amp;C305=KHN&amp;MH,SL))</f>
        <v>99</v>
      </c>
      <c r="H305" s="25">
        <f t="array" ref="H305">SUM(IF("155"&amp;C305=KHN&amp;MH,TH))</f>
        <v>1471262</v>
      </c>
      <c r="I305" s="25">
        <f t="array" ref="I305">SUM(IF("155"&amp;C305=KHC&amp;MH,SL))</f>
        <v>99</v>
      </c>
      <c r="J305" s="25">
        <f t="array" ref="J305">SUM(IF("155"&amp;C305=KHC&amp;MH,TH))</f>
        <v>1471262</v>
      </c>
      <c r="K305" s="8">
        <f t="shared" si="41"/>
        <v>0</v>
      </c>
      <c r="L305" s="8">
        <f t="shared" si="42"/>
        <v>0</v>
      </c>
      <c r="M305" s="293"/>
    </row>
    <row r="306" spans="1:13" ht="19.5" hidden="1" customHeight="1">
      <c r="A306" s="293" t="str">
        <f t="shared" si="39"/>
        <v>TP</v>
      </c>
      <c r="B306" s="306">
        <f t="shared" si="40"/>
        <v>88</v>
      </c>
      <c r="C306" s="192" t="s">
        <v>1149</v>
      </c>
      <c r="D306" s="305"/>
      <c r="E306" s="8"/>
      <c r="F306" s="8"/>
      <c r="G306" s="25">
        <f t="array" ref="G306">SUM(IF("155"&amp;C306=KHN&amp;MH,SL))</f>
        <v>3800</v>
      </c>
      <c r="H306" s="25">
        <f t="array" ref="H306">SUM(IF("155"&amp;C306=KHN&amp;MH,TH))</f>
        <v>16648517</v>
      </c>
      <c r="I306" s="25">
        <f t="array" ref="I306">SUM(IF("155"&amp;C306=KHC&amp;MH,SL))</f>
        <v>3800</v>
      </c>
      <c r="J306" s="25">
        <f t="array" ref="J306">SUM(IF("155"&amp;C306=KHC&amp;MH,TH))</f>
        <v>16648517</v>
      </c>
      <c r="K306" s="8">
        <f t="shared" si="41"/>
        <v>0</v>
      </c>
      <c r="L306" s="8">
        <f t="shared" si="42"/>
        <v>0</v>
      </c>
      <c r="M306" s="293"/>
    </row>
    <row r="307" spans="1:13" ht="19.5" hidden="1" customHeight="1">
      <c r="A307" s="293" t="str">
        <f t="shared" si="39"/>
        <v>TP</v>
      </c>
      <c r="B307" s="306">
        <f t="shared" si="40"/>
        <v>89</v>
      </c>
      <c r="C307" s="192" t="s">
        <v>755</v>
      </c>
      <c r="D307" s="305"/>
      <c r="E307" s="8"/>
      <c r="F307" s="8"/>
      <c r="G307" s="25">
        <f t="array" ref="G307">SUM(IF("155"&amp;C307=KHN&amp;MH,SL))</f>
        <v>1813</v>
      </c>
      <c r="H307" s="25">
        <f t="array" ref="H307">SUM(IF("155"&amp;C307=KHN&amp;MH,TH))</f>
        <v>13096391</v>
      </c>
      <c r="I307" s="25">
        <f t="array" ref="I307">SUM(IF("155"&amp;C307=KHC&amp;MH,SL))</f>
        <v>1813</v>
      </c>
      <c r="J307" s="25">
        <f t="array" ref="J307">SUM(IF("155"&amp;C307=KHC&amp;MH,TH))</f>
        <v>13096391</v>
      </c>
      <c r="K307" s="8">
        <f t="shared" si="41"/>
        <v>0</v>
      </c>
      <c r="L307" s="8">
        <f t="shared" si="42"/>
        <v>0</v>
      </c>
      <c r="M307" s="293"/>
    </row>
    <row r="308" spans="1:13" ht="19.5" hidden="1" customHeight="1">
      <c r="A308" s="293" t="str">
        <f t="shared" si="39"/>
        <v>TP</v>
      </c>
      <c r="B308" s="306">
        <f t="shared" si="40"/>
        <v>90</v>
      </c>
      <c r="C308" s="192" t="s">
        <v>733</v>
      </c>
      <c r="D308" s="305"/>
      <c r="E308" s="8"/>
      <c r="F308" s="8"/>
      <c r="G308" s="25">
        <f t="array" ref="G308">SUM(IF("155"&amp;C308=KHN&amp;MH,SL))</f>
        <v>204</v>
      </c>
      <c r="H308" s="25">
        <f t="array" ref="H308">SUM(IF("155"&amp;C308=KHN&amp;MH,TH))</f>
        <v>1651721</v>
      </c>
      <c r="I308" s="25">
        <f t="array" ref="I308">SUM(IF("155"&amp;C308=KHC&amp;MH,SL))</f>
        <v>204</v>
      </c>
      <c r="J308" s="25">
        <f t="array" ref="J308">SUM(IF("155"&amp;C308=KHC&amp;MH,TH))</f>
        <v>1651721</v>
      </c>
      <c r="K308" s="8">
        <f t="shared" si="41"/>
        <v>0</v>
      </c>
      <c r="L308" s="8">
        <f t="shared" si="42"/>
        <v>0</v>
      </c>
      <c r="M308" s="293"/>
    </row>
    <row r="309" spans="1:13" ht="19.5" hidden="1" customHeight="1">
      <c r="A309" s="293" t="str">
        <f t="shared" si="39"/>
        <v>TP</v>
      </c>
      <c r="B309" s="306">
        <f t="shared" si="40"/>
        <v>91</v>
      </c>
      <c r="C309" s="192" t="s">
        <v>766</v>
      </c>
      <c r="D309" s="305"/>
      <c r="E309" s="8"/>
      <c r="F309" s="8"/>
      <c r="G309" s="25">
        <f t="array" ref="G309">SUM(IF("155"&amp;C309=KHN&amp;MH,SL))</f>
        <v>620</v>
      </c>
      <c r="H309" s="25">
        <f t="array" ref="H309">SUM(IF("155"&amp;C309=KHN&amp;MH,TH))</f>
        <v>6024207</v>
      </c>
      <c r="I309" s="25">
        <f t="array" ref="I309">SUM(IF("155"&amp;C309=KHC&amp;MH,SL))</f>
        <v>620</v>
      </c>
      <c r="J309" s="25">
        <f t="array" ref="J309">SUM(IF("155"&amp;C309=KHC&amp;MH,TH))</f>
        <v>6024207</v>
      </c>
      <c r="K309" s="8">
        <f t="shared" si="41"/>
        <v>0</v>
      </c>
      <c r="L309" s="8">
        <f t="shared" si="42"/>
        <v>0</v>
      </c>
      <c r="M309" s="293"/>
    </row>
    <row r="310" spans="1:13" ht="19.5" hidden="1" customHeight="1">
      <c r="A310" s="293" t="str">
        <f t="shared" si="39"/>
        <v>TP</v>
      </c>
      <c r="B310" s="306">
        <f t="shared" si="40"/>
        <v>92</v>
      </c>
      <c r="C310" s="192" t="s">
        <v>739</v>
      </c>
      <c r="D310" s="305"/>
      <c r="E310" s="8"/>
      <c r="F310" s="8"/>
      <c r="G310" s="25">
        <f t="array" ref="G310">SUM(IF("155"&amp;C310=KHN&amp;MH,SL))</f>
        <v>3583</v>
      </c>
      <c r="H310" s="25">
        <f t="array" ref="H310">SUM(IF("155"&amp;C310=KHN&amp;MH,TH))</f>
        <v>26548338</v>
      </c>
      <c r="I310" s="25">
        <f t="array" ref="I310">SUM(IF("155"&amp;C310=KHC&amp;MH,SL))</f>
        <v>3583</v>
      </c>
      <c r="J310" s="25">
        <f t="array" ref="J310">SUM(IF("155"&amp;C310=KHC&amp;MH,TH))</f>
        <v>26548338</v>
      </c>
      <c r="K310" s="8">
        <f t="shared" si="41"/>
        <v>0</v>
      </c>
      <c r="L310" s="8">
        <f t="shared" si="42"/>
        <v>0</v>
      </c>
      <c r="M310" s="293"/>
    </row>
    <row r="311" spans="1:13" ht="19.5" hidden="1" customHeight="1">
      <c r="A311" s="293" t="str">
        <f t="shared" si="39"/>
        <v>TP</v>
      </c>
      <c r="B311" s="306">
        <f t="shared" si="40"/>
        <v>93</v>
      </c>
      <c r="C311" s="192" t="s">
        <v>758</v>
      </c>
      <c r="D311" s="305"/>
      <c r="E311" s="8"/>
      <c r="F311" s="8"/>
      <c r="G311" s="25">
        <f t="array" ref="G311">SUM(IF("155"&amp;C311=KHN&amp;MH,SL))</f>
        <v>994</v>
      </c>
      <c r="H311" s="25">
        <f t="array" ref="H311">SUM(IF("155"&amp;C311=KHN&amp;MH,TH))</f>
        <v>8299440</v>
      </c>
      <c r="I311" s="25">
        <f t="array" ref="I311">SUM(IF("155"&amp;C311=KHC&amp;MH,SL))</f>
        <v>994</v>
      </c>
      <c r="J311" s="25">
        <f t="array" ref="J311">SUM(IF("155"&amp;C311=KHC&amp;MH,TH))</f>
        <v>8299440</v>
      </c>
      <c r="K311" s="8">
        <f t="shared" si="41"/>
        <v>0</v>
      </c>
      <c r="L311" s="8">
        <f t="shared" si="42"/>
        <v>0</v>
      </c>
      <c r="M311" s="293"/>
    </row>
    <row r="312" spans="1:13" ht="19.5" hidden="1" customHeight="1">
      <c r="A312" s="293" t="str">
        <f t="shared" si="39"/>
        <v>TP</v>
      </c>
      <c r="B312" s="306">
        <f t="shared" si="40"/>
        <v>94</v>
      </c>
      <c r="C312" s="189" t="s">
        <v>1140</v>
      </c>
      <c r="D312" s="305"/>
      <c r="E312" s="8"/>
      <c r="F312" s="8"/>
      <c r="G312" s="25">
        <f t="array" ref="G312">SUM(IF("155"&amp;C312=KHN&amp;MH,SL))</f>
        <v>5242</v>
      </c>
      <c r="H312" s="25">
        <f t="array" ref="H312">SUM(IF("155"&amp;C312=KHN&amp;MH,TH))</f>
        <v>25441260</v>
      </c>
      <c r="I312" s="25">
        <f t="array" ref="I312">SUM(IF("155"&amp;C312=KHC&amp;MH,SL))</f>
        <v>5242</v>
      </c>
      <c r="J312" s="25">
        <f t="array" ref="J312">SUM(IF("155"&amp;C312=KHC&amp;MH,TH))</f>
        <v>25441260</v>
      </c>
      <c r="K312" s="8">
        <f t="shared" si="41"/>
        <v>0</v>
      </c>
      <c r="L312" s="8">
        <f t="shared" si="42"/>
        <v>0</v>
      </c>
      <c r="M312" s="293"/>
    </row>
    <row r="313" spans="1:13" ht="19.5" hidden="1" customHeight="1">
      <c r="A313" s="293" t="str">
        <f t="shared" si="39"/>
        <v>TP</v>
      </c>
      <c r="B313" s="306">
        <f t="shared" si="40"/>
        <v>95</v>
      </c>
      <c r="C313" s="192" t="s">
        <v>929</v>
      </c>
      <c r="D313" s="305"/>
      <c r="E313" s="8"/>
      <c r="F313" s="8"/>
      <c r="G313" s="25">
        <f t="array" ref="G313">SUM(IF("155"&amp;C313=KHN&amp;MH,SL))</f>
        <v>294</v>
      </c>
      <c r="H313" s="25">
        <f t="array" ref="H313">SUM(IF("155"&amp;C313=KHN&amp;MH,TH))</f>
        <v>810851</v>
      </c>
      <c r="I313" s="25">
        <f t="array" ref="I313">SUM(IF("155"&amp;C313=KHC&amp;MH,SL))</f>
        <v>294</v>
      </c>
      <c r="J313" s="25">
        <f t="array" ref="J313">SUM(IF("155"&amp;C313=KHC&amp;MH,TH))</f>
        <v>810851</v>
      </c>
      <c r="K313" s="8">
        <f t="shared" si="41"/>
        <v>0</v>
      </c>
      <c r="L313" s="8">
        <f t="shared" si="42"/>
        <v>0</v>
      </c>
      <c r="M313" s="293"/>
    </row>
    <row r="314" spans="1:13" ht="19.5" hidden="1" customHeight="1">
      <c r="A314" s="293" t="str">
        <f t="shared" si="39"/>
        <v>TP</v>
      </c>
      <c r="B314" s="306">
        <f t="shared" si="40"/>
        <v>96</v>
      </c>
      <c r="C314" s="192" t="s">
        <v>923</v>
      </c>
      <c r="D314" s="305"/>
      <c r="E314" s="8"/>
      <c r="F314" s="8"/>
      <c r="G314" s="25">
        <f t="array" ref="G314">SUM(IF("155"&amp;C314=KHN&amp;MH,SL))</f>
        <v>100</v>
      </c>
      <c r="H314" s="25">
        <f t="array" ref="H314">SUM(IF("155"&amp;C314=KHN&amp;MH,TH))</f>
        <v>1161760</v>
      </c>
      <c r="I314" s="25">
        <f t="array" ref="I314">SUM(IF("155"&amp;C314=KHC&amp;MH,SL))</f>
        <v>100</v>
      </c>
      <c r="J314" s="25">
        <f t="array" ref="J314">SUM(IF("155"&amp;C314=KHC&amp;MH,TH))</f>
        <v>1161760</v>
      </c>
      <c r="K314" s="8">
        <f t="shared" si="41"/>
        <v>0</v>
      </c>
      <c r="L314" s="8">
        <f t="shared" si="42"/>
        <v>0</v>
      </c>
      <c r="M314" s="293"/>
    </row>
    <row r="315" spans="1:13" ht="19.5" hidden="1" customHeight="1">
      <c r="A315" s="293" t="str">
        <f t="shared" ref="A315:A346" si="43">IF(B315&lt;&gt;"","TP","")</f>
        <v>TP</v>
      </c>
      <c r="B315" s="306">
        <f t="shared" ref="B315:B346" si="44">IF(C315&lt;&gt;"",B314+1,"")</f>
        <v>97</v>
      </c>
      <c r="C315" s="192" t="s">
        <v>1130</v>
      </c>
      <c r="D315" s="305"/>
      <c r="E315" s="8"/>
      <c r="F315" s="8"/>
      <c r="G315" s="25">
        <f t="array" ref="G315">SUM(IF("155"&amp;C315=KHN&amp;MH,SL))</f>
        <v>211</v>
      </c>
      <c r="H315" s="25">
        <f t="array" ref="H315">SUM(IF("155"&amp;C315=KHN&amp;MH,TH))</f>
        <v>2800800</v>
      </c>
      <c r="I315" s="25">
        <f t="array" ref="I315">SUM(IF("155"&amp;C315=KHC&amp;MH,SL))</f>
        <v>211</v>
      </c>
      <c r="J315" s="25">
        <f t="array" ref="J315">SUM(IF("155"&amp;C315=KHC&amp;MH,TH))</f>
        <v>2800800</v>
      </c>
      <c r="K315" s="8">
        <f t="shared" ref="K315:K346" si="45">E315+G315-I315</f>
        <v>0</v>
      </c>
      <c r="L315" s="8">
        <f t="shared" ref="L315:L346" si="46">F315+H315-J315</f>
        <v>0</v>
      </c>
      <c r="M315" s="293"/>
    </row>
    <row r="316" spans="1:13" ht="19.5" hidden="1" customHeight="1">
      <c r="A316" s="293" t="str">
        <f t="shared" si="43"/>
        <v>TP</v>
      </c>
      <c r="B316" s="306">
        <f t="shared" si="44"/>
        <v>98</v>
      </c>
      <c r="C316" s="192" t="s">
        <v>940</v>
      </c>
      <c r="D316" s="305"/>
      <c r="E316" s="8"/>
      <c r="F316" s="8"/>
      <c r="G316" s="25">
        <f t="array" ref="G316">SUM(IF("155"&amp;C316=KHN&amp;MH,SL))</f>
        <v>1484</v>
      </c>
      <c r="H316" s="25">
        <f t="array" ref="H316">SUM(IF("155"&amp;C316=KHN&amp;MH,TH))</f>
        <v>22912451</v>
      </c>
      <c r="I316" s="25">
        <f t="array" ref="I316">SUM(IF("155"&amp;C316=KHC&amp;MH,SL))</f>
        <v>1484</v>
      </c>
      <c r="J316" s="25">
        <f t="array" ref="J316">SUM(IF("155"&amp;C316=KHC&amp;MH,TH))</f>
        <v>22912451</v>
      </c>
      <c r="K316" s="8">
        <f t="shared" si="45"/>
        <v>0</v>
      </c>
      <c r="L316" s="8">
        <f t="shared" si="46"/>
        <v>0</v>
      </c>
      <c r="M316" s="293"/>
    </row>
    <row r="317" spans="1:13" ht="19.5" hidden="1" customHeight="1">
      <c r="A317" s="293" t="str">
        <f t="shared" si="43"/>
        <v>TP</v>
      </c>
      <c r="B317" s="306">
        <f t="shared" si="44"/>
        <v>99</v>
      </c>
      <c r="C317" s="192" t="s">
        <v>938</v>
      </c>
      <c r="D317" s="305"/>
      <c r="E317" s="8"/>
      <c r="F317" s="8"/>
      <c r="G317" s="25">
        <f t="array" ref="G317">SUM(IF("155"&amp;C317=KHN&amp;MH,SL))</f>
        <v>2440</v>
      </c>
      <c r="H317" s="25">
        <f t="array" ref="H317">SUM(IF("155"&amp;C317=KHN&amp;MH,TH))</f>
        <v>44542096</v>
      </c>
      <c r="I317" s="25">
        <f t="array" ref="I317">SUM(IF("155"&amp;C317=KHC&amp;MH,SL))</f>
        <v>2440</v>
      </c>
      <c r="J317" s="25">
        <f t="array" ref="J317">SUM(IF("155"&amp;C317=KHC&amp;MH,TH))</f>
        <v>44542096</v>
      </c>
      <c r="K317" s="8">
        <f t="shared" si="45"/>
        <v>0</v>
      </c>
      <c r="L317" s="8">
        <f t="shared" si="46"/>
        <v>0</v>
      </c>
      <c r="M317" s="293"/>
    </row>
    <row r="318" spans="1:13" ht="19.5" hidden="1" customHeight="1">
      <c r="A318" s="293" t="str">
        <f t="shared" si="43"/>
        <v>TP</v>
      </c>
      <c r="B318" s="306">
        <f t="shared" si="44"/>
        <v>100</v>
      </c>
      <c r="C318" s="192" t="s">
        <v>1128</v>
      </c>
      <c r="D318" s="305"/>
      <c r="E318" s="8"/>
      <c r="F318" s="8"/>
      <c r="G318" s="25">
        <f t="array" ref="G318">SUM(IF("155"&amp;C318=KHN&amp;MH,SL))</f>
        <v>405</v>
      </c>
      <c r="H318" s="25">
        <f t="array" ref="H318">SUM(IF("155"&amp;C318=KHN&amp;MH,TH))</f>
        <v>5529374</v>
      </c>
      <c r="I318" s="25">
        <f t="array" ref="I318">SUM(IF("155"&amp;C318=KHC&amp;MH,SL))</f>
        <v>405</v>
      </c>
      <c r="J318" s="25">
        <f t="array" ref="J318">SUM(IF("155"&amp;C318=KHC&amp;MH,TH))</f>
        <v>5529374</v>
      </c>
      <c r="K318" s="8">
        <f t="shared" si="45"/>
        <v>0</v>
      </c>
      <c r="L318" s="8">
        <f t="shared" si="46"/>
        <v>0</v>
      </c>
      <c r="M318" s="293"/>
    </row>
    <row r="319" spans="1:13" ht="19.5" hidden="1" customHeight="1">
      <c r="A319" s="293" t="str">
        <f t="shared" si="43"/>
        <v>TP</v>
      </c>
      <c r="B319" s="306">
        <f t="shared" si="44"/>
        <v>101</v>
      </c>
      <c r="C319" s="192" t="s">
        <v>1132</v>
      </c>
      <c r="D319" s="305"/>
      <c r="E319" s="8"/>
      <c r="F319" s="8"/>
      <c r="G319" s="25">
        <f t="array" ref="G319">SUM(IF("155"&amp;C319=KHN&amp;MH,SL))</f>
        <v>653</v>
      </c>
      <c r="H319" s="25">
        <f t="array" ref="H319">SUM(IF("155"&amp;C319=KHN&amp;MH,TH))</f>
        <v>7967490</v>
      </c>
      <c r="I319" s="25">
        <f t="array" ref="I319">SUM(IF("155"&amp;C319=KHC&amp;MH,SL))</f>
        <v>653</v>
      </c>
      <c r="J319" s="25">
        <f t="array" ref="J319">SUM(IF("155"&amp;C319=KHC&amp;MH,TH))</f>
        <v>7967490</v>
      </c>
      <c r="K319" s="8">
        <f t="shared" si="45"/>
        <v>0</v>
      </c>
      <c r="L319" s="8">
        <f t="shared" si="46"/>
        <v>0</v>
      </c>
      <c r="M319" s="293"/>
    </row>
    <row r="320" spans="1:13" ht="19.5" hidden="1" customHeight="1">
      <c r="A320" s="293" t="str">
        <f t="shared" si="43"/>
        <v>TP</v>
      </c>
      <c r="B320" s="306">
        <f t="shared" si="44"/>
        <v>102</v>
      </c>
      <c r="C320" s="189" t="s">
        <v>968</v>
      </c>
      <c r="D320" s="305"/>
      <c r="E320" s="8"/>
      <c r="F320" s="8"/>
      <c r="G320" s="25">
        <f t="array" ref="G320">SUM(IF("155"&amp;C320=KHN&amp;MH,SL))</f>
        <v>81</v>
      </c>
      <c r="H320" s="25">
        <f t="array" ref="H320">SUM(IF("155"&amp;C320=KHN&amp;MH,TH))</f>
        <v>519323</v>
      </c>
      <c r="I320" s="25">
        <f t="array" ref="I320">SUM(IF("155"&amp;C320=KHC&amp;MH,SL))</f>
        <v>81</v>
      </c>
      <c r="J320" s="25">
        <f t="array" ref="J320">SUM(IF("155"&amp;C320=KHC&amp;MH,TH))</f>
        <v>519323</v>
      </c>
      <c r="K320" s="8">
        <f t="shared" si="45"/>
        <v>0</v>
      </c>
      <c r="L320" s="8">
        <f t="shared" si="46"/>
        <v>0</v>
      </c>
      <c r="M320" s="293"/>
    </row>
    <row r="321" spans="1:13" ht="19.5" hidden="1" customHeight="1">
      <c r="A321" s="293" t="str">
        <f t="shared" si="43"/>
        <v>TP</v>
      </c>
      <c r="B321" s="306">
        <f t="shared" si="44"/>
        <v>103</v>
      </c>
      <c r="C321" s="189" t="s">
        <v>973</v>
      </c>
      <c r="D321" s="305"/>
      <c r="E321" s="8"/>
      <c r="F321" s="8"/>
      <c r="G321" s="25">
        <f t="array" ref="G321">SUM(IF("155"&amp;C321=KHN&amp;MH,SL))</f>
        <v>15</v>
      </c>
      <c r="H321" s="25">
        <f t="array" ref="H321">SUM(IF("155"&amp;C321=KHN&amp;MH,TH))</f>
        <v>139927</v>
      </c>
      <c r="I321" s="25">
        <f t="array" ref="I321">SUM(IF("155"&amp;C321=KHC&amp;MH,SL))</f>
        <v>15</v>
      </c>
      <c r="J321" s="25">
        <f t="array" ref="J321">SUM(IF("155"&amp;C321=KHC&amp;MH,TH))</f>
        <v>139927</v>
      </c>
      <c r="K321" s="8">
        <f t="shared" si="45"/>
        <v>0</v>
      </c>
      <c r="L321" s="8">
        <f t="shared" si="46"/>
        <v>0</v>
      </c>
      <c r="M321" s="293"/>
    </row>
    <row r="322" spans="1:13" ht="19.5" hidden="1" customHeight="1">
      <c r="A322" s="293" t="str">
        <f t="shared" si="43"/>
        <v>TP</v>
      </c>
      <c r="B322" s="306">
        <f t="shared" si="44"/>
        <v>104</v>
      </c>
      <c r="C322" s="192" t="s">
        <v>836</v>
      </c>
      <c r="D322" s="305"/>
      <c r="E322" s="8"/>
      <c r="F322" s="8"/>
      <c r="G322" s="25">
        <f t="array" ref="G322">SUM(IF("155"&amp;C322=KHN&amp;MH,SL))</f>
        <v>12843</v>
      </c>
      <c r="H322" s="25">
        <f t="array" ref="H322">SUM(IF("155"&amp;C322=KHN&amp;MH,TH))</f>
        <v>125518607</v>
      </c>
      <c r="I322" s="25">
        <f t="array" ref="I322">SUM(IF("155"&amp;C322=KHC&amp;MH,SL))</f>
        <v>12843</v>
      </c>
      <c r="J322" s="25">
        <f t="array" ref="J322">SUM(IF("155"&amp;C322=KHC&amp;MH,TH))</f>
        <v>125518607</v>
      </c>
      <c r="K322" s="8">
        <f t="shared" si="45"/>
        <v>0</v>
      </c>
      <c r="L322" s="8">
        <f t="shared" si="46"/>
        <v>0</v>
      </c>
      <c r="M322" s="293"/>
    </row>
    <row r="323" spans="1:13" ht="19.5" hidden="1" customHeight="1">
      <c r="A323" s="293" t="str">
        <f t="shared" si="43"/>
        <v>TP</v>
      </c>
      <c r="B323" s="306">
        <f t="shared" si="44"/>
        <v>105</v>
      </c>
      <c r="C323" s="189" t="s">
        <v>969</v>
      </c>
      <c r="D323" s="305"/>
      <c r="E323" s="8"/>
      <c r="F323" s="8"/>
      <c r="G323" s="25">
        <f t="array" ref="G323">SUM(IF("155"&amp;C323=KHN&amp;MH,SL))</f>
        <v>80</v>
      </c>
      <c r="H323" s="25">
        <f t="array" ref="H323">SUM(IF("155"&amp;C323=KHN&amp;MH,TH))</f>
        <v>374130</v>
      </c>
      <c r="I323" s="25">
        <f t="array" ref="I323">SUM(IF("155"&amp;C323=KHC&amp;MH,SL))</f>
        <v>80</v>
      </c>
      <c r="J323" s="25">
        <f t="array" ref="J323">SUM(IF("155"&amp;C323=KHC&amp;MH,TH))</f>
        <v>374130</v>
      </c>
      <c r="K323" s="8">
        <f t="shared" si="45"/>
        <v>0</v>
      </c>
      <c r="L323" s="8">
        <f t="shared" si="46"/>
        <v>0</v>
      </c>
      <c r="M323" s="293"/>
    </row>
    <row r="324" spans="1:13" ht="19.5" hidden="1" customHeight="1">
      <c r="A324" s="293" t="str">
        <f t="shared" si="43"/>
        <v>TP</v>
      </c>
      <c r="B324" s="306">
        <f t="shared" si="44"/>
        <v>106</v>
      </c>
      <c r="C324" s="189" t="s">
        <v>967</v>
      </c>
      <c r="D324" s="305"/>
      <c r="E324" s="8"/>
      <c r="F324" s="8"/>
      <c r="G324" s="25">
        <f t="array" ref="G324">SUM(IF("155"&amp;C324=KHN&amp;MH,SL))</f>
        <v>81</v>
      </c>
      <c r="H324" s="25">
        <f t="array" ref="H324">SUM(IF("155"&amp;C324=KHN&amp;MH,TH))</f>
        <v>521463</v>
      </c>
      <c r="I324" s="25">
        <f t="array" ref="I324">SUM(IF("155"&amp;C324=KHC&amp;MH,SL))</f>
        <v>81</v>
      </c>
      <c r="J324" s="25">
        <f t="array" ref="J324">SUM(IF("155"&amp;C324=KHC&amp;MH,TH))</f>
        <v>521463</v>
      </c>
      <c r="K324" s="8">
        <f t="shared" si="45"/>
        <v>0</v>
      </c>
      <c r="L324" s="8">
        <f t="shared" si="46"/>
        <v>0</v>
      </c>
      <c r="M324" s="293"/>
    </row>
    <row r="325" spans="1:13" ht="19.5" hidden="1" customHeight="1">
      <c r="A325" s="293" t="str">
        <f t="shared" si="43"/>
        <v>TP</v>
      </c>
      <c r="B325" s="306">
        <f t="shared" si="44"/>
        <v>107</v>
      </c>
      <c r="C325" s="189" t="s">
        <v>982</v>
      </c>
      <c r="D325" s="305"/>
      <c r="E325" s="8"/>
      <c r="F325" s="8"/>
      <c r="G325" s="25">
        <f t="array" ref="G325">SUM(IF("155"&amp;C325=KHN&amp;MH,SL))</f>
        <v>51</v>
      </c>
      <c r="H325" s="25">
        <f t="array" ref="H325">SUM(IF("155"&amp;C325=KHN&amp;MH,TH))</f>
        <v>598969</v>
      </c>
      <c r="I325" s="25">
        <f t="array" ref="I325">SUM(IF("155"&amp;C325=KHC&amp;MH,SL))</f>
        <v>51</v>
      </c>
      <c r="J325" s="25">
        <f t="array" ref="J325">SUM(IF("155"&amp;C325=KHC&amp;MH,TH))</f>
        <v>598969</v>
      </c>
      <c r="K325" s="8">
        <f t="shared" si="45"/>
        <v>0</v>
      </c>
      <c r="L325" s="8">
        <f t="shared" si="46"/>
        <v>0</v>
      </c>
      <c r="M325" s="293"/>
    </row>
    <row r="326" spans="1:13" ht="19.5" hidden="1" customHeight="1">
      <c r="A326" s="293" t="str">
        <f t="shared" si="43"/>
        <v>TP</v>
      </c>
      <c r="B326" s="306">
        <f t="shared" si="44"/>
        <v>108</v>
      </c>
      <c r="C326" s="192" t="s">
        <v>870</v>
      </c>
      <c r="D326" s="305"/>
      <c r="E326" s="8"/>
      <c r="F326" s="8"/>
      <c r="G326" s="25">
        <f t="array" ref="G326">SUM(IF("155"&amp;C326=KHN&amp;MH,SL))</f>
        <v>656</v>
      </c>
      <c r="H326" s="25">
        <f t="array" ref="H326">SUM(IF("155"&amp;C326=KHN&amp;MH,TH))</f>
        <v>5053395</v>
      </c>
      <c r="I326" s="25">
        <f t="array" ref="I326">SUM(IF("155"&amp;C326=KHC&amp;MH,SL))</f>
        <v>656</v>
      </c>
      <c r="J326" s="25">
        <f t="array" ref="J326">SUM(IF("155"&amp;C326=KHC&amp;MH,TH))</f>
        <v>5053395</v>
      </c>
      <c r="K326" s="8">
        <f t="shared" si="45"/>
        <v>0</v>
      </c>
      <c r="L326" s="8">
        <f t="shared" si="46"/>
        <v>0</v>
      </c>
      <c r="M326" s="293"/>
    </row>
    <row r="327" spans="1:13" ht="19.5" hidden="1" customHeight="1">
      <c r="A327" s="293" t="str">
        <f t="shared" si="43"/>
        <v>TP</v>
      </c>
      <c r="B327" s="306">
        <f t="shared" si="44"/>
        <v>109</v>
      </c>
      <c r="C327" s="189" t="s">
        <v>987</v>
      </c>
      <c r="D327" s="305"/>
      <c r="E327" s="8"/>
      <c r="F327" s="8"/>
      <c r="G327" s="25">
        <f t="array" ref="G327">SUM(IF("155"&amp;C327=KHN&amp;MH,SL))</f>
        <v>13</v>
      </c>
      <c r="H327" s="25">
        <f t="array" ref="H327">SUM(IF("155"&amp;C327=KHN&amp;MH,TH))</f>
        <v>207265</v>
      </c>
      <c r="I327" s="25">
        <f t="array" ref="I327">SUM(IF("155"&amp;C327=KHC&amp;MH,SL))</f>
        <v>13</v>
      </c>
      <c r="J327" s="25">
        <f t="array" ref="J327">SUM(IF("155"&amp;C327=KHC&amp;MH,TH))</f>
        <v>207265</v>
      </c>
      <c r="K327" s="8">
        <f t="shared" si="45"/>
        <v>0</v>
      </c>
      <c r="L327" s="8">
        <f t="shared" si="46"/>
        <v>0</v>
      </c>
      <c r="M327" s="293"/>
    </row>
    <row r="328" spans="1:13" ht="19.5" hidden="1" customHeight="1">
      <c r="A328" s="293" t="str">
        <f t="shared" si="43"/>
        <v>TP</v>
      </c>
      <c r="B328" s="306">
        <f t="shared" si="44"/>
        <v>110</v>
      </c>
      <c r="C328" s="189" t="s">
        <v>985</v>
      </c>
      <c r="D328" s="305"/>
      <c r="E328" s="8"/>
      <c r="F328" s="8"/>
      <c r="G328" s="25">
        <f t="array" ref="G328">SUM(IF("155"&amp;C328=KHN&amp;MH,SL))</f>
        <v>16</v>
      </c>
      <c r="H328" s="25">
        <f t="array" ref="H328">SUM(IF("155"&amp;C328=KHN&amp;MH,TH))</f>
        <v>255096</v>
      </c>
      <c r="I328" s="25">
        <f t="array" ref="I328">SUM(IF("155"&amp;C328=KHC&amp;MH,SL))</f>
        <v>16</v>
      </c>
      <c r="J328" s="25">
        <f t="array" ref="J328">SUM(IF("155"&amp;C328=KHC&amp;MH,TH))</f>
        <v>255096</v>
      </c>
      <c r="K328" s="8">
        <f t="shared" si="45"/>
        <v>0</v>
      </c>
      <c r="L328" s="8">
        <f t="shared" si="46"/>
        <v>0</v>
      </c>
      <c r="M328" s="293"/>
    </row>
    <row r="329" spans="1:13" ht="19.5" hidden="1" customHeight="1">
      <c r="A329" s="293" t="str">
        <f t="shared" si="43"/>
        <v>TP</v>
      </c>
      <c r="B329" s="306">
        <f t="shared" si="44"/>
        <v>111</v>
      </c>
      <c r="C329" s="192" t="s">
        <v>1026</v>
      </c>
      <c r="D329" s="305"/>
      <c r="E329" s="8"/>
      <c r="F329" s="8"/>
      <c r="G329" s="25">
        <f t="array" ref="G329">SUM(IF("155"&amp;C329=KHN&amp;MH,SL))</f>
        <v>1236</v>
      </c>
      <c r="H329" s="25">
        <f t="array" ref="H329">SUM(IF("155"&amp;C329=KHN&amp;MH,TH))</f>
        <v>20942154</v>
      </c>
      <c r="I329" s="25">
        <f t="array" ref="I329">SUM(IF("155"&amp;C329=KHC&amp;MH,SL))</f>
        <v>1236</v>
      </c>
      <c r="J329" s="25">
        <f t="array" ref="J329">SUM(IF("155"&amp;C329=KHC&amp;MH,TH))</f>
        <v>20942154</v>
      </c>
      <c r="K329" s="8">
        <f t="shared" si="45"/>
        <v>0</v>
      </c>
      <c r="L329" s="8">
        <f t="shared" si="46"/>
        <v>0</v>
      </c>
      <c r="M329" s="293"/>
    </row>
    <row r="330" spans="1:13" ht="19.5" hidden="1" customHeight="1">
      <c r="A330" s="293" t="str">
        <f t="shared" si="43"/>
        <v>TP</v>
      </c>
      <c r="B330" s="306">
        <f t="shared" si="44"/>
        <v>112</v>
      </c>
      <c r="C330" s="192" t="s">
        <v>887</v>
      </c>
      <c r="D330" s="305"/>
      <c r="E330" s="8"/>
      <c r="F330" s="8"/>
      <c r="G330" s="25">
        <f t="array" ref="G330">SUM(IF("155"&amp;C330=KHN&amp;MH,SL))</f>
        <v>1980</v>
      </c>
      <c r="H330" s="25">
        <f t="array" ref="H330">SUM(IF("155"&amp;C330=KHN&amp;MH,TH))</f>
        <v>13157490</v>
      </c>
      <c r="I330" s="25">
        <f t="array" ref="I330">SUM(IF("155"&amp;C330=KHC&amp;MH,SL))</f>
        <v>1980</v>
      </c>
      <c r="J330" s="25">
        <f t="array" ref="J330">SUM(IF("155"&amp;C330=KHC&amp;MH,TH))</f>
        <v>13157490</v>
      </c>
      <c r="K330" s="8">
        <f t="shared" si="45"/>
        <v>0</v>
      </c>
      <c r="L330" s="8">
        <f t="shared" si="46"/>
        <v>0</v>
      </c>
      <c r="M330" s="293"/>
    </row>
    <row r="331" spans="1:13" ht="19.5" hidden="1" customHeight="1">
      <c r="A331" s="293" t="str">
        <f t="shared" si="43"/>
        <v>TP</v>
      </c>
      <c r="B331" s="306">
        <f t="shared" si="44"/>
        <v>113</v>
      </c>
      <c r="C331" s="192" t="s">
        <v>864</v>
      </c>
      <c r="D331" s="305"/>
      <c r="E331" s="8"/>
      <c r="F331" s="8"/>
      <c r="G331" s="25">
        <f t="array" ref="G331">SUM(IF("155"&amp;C331=KHN&amp;MH,SL))</f>
        <v>506</v>
      </c>
      <c r="H331" s="25">
        <f t="array" ref="H331">SUM(IF("155"&amp;C331=KHN&amp;MH,TH))</f>
        <v>3433836</v>
      </c>
      <c r="I331" s="25">
        <f t="array" ref="I331">SUM(IF("155"&amp;C331=KHC&amp;MH,SL))</f>
        <v>506</v>
      </c>
      <c r="J331" s="25">
        <f t="array" ref="J331">SUM(IF("155"&amp;C331=KHC&amp;MH,TH))</f>
        <v>3433836</v>
      </c>
      <c r="K331" s="8">
        <f t="shared" si="45"/>
        <v>0</v>
      </c>
      <c r="L331" s="8">
        <f t="shared" si="46"/>
        <v>0</v>
      </c>
      <c r="M331" s="293"/>
    </row>
    <row r="332" spans="1:13" ht="19.5" hidden="1" customHeight="1">
      <c r="A332" s="293" t="str">
        <f t="shared" si="43"/>
        <v>TP</v>
      </c>
      <c r="B332" s="306">
        <f t="shared" si="44"/>
        <v>114</v>
      </c>
      <c r="C332" s="192" t="s">
        <v>1120</v>
      </c>
      <c r="D332" s="305"/>
      <c r="E332" s="8"/>
      <c r="F332" s="8"/>
      <c r="G332" s="25">
        <f t="array" ref="G332">SUM(IF("155"&amp;C332=KHN&amp;MH,SL))</f>
        <v>1000</v>
      </c>
      <c r="H332" s="25">
        <f t="array" ref="H332">SUM(IF("155"&amp;C332=KHN&amp;MH,TH))</f>
        <v>6615596</v>
      </c>
      <c r="I332" s="25">
        <f t="array" ref="I332">SUM(IF("155"&amp;C332=KHC&amp;MH,SL))</f>
        <v>1000</v>
      </c>
      <c r="J332" s="25">
        <f t="array" ref="J332">SUM(IF("155"&amp;C332=KHC&amp;MH,TH))</f>
        <v>6615596</v>
      </c>
      <c r="K332" s="8">
        <f t="shared" si="45"/>
        <v>0</v>
      </c>
      <c r="L332" s="8">
        <f t="shared" si="46"/>
        <v>0</v>
      </c>
      <c r="M332" s="293"/>
    </row>
    <row r="333" spans="1:13" ht="19.5" hidden="1" customHeight="1">
      <c r="A333" s="293" t="str">
        <f t="shared" si="43"/>
        <v>TP</v>
      </c>
      <c r="B333" s="306">
        <f t="shared" si="44"/>
        <v>115</v>
      </c>
      <c r="C333" s="192" t="s">
        <v>1163</v>
      </c>
      <c r="D333" s="305"/>
      <c r="E333" s="8"/>
      <c r="F333" s="8"/>
      <c r="G333" s="25">
        <f t="array" ref="G333">SUM(IF("155"&amp;C333=KHN&amp;MH,SL))</f>
        <v>1032</v>
      </c>
      <c r="H333" s="25">
        <f t="array" ref="H333">SUM(IF("155"&amp;C333=KHN&amp;MH,TH))</f>
        <v>7076343</v>
      </c>
      <c r="I333" s="25">
        <f t="array" ref="I333">SUM(IF("155"&amp;C333=KHC&amp;MH,SL))</f>
        <v>1032</v>
      </c>
      <c r="J333" s="25">
        <f t="array" ref="J333">SUM(IF("155"&amp;C333=KHC&amp;MH,TH))</f>
        <v>7076343</v>
      </c>
      <c r="K333" s="8">
        <f t="shared" si="45"/>
        <v>0</v>
      </c>
      <c r="L333" s="8">
        <f t="shared" si="46"/>
        <v>0</v>
      </c>
      <c r="M333" s="293"/>
    </row>
    <row r="334" spans="1:13" ht="19.5" hidden="1" customHeight="1">
      <c r="A334" s="293" t="str">
        <f t="shared" si="43"/>
        <v>TP</v>
      </c>
      <c r="B334" s="306">
        <f t="shared" si="44"/>
        <v>116</v>
      </c>
      <c r="C334" s="192" t="s">
        <v>1119</v>
      </c>
      <c r="D334" s="305"/>
      <c r="E334" s="8"/>
      <c r="F334" s="8"/>
      <c r="G334" s="25">
        <f t="array" ref="G334">SUM(IF("155"&amp;C334=KHN&amp;MH,SL))</f>
        <v>1506</v>
      </c>
      <c r="H334" s="25">
        <f t="array" ref="H334">SUM(IF("155"&amp;C334=KHN&amp;MH,TH))</f>
        <v>11394247</v>
      </c>
      <c r="I334" s="25">
        <f t="array" ref="I334">SUM(IF("155"&amp;C334=KHC&amp;MH,SL))</f>
        <v>1506</v>
      </c>
      <c r="J334" s="25">
        <f t="array" ref="J334">SUM(IF("155"&amp;C334=KHC&amp;MH,TH))</f>
        <v>11394247</v>
      </c>
      <c r="K334" s="8">
        <f t="shared" si="45"/>
        <v>0</v>
      </c>
      <c r="L334" s="8">
        <f t="shared" si="46"/>
        <v>0</v>
      </c>
      <c r="M334" s="293"/>
    </row>
    <row r="335" spans="1:13" ht="19.5" hidden="1" customHeight="1">
      <c r="A335" s="293" t="str">
        <f t="shared" si="43"/>
        <v>TP</v>
      </c>
      <c r="B335" s="306">
        <f t="shared" si="44"/>
        <v>117</v>
      </c>
      <c r="C335" s="192" t="s">
        <v>897</v>
      </c>
      <c r="D335" s="305"/>
      <c r="E335" s="8"/>
      <c r="F335" s="8"/>
      <c r="G335" s="25">
        <f t="array" ref="G335">SUM(IF("155"&amp;C335=KHN&amp;MH,SL))</f>
        <v>1010</v>
      </c>
      <c r="H335" s="25">
        <f t="array" ref="H335">SUM(IF("155"&amp;C335=KHN&amp;MH,TH))</f>
        <v>6681752</v>
      </c>
      <c r="I335" s="25">
        <f t="array" ref="I335">SUM(IF("155"&amp;C335=KHC&amp;MH,SL))</f>
        <v>1010</v>
      </c>
      <c r="J335" s="25">
        <f t="array" ref="J335">SUM(IF("155"&amp;C335=KHC&amp;MH,TH))</f>
        <v>6681752</v>
      </c>
      <c r="K335" s="8">
        <f t="shared" si="45"/>
        <v>0</v>
      </c>
      <c r="L335" s="8">
        <f t="shared" si="46"/>
        <v>0</v>
      </c>
      <c r="M335" s="293"/>
    </row>
    <row r="336" spans="1:13" ht="19.5" hidden="1" customHeight="1">
      <c r="A336" s="293" t="str">
        <f t="shared" si="43"/>
        <v>TP</v>
      </c>
      <c r="B336" s="306">
        <f t="shared" si="44"/>
        <v>118</v>
      </c>
      <c r="C336" s="192" t="s">
        <v>747</v>
      </c>
      <c r="D336" s="305"/>
      <c r="E336" s="8"/>
      <c r="F336" s="8"/>
      <c r="G336" s="25">
        <f t="array" ref="G336">SUM(IF("155"&amp;C336=KHN&amp;MH,SL))</f>
        <v>3282</v>
      </c>
      <c r="H336" s="25">
        <f t="array" ref="H336">SUM(IF("155"&amp;C336=KHN&amp;MH,TH))</f>
        <v>17154818</v>
      </c>
      <c r="I336" s="25">
        <f t="array" ref="I336">SUM(IF("155"&amp;C336=KHC&amp;MH,SL))</f>
        <v>3282</v>
      </c>
      <c r="J336" s="25">
        <f t="array" ref="J336">SUM(IF("155"&amp;C336=KHC&amp;MH,TH))</f>
        <v>17154818</v>
      </c>
      <c r="K336" s="8">
        <f t="shared" si="45"/>
        <v>0</v>
      </c>
      <c r="L336" s="8">
        <f t="shared" si="46"/>
        <v>0</v>
      </c>
      <c r="M336" s="293"/>
    </row>
    <row r="337" spans="1:13" ht="19.5" hidden="1" customHeight="1">
      <c r="A337" s="293" t="str">
        <f t="shared" si="43"/>
        <v>TP</v>
      </c>
      <c r="B337" s="306">
        <f t="shared" si="44"/>
        <v>119</v>
      </c>
      <c r="C337" s="192" t="s">
        <v>721</v>
      </c>
      <c r="D337" s="305"/>
      <c r="E337" s="8"/>
      <c r="F337" s="8"/>
      <c r="G337" s="25">
        <f t="array" ref="G337">SUM(IF("155"&amp;C337=KHN&amp;MH,SL))</f>
        <v>3277</v>
      </c>
      <c r="H337" s="25">
        <f t="array" ref="H337">SUM(IF("155"&amp;C337=KHN&amp;MH,TH))</f>
        <v>18276670</v>
      </c>
      <c r="I337" s="25">
        <f t="array" ref="I337">SUM(IF("155"&amp;C337=KHC&amp;MH,SL))</f>
        <v>3277</v>
      </c>
      <c r="J337" s="25">
        <f t="array" ref="J337">SUM(IF("155"&amp;C337=KHC&amp;MH,TH))</f>
        <v>18276670</v>
      </c>
      <c r="K337" s="8">
        <f t="shared" si="45"/>
        <v>0</v>
      </c>
      <c r="L337" s="8">
        <f t="shared" si="46"/>
        <v>0</v>
      </c>
      <c r="M337" s="293"/>
    </row>
    <row r="338" spans="1:13" ht="19.5" hidden="1" customHeight="1">
      <c r="A338" s="293" t="str">
        <f t="shared" si="43"/>
        <v>TP</v>
      </c>
      <c r="B338" s="306">
        <f t="shared" si="44"/>
        <v>120</v>
      </c>
      <c r="C338" s="192" t="s">
        <v>808</v>
      </c>
      <c r="D338" s="305"/>
      <c r="E338" s="8"/>
      <c r="F338" s="8"/>
      <c r="G338" s="25">
        <f t="array" ref="G338">SUM(IF("155"&amp;C338=KHN&amp;MH,SL))</f>
        <v>518</v>
      </c>
      <c r="H338" s="25">
        <f t="array" ref="H338">SUM(IF("155"&amp;C338=KHN&amp;MH,TH))</f>
        <v>3161262</v>
      </c>
      <c r="I338" s="25">
        <f t="array" ref="I338">SUM(IF("155"&amp;C338=KHC&amp;MH,SL))</f>
        <v>518</v>
      </c>
      <c r="J338" s="25">
        <f t="array" ref="J338">SUM(IF("155"&amp;C338=KHC&amp;MH,TH))</f>
        <v>3161262</v>
      </c>
      <c r="K338" s="8">
        <f t="shared" si="45"/>
        <v>0</v>
      </c>
      <c r="L338" s="8">
        <f t="shared" si="46"/>
        <v>0</v>
      </c>
      <c r="M338" s="293"/>
    </row>
    <row r="339" spans="1:13" ht="19.5" hidden="1" customHeight="1">
      <c r="A339" s="293" t="str">
        <f t="shared" si="43"/>
        <v>TP</v>
      </c>
      <c r="B339" s="306">
        <f t="shared" si="44"/>
        <v>121</v>
      </c>
      <c r="C339" s="192" t="s">
        <v>1004</v>
      </c>
      <c r="D339" s="305"/>
      <c r="E339" s="8"/>
      <c r="F339" s="8"/>
      <c r="G339" s="25">
        <f t="array" ref="G339">SUM(IF("155"&amp;C339=KHN&amp;MH,SL))</f>
        <v>450</v>
      </c>
      <c r="H339" s="25">
        <f t="array" ref="H339">SUM(IF("155"&amp;C339=KHN&amp;MH,TH))</f>
        <v>3351048</v>
      </c>
      <c r="I339" s="25">
        <f t="array" ref="I339">SUM(IF("155"&amp;C339=KHC&amp;MH,SL))</f>
        <v>450</v>
      </c>
      <c r="J339" s="25">
        <f t="array" ref="J339">SUM(IF("155"&amp;C339=KHC&amp;MH,TH))</f>
        <v>3351048</v>
      </c>
      <c r="K339" s="8">
        <f t="shared" si="45"/>
        <v>0</v>
      </c>
      <c r="L339" s="8">
        <f t="shared" si="46"/>
        <v>0</v>
      </c>
      <c r="M339" s="293"/>
    </row>
    <row r="340" spans="1:13" ht="19.5" hidden="1" customHeight="1">
      <c r="A340" s="293" t="str">
        <f t="shared" si="43"/>
        <v>TP</v>
      </c>
      <c r="B340" s="306">
        <f t="shared" si="44"/>
        <v>122</v>
      </c>
      <c r="C340" s="189" t="s">
        <v>749</v>
      </c>
      <c r="D340" s="305"/>
      <c r="E340" s="8"/>
      <c r="F340" s="8"/>
      <c r="G340" s="25">
        <f t="array" ref="G340">SUM(IF("155"&amp;C340=KHN&amp;MH,SL))</f>
        <v>306</v>
      </c>
      <c r="H340" s="25">
        <f t="array" ref="H340">SUM(IF("155"&amp;C340=KHN&amp;MH,TH))</f>
        <v>1744382</v>
      </c>
      <c r="I340" s="25">
        <f t="array" ref="I340">SUM(IF("155"&amp;C340=KHC&amp;MH,SL))</f>
        <v>306</v>
      </c>
      <c r="J340" s="25">
        <f t="array" ref="J340">SUM(IF("155"&amp;C340=KHC&amp;MH,TH))</f>
        <v>1744382</v>
      </c>
      <c r="K340" s="8">
        <f t="shared" si="45"/>
        <v>0</v>
      </c>
      <c r="L340" s="8">
        <f t="shared" si="46"/>
        <v>0</v>
      </c>
      <c r="M340" s="293"/>
    </row>
    <row r="341" spans="1:13" ht="19.5" hidden="1" customHeight="1">
      <c r="A341" s="293" t="str">
        <f t="shared" si="43"/>
        <v>TP</v>
      </c>
      <c r="B341" s="306">
        <f t="shared" si="44"/>
        <v>123</v>
      </c>
      <c r="C341" s="192" t="s">
        <v>869</v>
      </c>
      <c r="D341" s="305"/>
      <c r="E341" s="8"/>
      <c r="F341" s="8"/>
      <c r="G341" s="25">
        <f t="array" ref="G341">SUM(IF("155"&amp;C341=KHN&amp;MH,SL))</f>
        <v>1436</v>
      </c>
      <c r="H341" s="25">
        <f t="array" ref="H341">SUM(IF("155"&amp;C341=KHN&amp;MH,TH))</f>
        <v>13006360</v>
      </c>
      <c r="I341" s="25">
        <f t="array" ref="I341">SUM(IF("155"&amp;C341=KHC&amp;MH,SL))</f>
        <v>1436</v>
      </c>
      <c r="J341" s="25">
        <f t="array" ref="J341">SUM(IF("155"&amp;C341=KHC&amp;MH,TH))</f>
        <v>13006360</v>
      </c>
      <c r="K341" s="8">
        <f t="shared" si="45"/>
        <v>0</v>
      </c>
      <c r="L341" s="8">
        <f t="shared" si="46"/>
        <v>0</v>
      </c>
      <c r="M341" s="293"/>
    </row>
    <row r="342" spans="1:13" ht="19.5" hidden="1" customHeight="1">
      <c r="A342" s="293" t="str">
        <f t="shared" si="43"/>
        <v>TP</v>
      </c>
      <c r="B342" s="306">
        <f t="shared" si="44"/>
        <v>124</v>
      </c>
      <c r="C342" s="189" t="s">
        <v>971</v>
      </c>
      <c r="D342" s="305"/>
      <c r="E342" s="8"/>
      <c r="F342" s="8"/>
      <c r="G342" s="25">
        <f t="array" ref="G342">SUM(IF("155"&amp;C342=KHN&amp;MH,SL))</f>
        <v>59</v>
      </c>
      <c r="H342" s="25">
        <f t="array" ref="H342">SUM(IF("155"&amp;C342=KHN&amp;MH,TH))</f>
        <v>273886</v>
      </c>
      <c r="I342" s="25">
        <f t="array" ref="I342">SUM(IF("155"&amp;C342=KHC&amp;MH,SL))</f>
        <v>59</v>
      </c>
      <c r="J342" s="25">
        <f t="array" ref="J342">SUM(IF("155"&amp;C342=KHC&amp;MH,TH))</f>
        <v>273886</v>
      </c>
      <c r="K342" s="8">
        <f t="shared" si="45"/>
        <v>0</v>
      </c>
      <c r="L342" s="8">
        <f t="shared" si="46"/>
        <v>0</v>
      </c>
      <c r="M342" s="293"/>
    </row>
    <row r="343" spans="1:13" ht="19.5" hidden="1" customHeight="1">
      <c r="A343" s="293" t="str">
        <f t="shared" si="43"/>
        <v>TP</v>
      </c>
      <c r="B343" s="306">
        <f t="shared" si="44"/>
        <v>125</v>
      </c>
      <c r="C343" s="192" t="s">
        <v>918</v>
      </c>
      <c r="D343" s="305"/>
      <c r="E343" s="8"/>
      <c r="F343" s="8"/>
      <c r="G343" s="25">
        <f t="array" ref="G343">SUM(IF("155"&amp;C343=KHN&amp;MH,SL))</f>
        <v>142</v>
      </c>
      <c r="H343" s="25">
        <f t="array" ref="H343">SUM(IF("155"&amp;C343=KHN&amp;MH,TH))</f>
        <v>1286463</v>
      </c>
      <c r="I343" s="25">
        <f t="array" ref="I343">SUM(IF("155"&amp;C343=KHC&amp;MH,SL))</f>
        <v>142</v>
      </c>
      <c r="J343" s="25">
        <f t="array" ref="J343">SUM(IF("155"&amp;C343=KHC&amp;MH,TH))</f>
        <v>1286463</v>
      </c>
      <c r="K343" s="8">
        <f t="shared" si="45"/>
        <v>0</v>
      </c>
      <c r="L343" s="8">
        <f t="shared" si="46"/>
        <v>0</v>
      </c>
      <c r="M343" s="293"/>
    </row>
    <row r="344" spans="1:13" ht="19.5" hidden="1" customHeight="1">
      <c r="A344" s="293" t="str">
        <f t="shared" si="43"/>
        <v>TP</v>
      </c>
      <c r="B344" s="306">
        <f t="shared" si="44"/>
        <v>126</v>
      </c>
      <c r="C344" s="192" t="s">
        <v>795</v>
      </c>
      <c r="D344" s="305"/>
      <c r="E344" s="8"/>
      <c r="F344" s="8"/>
      <c r="G344" s="25">
        <f t="array" ref="G344">SUM(IF("155"&amp;C344=KHN&amp;MH,SL))</f>
        <v>600</v>
      </c>
      <c r="H344" s="25">
        <f t="array" ref="H344">SUM(IF("155"&amp;C344=KHN&amp;MH,TH))</f>
        <v>7333042</v>
      </c>
      <c r="I344" s="25">
        <f t="array" ref="I344">SUM(IF("155"&amp;C344=KHC&amp;MH,SL))</f>
        <v>600</v>
      </c>
      <c r="J344" s="25">
        <f t="array" ref="J344">SUM(IF("155"&amp;C344=KHC&amp;MH,TH))</f>
        <v>7333042</v>
      </c>
      <c r="K344" s="8">
        <f t="shared" si="45"/>
        <v>0</v>
      </c>
      <c r="L344" s="8">
        <f t="shared" si="46"/>
        <v>0</v>
      </c>
      <c r="M344" s="293"/>
    </row>
    <row r="345" spans="1:13" ht="19.5" hidden="1" customHeight="1">
      <c r="A345" s="293" t="str">
        <f t="shared" si="43"/>
        <v>TP</v>
      </c>
      <c r="B345" s="306">
        <f t="shared" si="44"/>
        <v>127</v>
      </c>
      <c r="C345" s="192" t="s">
        <v>1127</v>
      </c>
      <c r="D345" s="305"/>
      <c r="E345" s="8"/>
      <c r="F345" s="8"/>
      <c r="G345" s="25">
        <f t="array" ref="G345">SUM(IF("155"&amp;C345=KHN&amp;MH,SL))</f>
        <v>1015</v>
      </c>
      <c r="H345" s="25">
        <f t="array" ref="H345">SUM(IF("155"&amp;C345=KHN&amp;MH,TH))</f>
        <v>16155216</v>
      </c>
      <c r="I345" s="25">
        <f t="array" ref="I345">SUM(IF("155"&amp;C345=KHC&amp;MH,SL))</f>
        <v>1015</v>
      </c>
      <c r="J345" s="25">
        <f t="array" ref="J345">SUM(IF("155"&amp;C345=KHC&amp;MH,TH))</f>
        <v>16155216</v>
      </c>
      <c r="K345" s="8">
        <f t="shared" si="45"/>
        <v>0</v>
      </c>
      <c r="L345" s="8">
        <f t="shared" si="46"/>
        <v>0</v>
      </c>
      <c r="M345" s="293"/>
    </row>
    <row r="346" spans="1:13" ht="19.5" hidden="1" customHeight="1">
      <c r="A346" s="293" t="str">
        <f t="shared" si="43"/>
        <v>TP</v>
      </c>
      <c r="B346" s="306">
        <f t="shared" si="44"/>
        <v>128</v>
      </c>
      <c r="C346" s="192" t="s">
        <v>1134</v>
      </c>
      <c r="D346" s="305"/>
      <c r="E346" s="8"/>
      <c r="F346" s="8"/>
      <c r="G346" s="25">
        <f t="array" ref="G346">SUM(IF("155"&amp;C346=KHN&amp;MH,SL))</f>
        <v>157</v>
      </c>
      <c r="H346" s="25">
        <f t="array" ref="H346">SUM(IF("155"&amp;C346=KHN&amp;MH,TH))</f>
        <v>3141568</v>
      </c>
      <c r="I346" s="25">
        <f t="array" ref="I346">SUM(IF("155"&amp;C346=KHC&amp;MH,SL))</f>
        <v>157</v>
      </c>
      <c r="J346" s="25">
        <f t="array" ref="J346">SUM(IF("155"&amp;C346=KHC&amp;MH,TH))</f>
        <v>3141568</v>
      </c>
      <c r="K346" s="8">
        <f t="shared" si="45"/>
        <v>0</v>
      </c>
      <c r="L346" s="8">
        <f t="shared" si="46"/>
        <v>0</v>
      </c>
      <c r="M346" s="293"/>
    </row>
    <row r="347" spans="1:13" ht="19.5" hidden="1" customHeight="1">
      <c r="A347" s="293" t="str">
        <f t="shared" ref="A347:A378" si="47">IF(B347&lt;&gt;"","TP","")</f>
        <v>TP</v>
      </c>
      <c r="B347" s="306">
        <f t="shared" ref="B347:B378" si="48">IF(C347&lt;&gt;"",B346+1,"")</f>
        <v>129</v>
      </c>
      <c r="C347" s="192" t="s">
        <v>793</v>
      </c>
      <c r="D347" s="305"/>
      <c r="E347" s="8"/>
      <c r="F347" s="8"/>
      <c r="G347" s="25">
        <f t="array" ref="G347">SUM(IF("155"&amp;C347=KHN&amp;MH,SL))</f>
        <v>1000</v>
      </c>
      <c r="H347" s="25">
        <f t="array" ref="H347">SUM(IF("155"&amp;C347=KHN&amp;MH,TH))</f>
        <v>12403040</v>
      </c>
      <c r="I347" s="25">
        <f t="array" ref="I347">SUM(IF("155"&amp;C347=KHC&amp;MH,SL))</f>
        <v>1000</v>
      </c>
      <c r="J347" s="25">
        <f t="array" ref="J347">SUM(IF("155"&amp;C347=KHC&amp;MH,TH))</f>
        <v>12403040</v>
      </c>
      <c r="K347" s="8">
        <f t="shared" ref="K347:K379" si="49">E347+G347-I347</f>
        <v>0</v>
      </c>
      <c r="L347" s="8">
        <f t="shared" ref="L347:L379" si="50">F347+H347-J347</f>
        <v>0</v>
      </c>
      <c r="M347" s="293"/>
    </row>
    <row r="348" spans="1:13" ht="19.5" hidden="1" customHeight="1">
      <c r="A348" s="293" t="str">
        <f t="shared" si="47"/>
        <v>TP</v>
      </c>
      <c r="B348" s="306">
        <f t="shared" si="48"/>
        <v>130</v>
      </c>
      <c r="C348" s="192" t="s">
        <v>729</v>
      </c>
      <c r="D348" s="305"/>
      <c r="E348" s="8"/>
      <c r="F348" s="8"/>
      <c r="G348" s="25">
        <f t="array" ref="G348">SUM(IF("155"&amp;C348=KHN&amp;MH,SL))</f>
        <v>8255</v>
      </c>
      <c r="H348" s="25">
        <f t="array" ref="H348">SUM(IF("155"&amp;C348=KHN&amp;MH,TH))</f>
        <v>66598973</v>
      </c>
      <c r="I348" s="25">
        <f t="array" ref="I348">SUM(IF("155"&amp;C348=KHC&amp;MH,SL))</f>
        <v>8255</v>
      </c>
      <c r="J348" s="25">
        <f t="array" ref="J348">SUM(IF("155"&amp;C348=KHC&amp;MH,TH))</f>
        <v>66598973</v>
      </c>
      <c r="K348" s="8">
        <f t="shared" si="49"/>
        <v>0</v>
      </c>
      <c r="L348" s="8">
        <f t="shared" si="50"/>
        <v>0</v>
      </c>
      <c r="M348" s="293"/>
    </row>
    <row r="349" spans="1:13" ht="19.5" hidden="1" customHeight="1">
      <c r="A349" s="293" t="str">
        <f t="shared" si="47"/>
        <v>TP</v>
      </c>
      <c r="B349" s="306">
        <f t="shared" si="48"/>
        <v>131</v>
      </c>
      <c r="C349" s="189" t="s">
        <v>989</v>
      </c>
      <c r="D349" s="305"/>
      <c r="E349" s="8"/>
      <c r="F349" s="8"/>
      <c r="G349" s="25">
        <f t="array" ref="G349">SUM(IF("155"&amp;C349=KHN&amp;MH,SL))</f>
        <v>13</v>
      </c>
      <c r="H349" s="25">
        <f t="array" ref="H349">SUM(IF("155"&amp;C349=KHN&amp;MH,TH))</f>
        <v>311629</v>
      </c>
      <c r="I349" s="25">
        <f t="array" ref="I349">SUM(IF("155"&amp;C349=KHC&amp;MH,SL))</f>
        <v>13</v>
      </c>
      <c r="J349" s="25">
        <f t="array" ref="J349">SUM(IF("155"&amp;C349=KHC&amp;MH,TH))</f>
        <v>311629</v>
      </c>
      <c r="K349" s="8">
        <f t="shared" si="49"/>
        <v>0</v>
      </c>
      <c r="L349" s="8">
        <f t="shared" si="50"/>
        <v>0</v>
      </c>
      <c r="M349" s="293"/>
    </row>
    <row r="350" spans="1:13" ht="19.5" hidden="1" customHeight="1">
      <c r="A350" s="293" t="str">
        <f t="shared" si="47"/>
        <v>TP</v>
      </c>
      <c r="B350" s="306">
        <f t="shared" si="48"/>
        <v>132</v>
      </c>
      <c r="C350" s="192" t="s">
        <v>769</v>
      </c>
      <c r="D350" s="305"/>
      <c r="E350" s="8"/>
      <c r="F350" s="8"/>
      <c r="G350" s="25">
        <f t="array" ref="G350">SUM(IF("155"&amp;C350=KHN&amp;MH,SL))</f>
        <v>617</v>
      </c>
      <c r="H350" s="25">
        <f t="array" ref="H350">SUM(IF("155"&amp;C350=KHN&amp;MH,TH))</f>
        <v>6011041</v>
      </c>
      <c r="I350" s="25">
        <f t="array" ref="I350">SUM(IF("155"&amp;C350=KHC&amp;MH,SL))</f>
        <v>617</v>
      </c>
      <c r="J350" s="25">
        <f t="array" ref="J350">SUM(IF("155"&amp;C350=KHC&amp;MH,TH))</f>
        <v>6011041</v>
      </c>
      <c r="K350" s="8">
        <f t="shared" si="49"/>
        <v>0</v>
      </c>
      <c r="L350" s="8">
        <f t="shared" si="50"/>
        <v>0</v>
      </c>
      <c r="M350" s="293"/>
    </row>
    <row r="351" spans="1:13" ht="19.5" hidden="1" customHeight="1">
      <c r="A351" s="293" t="str">
        <f t="shared" si="47"/>
        <v>TP</v>
      </c>
      <c r="B351" s="306">
        <f t="shared" si="48"/>
        <v>133</v>
      </c>
      <c r="C351" s="192" t="s">
        <v>1007</v>
      </c>
      <c r="D351" s="305"/>
      <c r="E351" s="8"/>
      <c r="F351" s="8"/>
      <c r="G351" s="25">
        <f t="array" ref="G351">SUM(IF("155"&amp;C351=KHN&amp;MH,SL))</f>
        <v>460</v>
      </c>
      <c r="H351" s="25">
        <f t="array" ref="H351">SUM(IF("155"&amp;C351=KHN&amp;MH,TH))</f>
        <v>6304388</v>
      </c>
      <c r="I351" s="25">
        <f t="array" ref="I351">SUM(IF("155"&amp;C351=KHC&amp;MH,SL))</f>
        <v>460</v>
      </c>
      <c r="J351" s="25">
        <f t="array" ref="J351">SUM(IF("155"&amp;C351=KHC&amp;MH,TH))</f>
        <v>6304388</v>
      </c>
      <c r="K351" s="8">
        <f t="shared" si="49"/>
        <v>0</v>
      </c>
      <c r="L351" s="8">
        <f t="shared" si="50"/>
        <v>0</v>
      </c>
      <c r="M351" s="293"/>
    </row>
    <row r="352" spans="1:13" ht="19.5" hidden="1" customHeight="1">
      <c r="A352" s="293" t="str">
        <f t="shared" si="47"/>
        <v>TP</v>
      </c>
      <c r="B352" s="306">
        <f t="shared" si="48"/>
        <v>134</v>
      </c>
      <c r="C352" s="192" t="s">
        <v>845</v>
      </c>
      <c r="D352" s="305"/>
      <c r="E352" s="8"/>
      <c r="F352" s="8"/>
      <c r="G352" s="25">
        <f t="array" ref="G352">SUM(IF("155"&amp;C352=KHN&amp;MH,SL))</f>
        <v>644</v>
      </c>
      <c r="H352" s="25">
        <f t="array" ref="H352">SUM(IF("155"&amp;C352=KHN&amp;MH,TH))</f>
        <v>11861840</v>
      </c>
      <c r="I352" s="25">
        <f t="array" ref="I352">SUM(IF("155"&amp;C352=KHC&amp;MH,SL))</f>
        <v>644</v>
      </c>
      <c r="J352" s="25">
        <f t="array" ref="J352">SUM(IF("155"&amp;C352=KHC&amp;MH,TH))</f>
        <v>11861840</v>
      </c>
      <c r="K352" s="8">
        <f t="shared" si="49"/>
        <v>0</v>
      </c>
      <c r="L352" s="8">
        <f t="shared" si="50"/>
        <v>0</v>
      </c>
      <c r="M352" s="293"/>
    </row>
    <row r="353" spans="1:13" ht="19.5" hidden="1" customHeight="1">
      <c r="A353" s="293" t="str">
        <f t="shared" si="47"/>
        <v>TP</v>
      </c>
      <c r="B353" s="306">
        <f t="shared" si="48"/>
        <v>135</v>
      </c>
      <c r="C353" s="189" t="s">
        <v>972</v>
      </c>
      <c r="D353" s="305"/>
      <c r="E353" s="8"/>
      <c r="F353" s="8"/>
      <c r="G353" s="25">
        <f t="array" ref="G353">SUM(IF("155"&amp;C353=KHN&amp;MH,SL))</f>
        <v>80</v>
      </c>
      <c r="H353" s="25">
        <f t="array" ref="H353">SUM(IF("155"&amp;C353=KHN&amp;MH,TH))</f>
        <v>518379</v>
      </c>
      <c r="I353" s="25">
        <f t="array" ref="I353">SUM(IF("155"&amp;C353=KHC&amp;MH,SL))</f>
        <v>80</v>
      </c>
      <c r="J353" s="25">
        <f t="array" ref="J353">SUM(IF("155"&amp;C353=KHC&amp;MH,TH))</f>
        <v>518379</v>
      </c>
      <c r="K353" s="8">
        <f t="shared" si="49"/>
        <v>0</v>
      </c>
      <c r="L353" s="8">
        <f t="shared" si="50"/>
        <v>0</v>
      </c>
      <c r="M353" s="293"/>
    </row>
    <row r="354" spans="1:13" ht="19.5" hidden="1" customHeight="1">
      <c r="A354" s="293" t="str">
        <f t="shared" si="47"/>
        <v>TP</v>
      </c>
      <c r="B354" s="306">
        <f t="shared" si="48"/>
        <v>136</v>
      </c>
      <c r="C354" s="192" t="s">
        <v>815</v>
      </c>
      <c r="D354" s="305"/>
      <c r="E354" s="8"/>
      <c r="F354" s="8"/>
      <c r="G354" s="25">
        <f t="array" ref="G354">SUM(IF("155"&amp;C354=KHN&amp;MH,SL))</f>
        <v>1933</v>
      </c>
      <c r="H354" s="25">
        <f t="array" ref="H354">SUM(IF("155"&amp;C354=KHN&amp;MH,TH))</f>
        <v>32796290</v>
      </c>
      <c r="I354" s="25">
        <f t="array" ref="I354">SUM(IF("155"&amp;C354=KHC&amp;MH,SL))</f>
        <v>1933</v>
      </c>
      <c r="J354" s="25">
        <f t="array" ref="J354">SUM(IF("155"&amp;C354=KHC&amp;MH,TH))</f>
        <v>32796290</v>
      </c>
      <c r="K354" s="8">
        <f t="shared" si="49"/>
        <v>0</v>
      </c>
      <c r="L354" s="8">
        <f t="shared" si="50"/>
        <v>0</v>
      </c>
      <c r="M354" s="293"/>
    </row>
    <row r="355" spans="1:13" ht="19.5" hidden="1" customHeight="1">
      <c r="A355" s="293" t="str">
        <f t="shared" si="47"/>
        <v>TP</v>
      </c>
      <c r="B355" s="306">
        <f t="shared" si="48"/>
        <v>137</v>
      </c>
      <c r="C355" s="192" t="s">
        <v>778</v>
      </c>
      <c r="D355" s="305"/>
      <c r="E355" s="8"/>
      <c r="F355" s="8"/>
      <c r="G355" s="25">
        <f t="array" ref="G355">SUM(IF("155"&amp;C355=KHN&amp;MH,SL))</f>
        <v>513</v>
      </c>
      <c r="H355" s="25">
        <f t="array" ref="H355">SUM(IF("155"&amp;C355=KHN&amp;MH,TH))</f>
        <v>8585750</v>
      </c>
      <c r="I355" s="25">
        <f t="array" ref="I355">SUM(IF("155"&amp;C355=KHC&amp;MH,SL))</f>
        <v>513</v>
      </c>
      <c r="J355" s="25">
        <f t="array" ref="J355">SUM(IF("155"&amp;C355=KHC&amp;MH,TH))</f>
        <v>8585750</v>
      </c>
      <c r="K355" s="8">
        <f t="shared" si="49"/>
        <v>0</v>
      </c>
      <c r="L355" s="8">
        <f t="shared" si="50"/>
        <v>0</v>
      </c>
      <c r="M355" s="293"/>
    </row>
    <row r="356" spans="1:13" ht="19.5" hidden="1" customHeight="1">
      <c r="A356" s="293" t="str">
        <f t="shared" si="47"/>
        <v>TP</v>
      </c>
      <c r="B356" s="306">
        <f t="shared" si="48"/>
        <v>138</v>
      </c>
      <c r="C356" s="192" t="s">
        <v>725</v>
      </c>
      <c r="D356" s="305"/>
      <c r="E356" s="8"/>
      <c r="F356" s="8"/>
      <c r="G356" s="25">
        <f t="array" ref="G356">SUM(IF("155"&amp;C356=KHN&amp;MH,SL))</f>
        <v>480</v>
      </c>
      <c r="H356" s="25">
        <f t="array" ref="H356">SUM(IF("155"&amp;C356=KHN&amp;MH,TH))</f>
        <v>5208895</v>
      </c>
      <c r="I356" s="25">
        <f t="array" ref="I356">SUM(IF("155"&amp;C356=KHC&amp;MH,SL))</f>
        <v>480</v>
      </c>
      <c r="J356" s="25">
        <f t="array" ref="J356">SUM(IF("155"&amp;C356=KHC&amp;MH,TH))</f>
        <v>5208895</v>
      </c>
      <c r="K356" s="8">
        <f t="shared" si="49"/>
        <v>0</v>
      </c>
      <c r="L356" s="8">
        <f t="shared" si="50"/>
        <v>0</v>
      </c>
      <c r="M356" s="293"/>
    </row>
    <row r="357" spans="1:13" ht="19.5" hidden="1" customHeight="1">
      <c r="A357" s="293" t="str">
        <f t="shared" si="47"/>
        <v>TP</v>
      </c>
      <c r="B357" s="306">
        <f t="shared" si="48"/>
        <v>139</v>
      </c>
      <c r="C357" s="192" t="s">
        <v>874</v>
      </c>
      <c r="D357" s="305"/>
      <c r="E357" s="8"/>
      <c r="F357" s="8"/>
      <c r="G357" s="25">
        <f t="array" ref="G357">SUM(IF("155"&amp;C357=KHN&amp;MH,SL))</f>
        <v>2538</v>
      </c>
      <c r="H357" s="25">
        <f t="array" ref="H357">SUM(IF("155"&amp;C357=KHN&amp;MH,TH))</f>
        <v>28750071</v>
      </c>
      <c r="I357" s="25">
        <f t="array" ref="I357">SUM(IF("155"&amp;C357=KHC&amp;MH,SL))</f>
        <v>2538</v>
      </c>
      <c r="J357" s="25">
        <f t="array" ref="J357">SUM(IF("155"&amp;C357=KHC&amp;MH,TH))</f>
        <v>28750071</v>
      </c>
      <c r="K357" s="8">
        <f t="shared" si="49"/>
        <v>0</v>
      </c>
      <c r="L357" s="8">
        <f t="shared" si="50"/>
        <v>0</v>
      </c>
      <c r="M357" s="293"/>
    </row>
    <row r="358" spans="1:13" ht="19.5" hidden="1" customHeight="1">
      <c r="A358" s="293" t="str">
        <f t="shared" si="47"/>
        <v>TP</v>
      </c>
      <c r="B358" s="306">
        <f t="shared" si="48"/>
        <v>140</v>
      </c>
      <c r="C358" s="192" t="s">
        <v>859</v>
      </c>
      <c r="D358" s="305"/>
      <c r="E358" s="8"/>
      <c r="F358" s="8"/>
      <c r="G358" s="25">
        <f t="array" ref="G358">SUM(IF("155"&amp;C358=KHN&amp;MH,SL))</f>
        <v>2475</v>
      </c>
      <c r="H358" s="25">
        <f t="array" ref="H358">SUM(IF("155"&amp;C358=KHN&amp;MH,TH))</f>
        <v>46949202</v>
      </c>
      <c r="I358" s="25">
        <f t="array" ref="I358">SUM(IF("155"&amp;C358=KHC&amp;MH,SL))</f>
        <v>2475</v>
      </c>
      <c r="J358" s="25">
        <f t="array" ref="J358">SUM(IF("155"&amp;C358=KHC&amp;MH,TH))</f>
        <v>46949202</v>
      </c>
      <c r="K358" s="8">
        <f t="shared" si="49"/>
        <v>0</v>
      </c>
      <c r="L358" s="8">
        <f t="shared" si="50"/>
        <v>0</v>
      </c>
      <c r="M358" s="293"/>
    </row>
    <row r="359" spans="1:13" ht="19.5" hidden="1" customHeight="1">
      <c r="A359" s="293" t="str">
        <f t="shared" si="47"/>
        <v>TP</v>
      </c>
      <c r="B359" s="306">
        <f t="shared" si="48"/>
        <v>141</v>
      </c>
      <c r="C359" s="192" t="s">
        <v>926</v>
      </c>
      <c r="D359" s="305"/>
      <c r="E359" s="8"/>
      <c r="F359" s="8"/>
      <c r="G359" s="25">
        <f t="array" ref="G359">SUM(IF("155"&amp;C359=KHN&amp;MH,SL))</f>
        <v>102</v>
      </c>
      <c r="H359" s="25">
        <f t="array" ref="H359">SUM(IF("155"&amp;C359=KHN&amp;MH,TH))</f>
        <v>1415719</v>
      </c>
      <c r="I359" s="25">
        <f t="array" ref="I359">SUM(IF("155"&amp;C359=KHC&amp;MH,SL))</f>
        <v>102</v>
      </c>
      <c r="J359" s="25">
        <f t="array" ref="J359">SUM(IF("155"&amp;C359=KHC&amp;MH,TH))</f>
        <v>1415719</v>
      </c>
      <c r="K359" s="8">
        <f t="shared" si="49"/>
        <v>0</v>
      </c>
      <c r="L359" s="8">
        <f t="shared" si="50"/>
        <v>0</v>
      </c>
      <c r="M359" s="293"/>
    </row>
    <row r="360" spans="1:13" ht="19.5" hidden="1" customHeight="1">
      <c r="A360" s="293" t="str">
        <f t="shared" si="47"/>
        <v>TP</v>
      </c>
      <c r="B360" s="306">
        <f t="shared" si="48"/>
        <v>142</v>
      </c>
      <c r="C360" s="192" t="s">
        <v>851</v>
      </c>
      <c r="D360" s="305"/>
      <c r="E360" s="8"/>
      <c r="F360" s="8"/>
      <c r="G360" s="25">
        <f t="array" ref="G360">SUM(IF("155"&amp;C360=KHN&amp;MH,SL))</f>
        <v>494</v>
      </c>
      <c r="H360" s="25">
        <f t="array" ref="H360">SUM(IF("155"&amp;C360=KHN&amp;MH,TH))</f>
        <v>8423182</v>
      </c>
      <c r="I360" s="25">
        <f t="array" ref="I360">SUM(IF("155"&amp;C360=KHC&amp;MH,SL))</f>
        <v>494</v>
      </c>
      <c r="J360" s="25">
        <f t="array" ref="J360">SUM(IF("155"&amp;C360=KHC&amp;MH,TH))</f>
        <v>8423182</v>
      </c>
      <c r="K360" s="8">
        <f t="shared" si="49"/>
        <v>0</v>
      </c>
      <c r="L360" s="8">
        <f t="shared" si="50"/>
        <v>0</v>
      </c>
      <c r="M360" s="293"/>
    </row>
    <row r="361" spans="1:13" ht="19.5" hidden="1" customHeight="1">
      <c r="A361" s="293" t="str">
        <f t="shared" si="47"/>
        <v>TP</v>
      </c>
      <c r="B361" s="306">
        <f t="shared" si="48"/>
        <v>143</v>
      </c>
      <c r="C361" s="189" t="s">
        <v>745</v>
      </c>
      <c r="D361" s="305"/>
      <c r="E361" s="8"/>
      <c r="F361" s="8"/>
      <c r="G361" s="25">
        <f t="array" ref="G361">SUM(IF("155"&amp;C361=KHN&amp;MH,SL))</f>
        <v>113</v>
      </c>
      <c r="H361" s="25">
        <f t="array" ref="H361">SUM(IF("155"&amp;C361=KHN&amp;MH,TH))</f>
        <v>2996569</v>
      </c>
      <c r="I361" s="25">
        <f t="array" ref="I361">SUM(IF("155"&amp;C361=KHC&amp;MH,SL))</f>
        <v>113</v>
      </c>
      <c r="J361" s="25">
        <f t="array" ref="J361">SUM(IF("155"&amp;C361=KHC&amp;MH,TH))</f>
        <v>2996569</v>
      </c>
      <c r="K361" s="8">
        <f t="shared" si="49"/>
        <v>0</v>
      </c>
      <c r="L361" s="8">
        <f t="shared" si="50"/>
        <v>0</v>
      </c>
      <c r="M361" s="293"/>
    </row>
    <row r="362" spans="1:13" ht="19.5" hidden="1" customHeight="1">
      <c r="A362" s="293" t="str">
        <f t="shared" si="47"/>
        <v>TP</v>
      </c>
      <c r="B362" s="306">
        <f t="shared" si="48"/>
        <v>144</v>
      </c>
      <c r="C362" s="189" t="s">
        <v>975</v>
      </c>
      <c r="D362" s="305"/>
      <c r="E362" s="8"/>
      <c r="F362" s="8"/>
      <c r="G362" s="25">
        <f t="array" ref="G362">SUM(IF("155"&amp;C362=KHN&amp;MH,SL))</f>
        <v>8</v>
      </c>
      <c r="H362" s="25">
        <f t="array" ref="H362">SUM(IF("155"&amp;C362=KHN&amp;MH,TH))</f>
        <v>74628</v>
      </c>
      <c r="I362" s="25">
        <f t="array" ref="I362">SUM(IF("155"&amp;C362=KHC&amp;MH,SL))</f>
        <v>8</v>
      </c>
      <c r="J362" s="25">
        <f t="array" ref="J362">SUM(IF("155"&amp;C362=KHC&amp;MH,TH))</f>
        <v>74628</v>
      </c>
      <c r="K362" s="8">
        <f t="shared" si="49"/>
        <v>0</v>
      </c>
      <c r="L362" s="8">
        <f t="shared" si="50"/>
        <v>0</v>
      </c>
      <c r="M362" s="293"/>
    </row>
    <row r="363" spans="1:13" ht="19.5" hidden="1" customHeight="1">
      <c r="A363" s="293" t="str">
        <f t="shared" si="47"/>
        <v>TP</v>
      </c>
      <c r="B363" s="306">
        <f t="shared" si="48"/>
        <v>145</v>
      </c>
      <c r="C363" s="189" t="s">
        <v>976</v>
      </c>
      <c r="D363" s="305"/>
      <c r="E363" s="8"/>
      <c r="F363" s="8"/>
      <c r="G363" s="25">
        <f t="array" ref="G363">SUM(IF("155"&amp;C363=KHN&amp;MH,SL))</f>
        <v>10</v>
      </c>
      <c r="H363" s="25">
        <f t="array" ref="H363">SUM(IF("155"&amp;C363=KHN&amp;MH,TH))</f>
        <v>108985</v>
      </c>
      <c r="I363" s="25">
        <f t="array" ref="I363">SUM(IF("155"&amp;C363=KHC&amp;MH,SL))</f>
        <v>10</v>
      </c>
      <c r="J363" s="25">
        <f t="array" ref="J363">SUM(IF("155"&amp;C363=KHC&amp;MH,TH))</f>
        <v>108985</v>
      </c>
      <c r="K363" s="8">
        <f t="shared" si="49"/>
        <v>0</v>
      </c>
      <c r="L363" s="8">
        <f t="shared" si="50"/>
        <v>0</v>
      </c>
      <c r="M363" s="293"/>
    </row>
    <row r="364" spans="1:13" ht="19.5" hidden="1" customHeight="1">
      <c r="A364" s="293" t="str">
        <f t="shared" si="47"/>
        <v>TP</v>
      </c>
      <c r="B364" s="306">
        <f t="shared" si="48"/>
        <v>146</v>
      </c>
      <c r="C364" s="192" t="s">
        <v>842</v>
      </c>
      <c r="D364" s="305"/>
      <c r="E364" s="8"/>
      <c r="F364" s="8"/>
      <c r="G364" s="25">
        <f t="array" ref="G364">SUM(IF("155"&amp;C364=KHN&amp;MH,SL))</f>
        <v>341</v>
      </c>
      <c r="H364" s="25">
        <f t="array" ref="H364">SUM(IF("155"&amp;C364=KHN&amp;MH,TH))</f>
        <v>3446317</v>
      </c>
      <c r="I364" s="25">
        <f t="array" ref="I364">SUM(IF("155"&amp;C364=KHC&amp;MH,SL))</f>
        <v>341</v>
      </c>
      <c r="J364" s="25">
        <f t="array" ref="J364">SUM(IF("155"&amp;C364=KHC&amp;MH,TH))</f>
        <v>3446317</v>
      </c>
      <c r="K364" s="8">
        <f t="shared" si="49"/>
        <v>0</v>
      </c>
      <c r="L364" s="8">
        <f t="shared" si="50"/>
        <v>0</v>
      </c>
      <c r="M364" s="293"/>
    </row>
    <row r="365" spans="1:13" ht="19.5" hidden="1" customHeight="1">
      <c r="A365" s="293" t="str">
        <f t="shared" si="47"/>
        <v>TP</v>
      </c>
      <c r="B365" s="306">
        <f t="shared" si="48"/>
        <v>147</v>
      </c>
      <c r="C365" s="189" t="s">
        <v>977</v>
      </c>
      <c r="D365" s="305"/>
      <c r="E365" s="8"/>
      <c r="F365" s="8"/>
      <c r="G365" s="25">
        <f t="array" ref="G365">SUM(IF("155"&amp;C365=KHN&amp;MH,SL))</f>
        <v>10</v>
      </c>
      <c r="H365" s="25">
        <f t="array" ref="H365">SUM(IF("155"&amp;C365=KHN&amp;MH,TH))</f>
        <v>153090</v>
      </c>
      <c r="I365" s="25">
        <f t="array" ref="I365">SUM(IF("155"&amp;C365=KHC&amp;MH,SL))</f>
        <v>10</v>
      </c>
      <c r="J365" s="25">
        <f t="array" ref="J365">SUM(IF("155"&amp;C365=KHC&amp;MH,TH))</f>
        <v>153090</v>
      </c>
      <c r="K365" s="8">
        <f t="shared" si="49"/>
        <v>0</v>
      </c>
      <c r="L365" s="8">
        <f t="shared" si="50"/>
        <v>0</v>
      </c>
      <c r="M365" s="293"/>
    </row>
    <row r="366" spans="1:13" ht="19.5" hidden="1" customHeight="1">
      <c r="A366" s="293" t="str">
        <f t="shared" si="47"/>
        <v>TP</v>
      </c>
      <c r="B366" s="306">
        <f t="shared" si="48"/>
        <v>148</v>
      </c>
      <c r="C366" s="192" t="s">
        <v>849</v>
      </c>
      <c r="D366" s="305"/>
      <c r="E366" s="8"/>
      <c r="F366" s="8"/>
      <c r="G366" s="25">
        <f t="array" ref="G366">SUM(IF("155"&amp;C366=KHN&amp;MH,SL))</f>
        <v>222</v>
      </c>
      <c r="H366" s="25">
        <f t="array" ref="H366">SUM(IF("155"&amp;C366=KHN&amp;MH,TH))</f>
        <v>3221050</v>
      </c>
      <c r="I366" s="25">
        <f t="array" ref="I366">SUM(IF("155"&amp;C366=KHC&amp;MH,SL))</f>
        <v>222</v>
      </c>
      <c r="J366" s="25">
        <f t="array" ref="J366">SUM(IF("155"&amp;C366=KHC&amp;MH,TH))</f>
        <v>3221050</v>
      </c>
      <c r="K366" s="8">
        <f t="shared" si="49"/>
        <v>0</v>
      </c>
      <c r="L366" s="8">
        <f t="shared" si="50"/>
        <v>0</v>
      </c>
      <c r="M366" s="293"/>
    </row>
    <row r="367" spans="1:13" ht="19.5" hidden="1" customHeight="1">
      <c r="A367" s="293" t="str">
        <f t="shared" si="47"/>
        <v>TP</v>
      </c>
      <c r="B367" s="306">
        <f t="shared" si="48"/>
        <v>149</v>
      </c>
      <c r="C367" s="189" t="s">
        <v>742</v>
      </c>
      <c r="D367" s="305"/>
      <c r="E367" s="8"/>
      <c r="F367" s="8"/>
      <c r="G367" s="25">
        <f t="array" ref="G367">SUM(IF("155"&amp;C367=KHN&amp;MH,SL))</f>
        <v>1292</v>
      </c>
      <c r="H367" s="25">
        <f t="array" ref="H367">SUM(IF("155"&amp;C367=KHN&amp;MH,TH))</f>
        <v>29223294</v>
      </c>
      <c r="I367" s="25">
        <f t="array" ref="I367">SUM(IF("155"&amp;C367=KHC&amp;MH,SL))</f>
        <v>1292</v>
      </c>
      <c r="J367" s="25">
        <f t="array" ref="J367">SUM(IF("155"&amp;C367=KHC&amp;MH,TH))</f>
        <v>29223294</v>
      </c>
      <c r="K367" s="8">
        <f t="shared" si="49"/>
        <v>0</v>
      </c>
      <c r="L367" s="8">
        <f t="shared" si="50"/>
        <v>0</v>
      </c>
      <c r="M367" s="293"/>
    </row>
    <row r="368" spans="1:13" ht="19.5" hidden="1" customHeight="1">
      <c r="A368" s="293" t="str">
        <f t="shared" si="47"/>
        <v>TP</v>
      </c>
      <c r="B368" s="306">
        <f t="shared" si="48"/>
        <v>150</v>
      </c>
      <c r="C368" s="192" t="s">
        <v>1008</v>
      </c>
      <c r="D368" s="305"/>
      <c r="E368" s="8"/>
      <c r="F368" s="8"/>
      <c r="G368" s="25">
        <f t="array" ref="G368">SUM(IF("155"&amp;C368=KHN&amp;MH,SL))</f>
        <v>750</v>
      </c>
      <c r="H368" s="25">
        <f t="array" ref="H368">SUM(IF("155"&amp;C368=KHN&amp;MH,TH))</f>
        <v>9109150</v>
      </c>
      <c r="I368" s="25">
        <f t="array" ref="I368">SUM(IF("155"&amp;C368=KHC&amp;MH,SL))</f>
        <v>750</v>
      </c>
      <c r="J368" s="25">
        <f t="array" ref="J368">SUM(IF("155"&amp;C368=KHC&amp;MH,TH))</f>
        <v>9109150</v>
      </c>
      <c r="K368" s="8">
        <f t="shared" si="49"/>
        <v>0</v>
      </c>
      <c r="L368" s="8">
        <f t="shared" si="50"/>
        <v>0</v>
      </c>
      <c r="M368" s="293"/>
    </row>
    <row r="369" spans="1:13" ht="19.5" hidden="1" customHeight="1">
      <c r="A369" s="293" t="str">
        <f t="shared" si="47"/>
        <v>TP</v>
      </c>
      <c r="B369" s="306">
        <f t="shared" si="48"/>
        <v>151</v>
      </c>
      <c r="C369" s="192" t="s">
        <v>762</v>
      </c>
      <c r="D369" s="305"/>
      <c r="E369" s="8"/>
      <c r="F369" s="8"/>
      <c r="G369" s="25">
        <f t="array" ref="G369">SUM(IF("155"&amp;C369=KHN&amp;MH,SL))</f>
        <v>466</v>
      </c>
      <c r="H369" s="25">
        <f t="array" ref="H369">SUM(IF("155"&amp;C369=KHN&amp;MH,TH))</f>
        <v>9979910</v>
      </c>
      <c r="I369" s="25">
        <f t="array" ref="I369">SUM(IF("155"&amp;C369=KHC&amp;MH,SL))</f>
        <v>466</v>
      </c>
      <c r="J369" s="25">
        <f t="array" ref="J369">SUM(IF("155"&amp;C369=KHC&amp;MH,TH))</f>
        <v>9979910</v>
      </c>
      <c r="K369" s="8">
        <f t="shared" si="49"/>
        <v>0</v>
      </c>
      <c r="L369" s="8">
        <f t="shared" si="50"/>
        <v>0</v>
      </c>
      <c r="M369" s="293"/>
    </row>
    <row r="370" spans="1:13" ht="19.5" hidden="1" customHeight="1">
      <c r="A370" s="293" t="str">
        <f t="shared" si="47"/>
        <v>TP</v>
      </c>
      <c r="B370" s="306">
        <f t="shared" si="48"/>
        <v>152</v>
      </c>
      <c r="C370" s="192" t="s">
        <v>773</v>
      </c>
      <c r="D370" s="305"/>
      <c r="E370" s="8"/>
      <c r="F370" s="8"/>
      <c r="G370" s="25">
        <f t="array" ref="G370">SUM(IF("155"&amp;C370=KHN&amp;MH,SL))</f>
        <v>512</v>
      </c>
      <c r="H370" s="25">
        <f t="array" ref="H370">SUM(IF("155"&amp;C370=KHN&amp;MH,TH))</f>
        <v>11260128</v>
      </c>
      <c r="I370" s="25">
        <f t="array" ref="I370">SUM(IF("155"&amp;C370=KHC&amp;MH,SL))</f>
        <v>512</v>
      </c>
      <c r="J370" s="25">
        <f t="array" ref="J370">SUM(IF("155"&amp;C370=KHC&amp;MH,TH))</f>
        <v>11260128</v>
      </c>
      <c r="K370" s="8">
        <f t="shared" si="49"/>
        <v>0</v>
      </c>
      <c r="L370" s="8">
        <f t="shared" si="50"/>
        <v>0</v>
      </c>
      <c r="M370" s="293"/>
    </row>
    <row r="371" spans="1:13" ht="19.5" hidden="1" customHeight="1">
      <c r="A371" s="293" t="str">
        <f t="shared" si="47"/>
        <v>TP</v>
      </c>
      <c r="B371" s="306">
        <f t="shared" si="48"/>
        <v>153</v>
      </c>
      <c r="C371" s="192" t="s">
        <v>776</v>
      </c>
      <c r="D371" s="305"/>
      <c r="E371" s="8"/>
      <c r="F371" s="8"/>
      <c r="G371" s="25">
        <f t="array" ref="G371">SUM(IF("155"&amp;C371=KHN&amp;MH,SL))</f>
        <v>165</v>
      </c>
      <c r="H371" s="25">
        <f t="array" ref="H371">SUM(IF("155"&amp;C371=KHN&amp;MH,TH))</f>
        <v>4099145</v>
      </c>
      <c r="I371" s="25">
        <f t="array" ref="I371">SUM(IF("155"&amp;C371=KHC&amp;MH,SL))</f>
        <v>165</v>
      </c>
      <c r="J371" s="25">
        <f t="array" ref="J371">SUM(IF("155"&amp;C371=KHC&amp;MH,TH))</f>
        <v>4099145</v>
      </c>
      <c r="K371" s="8">
        <f t="shared" si="49"/>
        <v>0</v>
      </c>
      <c r="L371" s="8">
        <f t="shared" si="50"/>
        <v>0</v>
      </c>
      <c r="M371" s="293"/>
    </row>
    <row r="372" spans="1:13" ht="19.5" hidden="1" customHeight="1">
      <c r="A372" s="293" t="str">
        <f t="shared" si="47"/>
        <v>TP</v>
      </c>
      <c r="B372" s="306">
        <f t="shared" si="48"/>
        <v>154</v>
      </c>
      <c r="C372" s="189" t="s">
        <v>974</v>
      </c>
      <c r="D372" s="305"/>
      <c r="E372" s="8"/>
      <c r="F372" s="8"/>
      <c r="G372" s="25">
        <f t="array" ref="G372">SUM(IF("155"&amp;C372=KHN&amp;MH,SL))</f>
        <v>21</v>
      </c>
      <c r="H372" s="25">
        <f t="array" ref="H372">SUM(IF("155"&amp;C372=KHN&amp;MH,TH))</f>
        <v>227293</v>
      </c>
      <c r="I372" s="25">
        <f t="array" ref="I372">SUM(IF("155"&amp;C372=KHC&amp;MH,SL))</f>
        <v>21</v>
      </c>
      <c r="J372" s="25">
        <f t="array" ref="J372">SUM(IF("155"&amp;C372=KHC&amp;MH,TH))</f>
        <v>227293</v>
      </c>
      <c r="K372" s="8">
        <f t="shared" si="49"/>
        <v>0</v>
      </c>
      <c r="L372" s="8">
        <f t="shared" si="50"/>
        <v>0</v>
      </c>
      <c r="M372" s="293"/>
    </row>
    <row r="373" spans="1:13" ht="19.5" hidden="1" customHeight="1">
      <c r="A373" s="293" t="str">
        <f t="shared" si="47"/>
        <v>TP</v>
      </c>
      <c r="B373" s="306">
        <f t="shared" si="48"/>
        <v>155</v>
      </c>
      <c r="C373" s="192" t="s">
        <v>867</v>
      </c>
      <c r="D373" s="305"/>
      <c r="E373" s="8"/>
      <c r="F373" s="8"/>
      <c r="G373" s="25">
        <f t="array" ref="G373">SUM(IF("155"&amp;C373=KHN&amp;MH,SL))</f>
        <v>115</v>
      </c>
      <c r="H373" s="25">
        <f t="array" ref="H373">SUM(IF("155"&amp;C373=KHN&amp;MH,TH))</f>
        <v>2376436</v>
      </c>
      <c r="I373" s="25">
        <f t="array" ref="I373">SUM(IF("155"&amp;C373=KHC&amp;MH,SL))</f>
        <v>115</v>
      </c>
      <c r="J373" s="25">
        <f t="array" ref="J373">SUM(IF("155"&amp;C373=KHC&amp;MH,TH))</f>
        <v>2376436</v>
      </c>
      <c r="K373" s="8">
        <f t="shared" si="49"/>
        <v>0</v>
      </c>
      <c r="L373" s="8">
        <f t="shared" si="50"/>
        <v>0</v>
      </c>
      <c r="M373" s="293"/>
    </row>
    <row r="374" spans="1:13" ht="19.5" hidden="1" customHeight="1">
      <c r="A374" s="293" t="str">
        <f t="shared" si="47"/>
        <v>TP</v>
      </c>
      <c r="B374" s="306">
        <f t="shared" si="48"/>
        <v>156</v>
      </c>
      <c r="C374" s="192" t="s">
        <v>841</v>
      </c>
      <c r="D374" s="305"/>
      <c r="E374" s="8"/>
      <c r="F374" s="8"/>
      <c r="G374" s="25">
        <f t="array" ref="G374">SUM(IF("155"&amp;C374=KHN&amp;MH,SL))</f>
        <v>290</v>
      </c>
      <c r="H374" s="25">
        <f t="array" ref="H374">SUM(IF("155"&amp;C374=KHN&amp;MH,TH))</f>
        <v>3069566</v>
      </c>
      <c r="I374" s="25">
        <f t="array" ref="I374">SUM(IF("155"&amp;C374=KHC&amp;MH,SL))</f>
        <v>290</v>
      </c>
      <c r="J374" s="25">
        <f t="array" ref="J374">SUM(IF("155"&amp;C374=KHC&amp;MH,TH))</f>
        <v>3069566</v>
      </c>
      <c r="K374" s="8">
        <f t="shared" si="49"/>
        <v>0</v>
      </c>
      <c r="L374" s="8">
        <f t="shared" si="50"/>
        <v>0</v>
      </c>
      <c r="M374" s="293"/>
    </row>
    <row r="375" spans="1:13" ht="19.5" hidden="1" customHeight="1">
      <c r="A375" s="293" t="str">
        <f t="shared" si="47"/>
        <v>TP</v>
      </c>
      <c r="B375" s="306">
        <f t="shared" si="48"/>
        <v>157</v>
      </c>
      <c r="C375" s="192" t="s">
        <v>865</v>
      </c>
      <c r="D375" s="305"/>
      <c r="E375" s="8"/>
      <c r="F375" s="8"/>
      <c r="G375" s="25">
        <f t="array" ref="G375">SUM(IF("155"&amp;C375=KHN&amp;MH,SL))</f>
        <v>2366</v>
      </c>
      <c r="H375" s="25">
        <f t="array" ref="H375">SUM(IF("155"&amp;C375=KHN&amp;MH,TH))</f>
        <v>48445134</v>
      </c>
      <c r="I375" s="25">
        <f t="array" ref="I375">SUM(IF("155"&amp;C375=KHC&amp;MH,SL))</f>
        <v>2366</v>
      </c>
      <c r="J375" s="25">
        <f t="array" ref="J375">SUM(IF("155"&amp;C375=KHC&amp;MH,TH))</f>
        <v>48445134</v>
      </c>
      <c r="K375" s="8">
        <f t="shared" si="49"/>
        <v>0</v>
      </c>
      <c r="L375" s="8">
        <f t="shared" si="50"/>
        <v>0</v>
      </c>
      <c r="M375" s="293"/>
    </row>
    <row r="376" spans="1:13" ht="19.5" hidden="1" customHeight="1">
      <c r="A376" s="293" t="str">
        <f t="shared" si="47"/>
        <v>TP</v>
      </c>
      <c r="B376" s="306">
        <f t="shared" si="48"/>
        <v>158</v>
      </c>
      <c r="C376" s="192" t="s">
        <v>838</v>
      </c>
      <c r="D376" s="305"/>
      <c r="E376" s="8"/>
      <c r="F376" s="8"/>
      <c r="G376" s="25">
        <f t="array" ref="G376">SUM(IF("155"&amp;C376=KHN&amp;MH,SL))</f>
        <v>5981</v>
      </c>
      <c r="H376" s="25">
        <f t="array" ref="H376">SUM(IF("155"&amp;C376=KHN&amp;MH,TH))</f>
        <v>37666339</v>
      </c>
      <c r="I376" s="25">
        <f t="array" ref="I376">SUM(IF("155"&amp;C376=KHC&amp;MH,SL))</f>
        <v>5981</v>
      </c>
      <c r="J376" s="25">
        <f t="array" ref="J376">SUM(IF("155"&amp;C376=KHC&amp;MH,TH))</f>
        <v>37666339</v>
      </c>
      <c r="K376" s="8">
        <f t="shared" si="49"/>
        <v>0</v>
      </c>
      <c r="L376" s="8">
        <f t="shared" si="50"/>
        <v>0</v>
      </c>
      <c r="M376" s="293"/>
    </row>
    <row r="377" spans="1:13" ht="19.5" hidden="1" customHeight="1">
      <c r="A377" s="293" t="str">
        <f t="shared" si="47"/>
        <v>TP</v>
      </c>
      <c r="B377" s="306">
        <f t="shared" si="48"/>
        <v>159</v>
      </c>
      <c r="C377" s="192" t="s">
        <v>481</v>
      </c>
      <c r="D377" s="305"/>
      <c r="E377" s="8"/>
      <c r="F377" s="8"/>
      <c r="G377" s="25">
        <f t="array" ref="G377">SUM(IF("155"&amp;C377=KHN&amp;MH,SL))</f>
        <v>5400</v>
      </c>
      <c r="H377" s="25">
        <f t="array" ref="H377">SUM(IF("155"&amp;C377=KHN&amp;MH,TH))</f>
        <v>44590932</v>
      </c>
      <c r="I377" s="25">
        <f t="array" ref="I377">SUM(IF("155"&amp;C377=KHC&amp;MH,SL))</f>
        <v>5400</v>
      </c>
      <c r="J377" s="25">
        <f t="array" ref="J377">SUM(IF("155"&amp;C377=KHC&amp;MH,TH))</f>
        <v>44590932</v>
      </c>
      <c r="K377" s="8">
        <f t="shared" si="49"/>
        <v>0</v>
      </c>
      <c r="L377" s="8">
        <f t="shared" si="50"/>
        <v>0</v>
      </c>
      <c r="M377" s="293"/>
    </row>
    <row r="378" spans="1:13" ht="19.5" hidden="1" customHeight="1">
      <c r="A378" s="293" t="str">
        <f t="shared" si="47"/>
        <v>TP</v>
      </c>
      <c r="B378" s="306">
        <f t="shared" si="48"/>
        <v>160</v>
      </c>
      <c r="C378" s="192" t="s">
        <v>1036</v>
      </c>
      <c r="D378" s="305"/>
      <c r="E378" s="8"/>
      <c r="F378" s="8"/>
      <c r="G378" s="25">
        <f t="array" ref="G378">SUM(IF("155"&amp;C378=KHN&amp;MH,SL))</f>
        <v>104</v>
      </c>
      <c r="H378" s="25">
        <f t="array" ref="H378">SUM(IF("155"&amp;C378=KHN&amp;MH,TH))</f>
        <v>790347</v>
      </c>
      <c r="I378" s="25">
        <f t="array" ref="I378">SUM(IF("155"&amp;C378=KHC&amp;MH,SL))</f>
        <v>104</v>
      </c>
      <c r="J378" s="25">
        <f t="array" ref="J378">SUM(IF("155"&amp;C378=KHC&amp;MH,TH))</f>
        <v>790347</v>
      </c>
      <c r="K378" s="8">
        <f t="shared" si="49"/>
        <v>0</v>
      </c>
      <c r="L378" s="8">
        <f t="shared" si="50"/>
        <v>0</v>
      </c>
      <c r="M378" s="293"/>
    </row>
    <row r="379" spans="1:13" ht="19.5" hidden="1" customHeight="1">
      <c r="A379" s="293" t="str">
        <f t="shared" ref="A379" si="51">IF(B379&lt;&gt;"","TP","")</f>
        <v>TP</v>
      </c>
      <c r="B379" s="306">
        <f t="shared" ref="B379" si="52">IF(C379&lt;&gt;"",B378+1,"")</f>
        <v>161</v>
      </c>
      <c r="C379" s="192" t="s">
        <v>903</v>
      </c>
      <c r="D379" s="305"/>
      <c r="E379" s="8"/>
      <c r="F379" s="8"/>
      <c r="G379" s="25">
        <f t="array" ref="G379">SUM(IF("155"&amp;C379=KHN&amp;MH,SL))</f>
        <v>920</v>
      </c>
      <c r="H379" s="25">
        <f t="array" ref="H379">SUM(IF("155"&amp;C379=KHN&amp;MH,TH))</f>
        <v>5683763</v>
      </c>
      <c r="I379" s="25">
        <f t="array" ref="I379">SUM(IF("155"&amp;C379=KHC&amp;MH,SL))</f>
        <v>920</v>
      </c>
      <c r="J379" s="25">
        <f t="array" ref="J379">SUM(IF("155"&amp;C379=KHC&amp;MH,TH))</f>
        <v>5683763</v>
      </c>
      <c r="K379" s="8">
        <f t="shared" si="49"/>
        <v>0</v>
      </c>
      <c r="L379" s="8">
        <f t="shared" si="50"/>
        <v>0</v>
      </c>
      <c r="M379" s="293"/>
    </row>
    <row r="380" spans="1:13" ht="18.75" customHeight="1">
      <c r="A380" s="293" t="str">
        <f t="shared" ref="A380:A381" si="53">IF(B380&lt;&gt;"","TP","")</f>
        <v/>
      </c>
      <c r="B380" s="306" t="str">
        <f>IF(C380&lt;&gt;"",#REF!+1,"")</f>
        <v/>
      </c>
      <c r="C380" s="308"/>
      <c r="D380" s="303"/>
      <c r="E380" s="8"/>
      <c r="F380" s="8"/>
      <c r="G380" s="304"/>
      <c r="H380" s="304"/>
      <c r="I380" s="304"/>
      <c r="J380" s="304"/>
      <c r="K380" s="304"/>
      <c r="L380" s="304"/>
      <c r="M380" s="293"/>
    </row>
    <row r="381" spans="1:13" ht="19.5" hidden="1" customHeight="1">
      <c r="A381" s="293" t="str">
        <f t="shared" si="53"/>
        <v/>
      </c>
      <c r="B381" s="292"/>
      <c r="C381" s="301" t="s">
        <v>201</v>
      </c>
      <c r="D381" s="292"/>
      <c r="E381" s="13">
        <f t="shared" ref="E381:L381" si="54">SUM(E219:E380)</f>
        <v>0</v>
      </c>
      <c r="F381" s="13">
        <f t="shared" si="54"/>
        <v>0</v>
      </c>
      <c r="G381" s="13">
        <f t="shared" si="54"/>
        <v>235531</v>
      </c>
      <c r="H381" s="13">
        <f t="shared" si="54"/>
        <v>1693769201</v>
      </c>
      <c r="I381" s="13">
        <f t="shared" si="54"/>
        <v>235531</v>
      </c>
      <c r="J381" s="13">
        <f t="shared" si="54"/>
        <v>1693769201</v>
      </c>
      <c r="K381" s="13">
        <f t="shared" si="54"/>
        <v>0</v>
      </c>
      <c r="L381" s="13">
        <f t="shared" si="54"/>
        <v>0</v>
      </c>
      <c r="M381" s="293"/>
    </row>
    <row r="382" spans="1:13" ht="18.75" customHeight="1">
      <c r="A382" s="293"/>
      <c r="B382" s="479"/>
      <c r="C382" s="479"/>
      <c r="D382" s="478"/>
      <c r="E382" s="480"/>
      <c r="F382" s="480">
        <f>F381-CDPS!C23</f>
        <v>0</v>
      </c>
      <c r="G382" s="480"/>
      <c r="H382" s="480">
        <f>H381-CDPS!E23</f>
        <v>0</v>
      </c>
      <c r="I382" s="480"/>
      <c r="J382" s="480">
        <f>J381-CDPS!F23</f>
        <v>0</v>
      </c>
      <c r="K382" s="480"/>
      <c r="L382" s="480">
        <f>L381-CDPS!H23</f>
        <v>0</v>
      </c>
      <c r="M382" s="307"/>
    </row>
    <row r="383" spans="1:13" ht="18.75" customHeight="1"/>
    <row r="384" spans="1:13" ht="19.5" customHeight="1"/>
    <row r="385" spans="3:12" ht="19.5" customHeight="1">
      <c r="C385" s="1005"/>
      <c r="D385" s="1005"/>
      <c r="E385" s="1005"/>
      <c r="F385" s="874"/>
      <c r="G385" s="874"/>
      <c r="H385" s="874"/>
      <c r="I385" s="874"/>
      <c r="J385" s="1005" t="s">
        <v>492</v>
      </c>
      <c r="K385" s="1005"/>
      <c r="L385" s="1005"/>
    </row>
    <row r="386" spans="3:12" ht="19.5" customHeight="1">
      <c r="C386" s="875"/>
      <c r="D386" s="875"/>
      <c r="E386" s="875"/>
      <c r="F386" s="1005"/>
      <c r="G386" s="1005"/>
      <c r="H386" s="1005"/>
      <c r="I386" s="874"/>
      <c r="J386" s="1005" t="s">
        <v>109</v>
      </c>
      <c r="K386" s="1005"/>
      <c r="L386" s="1005"/>
    </row>
    <row r="387" spans="3:12" ht="19.5" customHeight="1">
      <c r="C387" s="875"/>
      <c r="D387" s="875"/>
      <c r="E387" s="875"/>
      <c r="F387" s="1005"/>
      <c r="G387" s="1005"/>
      <c r="H387" s="1005"/>
      <c r="I387" s="288"/>
      <c r="J387" s="1005" t="s">
        <v>136</v>
      </c>
      <c r="K387" s="1005"/>
      <c r="L387" s="1005"/>
    </row>
    <row r="388" spans="3:12" ht="20.25" customHeight="1"/>
    <row r="389" spans="3:12" ht="20.25" customHeight="1"/>
    <row r="390" spans="3:12" ht="20.25" customHeight="1"/>
    <row r="391" spans="3:12" ht="20.25" customHeight="1"/>
    <row r="392" spans="3:12" ht="20.25" customHeight="1"/>
    <row r="393" spans="3:12" ht="20.25" customHeight="1"/>
    <row r="394" spans="3:12" ht="20.25" customHeight="1"/>
    <row r="395" spans="3:12" ht="19.5" customHeight="1"/>
    <row r="396" spans="3:12" ht="19.5" customHeight="1"/>
    <row r="397" spans="3:12" ht="19.5" customHeight="1"/>
    <row r="398" spans="3:12" ht="19.5" customHeight="1"/>
    <row r="399" spans="3:12" ht="19.5" customHeight="1"/>
    <row r="400" spans="3:12" ht="19.5" customHeight="1"/>
    <row r="401" ht="19.5" customHeight="1"/>
    <row r="402" ht="19.5" customHeight="1"/>
    <row r="403" ht="19.5" customHeight="1"/>
    <row r="404" ht="19.5" customHeight="1"/>
    <row r="405" ht="19.5" customHeight="1"/>
    <row r="406" ht="19.5" customHeight="1"/>
    <row r="407" ht="19.5" customHeight="1"/>
    <row r="408" ht="19.5" customHeight="1"/>
    <row r="409" ht="19.5" customHeight="1"/>
    <row r="410" ht="19.5" customHeight="1"/>
    <row r="411" ht="19.5" customHeight="1"/>
    <row r="412" ht="19.5" customHeight="1"/>
    <row r="413" ht="19.5" customHeight="1"/>
  </sheetData>
  <autoFilter ref="A11:N382">
    <filterColumn colId="10">
      <filters blank="1">
        <filter val="100"/>
        <filter val="101"/>
        <filter val="104"/>
        <filter val="108"/>
        <filter val="114"/>
        <filter val="121"/>
        <filter val="135"/>
        <filter val="137"/>
        <filter val="142"/>
        <filter val="148"/>
        <filter val="150"/>
        <filter val="188"/>
        <filter val="200"/>
        <filter val="201"/>
        <filter val="203"/>
        <filter val="206"/>
        <filter val="215"/>
        <filter val="242"/>
        <filter val="250"/>
        <filter val="265"/>
        <filter val="300"/>
        <filter val="350"/>
        <filter val="406"/>
        <filter val="48"/>
        <filter val="497"/>
        <filter val="50"/>
        <filter val="60"/>
        <filter val="7,099"/>
        <filter val="76"/>
        <filter val="835"/>
        <filter val="90"/>
      </filters>
    </filterColumn>
  </autoFilter>
  <sortState ref="A104:N264">
    <sortCondition ref="C104:C264"/>
  </sortState>
  <mergeCells count="20">
    <mergeCell ref="C7:L7"/>
    <mergeCell ref="F387:H387"/>
    <mergeCell ref="J387:L387"/>
    <mergeCell ref="C385:E385"/>
    <mergeCell ref="J385:L385"/>
    <mergeCell ref="F386:H386"/>
    <mergeCell ref="J386:L386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2" customWidth="1"/>
    <col min="2" max="2" width="29.7109375" style="312" customWidth="1"/>
    <col min="3" max="3" width="5.7109375" style="312" customWidth="1"/>
    <col min="4" max="4" width="6.7109375" style="312" customWidth="1"/>
    <col min="5" max="5" width="12.7109375" style="312" customWidth="1"/>
    <col min="6" max="6" width="9.85546875" style="312" customWidth="1"/>
    <col min="7" max="7" width="11" style="312" customWidth="1"/>
    <col min="8" max="8" width="14" style="312" customWidth="1"/>
    <col min="9" max="9" width="4.28515625" style="312" customWidth="1"/>
    <col min="10" max="10" width="7.5703125" style="312" customWidth="1"/>
    <col min="11" max="11" width="3.140625" style="312" customWidth="1"/>
    <col min="12" max="12" width="5.7109375" style="312" customWidth="1"/>
    <col min="13" max="13" width="2.7109375" style="312" customWidth="1"/>
    <col min="14" max="14" width="4" style="312" customWidth="1"/>
    <col min="15" max="15" width="3.7109375" style="312" customWidth="1"/>
    <col min="16" max="16384" width="9.140625" style="312"/>
  </cols>
  <sheetData>
    <row r="1" spans="1:17" ht="5.25" hidden="1" customHeight="1"/>
    <row r="2" spans="1:17" s="673" customFormat="1" ht="12" customHeight="1">
      <c r="A2" s="672" t="str">
        <f>TH!A1</f>
        <v>Đơn vị: CÔNG TY TNHH SX TM KIM DUNG PHÁT</v>
      </c>
      <c r="G2" s="674" t="str">
        <f>+IF(LEFT($D$7,1)="N","Mẫu số 01 - VT","Mẫu số 02 - VT")</f>
        <v>Mẫu số 02 - VT</v>
      </c>
    </row>
    <row r="3" spans="1:17" s="673" customFormat="1" ht="12" customHeight="1">
      <c r="A3" s="67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4" t="s">
        <v>104</v>
      </c>
      <c r="O3" s="676"/>
      <c r="P3" s="677">
        <f>IF(J5="Quý I",1,IF(J5="Quý II",4,IF(J5="Quý III",7,IF(J5="Quý IV",10,""))))</f>
        <v>10</v>
      </c>
      <c r="Q3" s="677">
        <f>IF(J5="Quý I",3,IF(J5="Quý II",6,IF(J5="Quý III",9,IF(J5="Quý IV",12,""))))</f>
        <v>12</v>
      </c>
    </row>
    <row r="4" spans="1:17" s="673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8"/>
      <c r="M4" s="679"/>
      <c r="N4" s="674" t="s">
        <v>105</v>
      </c>
      <c r="O4" s="676"/>
    </row>
    <row r="5" spans="1:17" ht="18" customHeight="1" thickBot="1">
      <c r="D5" s="316" t="str">
        <f>+IF(LEFT($L$5,1)="N","PHIẾU NHẬP KHO","PHIẾU XUẤT KHO")</f>
        <v>PHIẾU XUẤT KHO</v>
      </c>
      <c r="J5" s="669" t="s">
        <v>484</v>
      </c>
      <c r="K5" s="317"/>
      <c r="L5" s="670" t="s">
        <v>487</v>
      </c>
      <c r="M5" s="318"/>
      <c r="N5" s="671">
        <v>2</v>
      </c>
      <c r="O5" s="313"/>
      <c r="P5" s="313"/>
    </row>
    <row r="6" spans="1:17" ht="10.5" customHeight="1">
      <c r="D6" s="68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  tháng  10  năm  2013</v>
      </c>
      <c r="E6" s="682"/>
      <c r="M6" s="315"/>
      <c r="O6" s="313"/>
    </row>
    <row r="7" spans="1:17" ht="10.5" customHeight="1">
      <c r="C7" s="683" t="str">
        <f xml:space="preserve"> "Số:"</f>
        <v>Số:</v>
      </c>
      <c r="D7" s="684" t="str">
        <f xml:space="preserve"> RIGHT($L$5,2)&amp;"/"&amp;LEFT($L$5,1)&amp;IF($N$5&gt;=10,$N$5,"0"&amp;$N$5)</f>
        <v>TP/X02</v>
      </c>
      <c r="G7" s="312" t="str">
        <f ca="1">"Nợ:  "&amp;IF(ROWS($1:1)&gt;COUNT(Dong10),"",OFFSET(TH!L$1,SMALL(Dong10,ROWS($1:1)),))</f>
        <v>Nợ:  131</v>
      </c>
      <c r="M7" s="315"/>
      <c r="O7" s="313"/>
    </row>
    <row r="8" spans="1:17" ht="10.5" customHeight="1">
      <c r="D8" s="71"/>
      <c r="G8" s="312" t="str">
        <f ca="1">"Có:  "&amp;IF(ROWS($1:1)&gt;COUNT(Dong10),"",OFFSET(TH!M$1,SMALL(Dong10,ROWS($1:1)),))</f>
        <v>Có:  5112</v>
      </c>
      <c r="M8" s="315"/>
      <c r="O8" s="685"/>
    </row>
    <row r="9" spans="1:17" ht="11.25" customHeight="1">
      <c r="A9" s="31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TP QT Long Phụng                                         Địa chỉ (bộ phận) :     Sản Xuất </v>
      </c>
      <c r="M9" s="315"/>
    </row>
    <row r="10" spans="1:17" ht="11.25" customHeight="1">
      <c r="A10" s="31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46" t="s">
        <v>35</v>
      </c>
      <c r="B14" s="1046" t="s">
        <v>202</v>
      </c>
      <c r="C14" s="1046" t="s">
        <v>203</v>
      </c>
      <c r="D14" s="1046" t="s">
        <v>194</v>
      </c>
      <c r="E14" s="1048" t="s">
        <v>204</v>
      </c>
      <c r="F14" s="1048"/>
      <c r="G14" s="1046" t="s">
        <v>205</v>
      </c>
      <c r="H14" s="1046" t="s">
        <v>206</v>
      </c>
    </row>
    <row r="15" spans="1:17" ht="12.75" customHeight="1">
      <c r="A15" s="1047"/>
      <c r="B15" s="1047"/>
      <c r="C15" s="1047"/>
      <c r="D15" s="1047"/>
      <c r="E15" s="686" t="s">
        <v>207</v>
      </c>
      <c r="F15" s="686" t="str">
        <f>IF(LEFT($D$7,1)="N","Thực nhập","Thực xuất")</f>
        <v>Thực xuất</v>
      </c>
      <c r="G15" s="1047"/>
      <c r="H15" s="1047"/>
    </row>
    <row r="16" spans="1:17" s="71" customFormat="1" ht="8.25" customHeight="1">
      <c r="A16" s="687" t="s">
        <v>2</v>
      </c>
      <c r="B16" s="687" t="s">
        <v>3</v>
      </c>
      <c r="C16" s="687" t="s">
        <v>4</v>
      </c>
      <c r="D16" s="687" t="s">
        <v>5</v>
      </c>
      <c r="E16" s="687">
        <v>1</v>
      </c>
      <c r="F16" s="687">
        <v>2</v>
      </c>
      <c r="G16" s="687">
        <v>3</v>
      </c>
      <c r="H16" s="687">
        <v>4</v>
      </c>
    </row>
    <row r="17" spans="1:8" ht="11.25" customHeight="1">
      <c r="A17" s="688">
        <f ca="1">IF(B17="","",ROW()-16)</f>
        <v>1</v>
      </c>
      <c r="B17" s="689" t="str">
        <f ca="1">IF(ROWS($1:1)&gt;COUNT(Dong10),"",OFFSET(TH!F$1,SMALL(Dong10,ROWS($1:1)),))</f>
        <v>Thùng (29.5x24x19)</v>
      </c>
      <c r="C17" s="690"/>
      <c r="D17" s="691">
        <f ca="1">IF(ISNA(VLOOKUP(B17,NXT!$C$12:$D$380,2,0)),"",VLOOKUP(B17,NXT!$C$12:$D$380,2,0))</f>
        <v>0</v>
      </c>
      <c r="E17" s="692"/>
      <c r="F17" s="693">
        <f ca="1">IF(ROWS($1:1)&gt;COUNT(Dong10),"",OFFSET(TH!I$1,SMALL(Dong10,ROWS($1:1)),))</f>
        <v>1554</v>
      </c>
      <c r="G17" s="693">
        <f ca="1">IF(ROWS($1:1)&gt;COUNT(Dong10),"",OFFSET(TH!J$1,SMALL(Dong10,ROWS($1:1)),))</f>
        <v>4650</v>
      </c>
      <c r="H17" s="692">
        <f ca="1">IF(F17&lt;&gt;"",ROUND(F17*G17,0),0)</f>
        <v>7226100</v>
      </c>
    </row>
    <row r="18" spans="1:8" ht="11.25" customHeight="1">
      <c r="A18" s="688">
        <f t="shared" ref="A18:A20" ca="1" si="0">IF(B18="","",A17+1)</f>
        <v>2</v>
      </c>
      <c r="B18" s="689" t="str">
        <f ca="1">IF(ROWS($1:2)&gt;COUNT(Dong10),"",OFFSET(TH!F$1,SMALL(Dong10,ROWS($1:2)),))</f>
        <v>Thùng (58x38x18)</v>
      </c>
      <c r="C18" s="690"/>
      <c r="D18" s="691">
        <f ca="1">IF(ISNA(VLOOKUP(B18,NXT!$C$12:$D$380,2,0)),"",VLOOKUP(B18,NXT!$C$12:$D$380,2,0))</f>
        <v>0</v>
      </c>
      <c r="E18" s="692"/>
      <c r="F18" s="693">
        <f ca="1">IF(ROWS($1:2)&gt;COUNT(Dong10),"",OFFSET(TH!I$1,SMALL(Dong10,ROWS($1:2)),))</f>
        <v>525</v>
      </c>
      <c r="G18" s="693">
        <f ca="1">IF(ROWS($1:2)&gt;COUNT(Dong10),"",OFFSET(TH!J$1,SMALL(Dong10,ROWS($1:2)),))</f>
        <v>12000</v>
      </c>
      <c r="H18" s="692">
        <f t="shared" ref="H18:H24" ca="1" si="1">IF(F18&lt;&gt;"",ROUND(F18*G18,0),0)</f>
        <v>6300000</v>
      </c>
    </row>
    <row r="19" spans="1:8" ht="11.25" customHeight="1">
      <c r="A19" s="688" t="str">
        <f t="shared" ca="1" si="0"/>
        <v/>
      </c>
      <c r="B19" s="689" t="str">
        <f ca="1">IF(ROWS($1:3)&gt;COUNT(Dong10),"",OFFSET(TH!F$1,SMALL(Dong10,ROWS($1:3)),))</f>
        <v/>
      </c>
      <c r="C19" s="690"/>
      <c r="D19" s="691" t="str">
        <f ca="1">IF(ISNA(VLOOKUP(B19,NXT!$C$12:$D$380,2,0)),"",VLOOKUP(B19,NXT!$C$12:$D$380,2,0))</f>
        <v/>
      </c>
      <c r="E19" s="692"/>
      <c r="F19" s="693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2">
        <f t="shared" ca="1" si="1"/>
        <v>0</v>
      </c>
    </row>
    <row r="20" spans="1:8" ht="11.25" customHeight="1">
      <c r="A20" s="688" t="str">
        <f t="shared" ca="1" si="0"/>
        <v/>
      </c>
      <c r="B20" s="689" t="str">
        <f ca="1">IF(ROWS($1:4)&gt;COUNT(Dong10),"",OFFSET(TH!F$1,SMALL(Dong10,ROWS($1:4)),))</f>
        <v/>
      </c>
      <c r="C20" s="690"/>
      <c r="D20" s="691" t="str">
        <f ca="1">IF(ISNA(VLOOKUP(B20,NXT!$C$12:$D$380,2,0)),"",VLOOKUP(B20,NXT!$C$12:$D$380,2,0))</f>
        <v/>
      </c>
      <c r="E20" s="692"/>
      <c r="F20" s="693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2">
        <f t="shared" ca="1" si="1"/>
        <v>0</v>
      </c>
    </row>
    <row r="21" spans="1:8" ht="11.25" customHeight="1">
      <c r="A21" s="688" t="str">
        <f t="shared" ref="A21:A23" ca="1" si="2">IF(B21="","",A20+1)</f>
        <v/>
      </c>
      <c r="B21" s="689" t="str">
        <f ca="1">IF(ROWS($1:5)&gt;COUNT(Dong10),"",OFFSET(TH!F$1,SMALL(Dong10,ROWS($1:5)),))</f>
        <v/>
      </c>
      <c r="C21" s="690"/>
      <c r="D21" s="691" t="str">
        <f ca="1">IF(ISNA(VLOOKUP(B21,NXT!$C$12:$D$380,2,0)),"",VLOOKUP(B21,NXT!$C$12:$D$380,2,0))</f>
        <v/>
      </c>
      <c r="E21" s="692"/>
      <c r="F21" s="693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2">
        <f t="shared" ca="1" si="1"/>
        <v>0</v>
      </c>
    </row>
    <row r="22" spans="1:8" ht="11.25" customHeight="1">
      <c r="A22" s="688" t="str">
        <f t="shared" ca="1" si="2"/>
        <v/>
      </c>
      <c r="B22" s="689" t="str">
        <f ca="1">IF(ROWS($1:6)&gt;COUNT(Dong10),"",OFFSET(TH!F$1,SMALL(Dong10,ROWS($1:6)),))</f>
        <v/>
      </c>
      <c r="C22" s="690"/>
      <c r="D22" s="691" t="str">
        <f ca="1">IF(ISNA(VLOOKUP(B22,NXT!$C$12:$D$380,2,0)),"",VLOOKUP(B22,NXT!$C$12:$D$380,2,0))</f>
        <v/>
      </c>
      <c r="E22" s="692"/>
      <c r="F22" s="693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2">
        <f t="shared" ca="1" si="1"/>
        <v>0</v>
      </c>
    </row>
    <row r="23" spans="1:8" ht="11.25" customHeight="1">
      <c r="A23" s="688" t="str">
        <f t="shared" ca="1" si="2"/>
        <v/>
      </c>
      <c r="B23" s="689" t="str">
        <f ca="1">IF(ROWS($1:7)&gt;COUNT(Dong10),"",OFFSET(TH!F$1,SMALL(Dong10,ROWS($1:7)),))</f>
        <v/>
      </c>
      <c r="C23" s="690"/>
      <c r="D23" s="691" t="str">
        <f ca="1">IF(ISNA(VLOOKUP(B23,NXT!$C$12:$D$380,2,0)),"",VLOOKUP(B23,NXT!$C$12:$D$380,2,0))</f>
        <v/>
      </c>
      <c r="E23" s="692"/>
      <c r="F23" s="693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2">
        <f t="shared" ca="1" si="1"/>
        <v>0</v>
      </c>
    </row>
    <row r="24" spans="1:8" ht="11.25" customHeight="1">
      <c r="A24" s="688" t="str">
        <f t="shared" ref="A24" ca="1" si="3">IF(B24="","",A23+1)</f>
        <v/>
      </c>
      <c r="B24" s="689" t="str">
        <f ca="1">IF(ROWS($1:8)&gt;COUNT(Dong10),"",OFFSET(TH!F$1,SMALL(Dong10,ROWS($1:8)),))</f>
        <v/>
      </c>
      <c r="C24" s="690"/>
      <c r="D24" s="691" t="str">
        <f ca="1">IF(ISNA(VLOOKUP(B24,NXT!$C$12:$D$380,2,0)),"",VLOOKUP(B24,NXT!$C$12:$D$380,2,0))</f>
        <v/>
      </c>
      <c r="E24" s="692"/>
      <c r="F24" s="693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2">
        <f t="shared" ca="1" si="1"/>
        <v>0</v>
      </c>
    </row>
    <row r="25" spans="1:8" ht="11.25" customHeight="1">
      <c r="A25" s="688" t="str">
        <f t="shared" ref="A25" ca="1" si="4">IF(B25="","",A24+1)</f>
        <v/>
      </c>
      <c r="B25" s="689" t="str">
        <f ca="1">IF(ROWS($1:9)&gt;COUNT(Dong10),"",OFFSET(TH!F$1,SMALL(Dong10,ROWS($1:9)),))</f>
        <v/>
      </c>
      <c r="C25" s="690"/>
      <c r="D25" s="691" t="str">
        <f ca="1">IF(ISNA(VLOOKUP(B25,NXT!$C$12:$D$380,2,0)),"",VLOOKUP(B25,NXT!$C$12:$D$380,2,0))</f>
        <v/>
      </c>
      <c r="E25" s="692"/>
      <c r="F25" s="693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2">
        <f t="shared" ref="H25" ca="1" si="5">IF(F25&lt;&gt;"",ROUND(F25*G25,0),0)</f>
        <v>0</v>
      </c>
    </row>
    <row r="26" spans="1:8" ht="11.25" customHeight="1">
      <c r="A26" s="688"/>
      <c r="B26" s="689"/>
      <c r="C26" s="690"/>
      <c r="D26" s="691"/>
      <c r="E26" s="692"/>
      <c r="F26" s="693"/>
      <c r="G26" s="694"/>
      <c r="H26" s="692"/>
    </row>
    <row r="27" spans="1:8" ht="11.25" customHeight="1">
      <c r="A27" s="1048" t="s">
        <v>208</v>
      </c>
      <c r="B27" s="1048"/>
      <c r="C27" s="695"/>
      <c r="D27" s="695"/>
      <c r="E27" s="696"/>
      <c r="F27" s="696"/>
      <c r="G27" s="696"/>
      <c r="H27" s="696">
        <f ca="1">SUM(H17:H26)</f>
        <v>13526100</v>
      </c>
    </row>
    <row r="28" spans="1:8" ht="3" customHeight="1">
      <c r="A28" s="697"/>
      <c r="B28" s="697"/>
      <c r="C28" s="315"/>
      <c r="D28" s="315"/>
      <c r="E28" s="698"/>
      <c r="F28" s="698"/>
      <c r="G28" s="698"/>
      <c r="H28" s="698"/>
    </row>
    <row r="29" spans="1:8" ht="11.25" customHeight="1">
      <c r="A29" s="312" t="e">
        <f ca="1">"Tổng số tiền (viết bằng chữ):  "&amp;[3]!VND(H27, TRUE)</f>
        <v>#NAME?</v>
      </c>
    </row>
    <row r="30" spans="1:8" ht="11.25" customHeight="1">
      <c r="A30" s="312" t="str">
        <f ca="1">"Số chứng từ gốc kèm theo :  "&amp;IF(ROWS($1:1)&gt;COUNT(Dong10),"",IF(OFFSET(TH!G$1,SMALL(Dong10,ROWS($1:1)),)="","","HĐ "&amp;OFFSET(TH!G$1,SMALL(Dong10,ROWS($1:1)),)))</f>
        <v>Số chứng từ gốc kèm theo :  HĐ 0000422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  tháng  10  năm  2013</v>
      </c>
    </row>
    <row r="32" spans="1:8" s="314" customFormat="1" ht="11.25" customHeight="1">
      <c r="A32" s="699" t="s">
        <v>209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4" t="s">
        <v>210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4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80" customFormat="1" ht="11.25" customHeight="1"/>
    <row r="39" spans="1:8" ht="11.25" customHeight="1">
      <c r="A39" s="320"/>
      <c r="F39" s="321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41" sqref="J41"/>
    </sheetView>
  </sheetViews>
  <sheetFormatPr defaultColWidth="23.85546875" defaultRowHeight="15"/>
  <cols>
    <col min="1" max="1" width="4.28515625" style="323" customWidth="1"/>
    <col min="2" max="2" width="8.5703125" style="323" customWidth="1"/>
    <col min="3" max="3" width="11" style="323" customWidth="1"/>
    <col min="4" max="4" width="41.7109375" style="323" customWidth="1"/>
    <col min="5" max="5" width="8" style="336" customWidth="1"/>
    <col min="6" max="6" width="8.85546875" style="323" customWidth="1"/>
    <col min="7" max="7" width="9" style="323" customWidth="1"/>
    <col min="8" max="8" width="14.140625" style="323" customWidth="1"/>
    <col min="9" max="9" width="8.85546875" style="323" customWidth="1"/>
    <col min="10" max="10" width="13.42578125" style="323" customWidth="1"/>
    <col min="11" max="11" width="10.140625" style="323" customWidth="1"/>
    <col min="12" max="12" width="13" style="323" customWidth="1"/>
    <col min="13" max="13" width="7.140625" style="323" customWidth="1"/>
    <col min="14" max="14" width="2" style="323" customWidth="1"/>
    <col min="15" max="15" width="5.5703125" style="323" customWidth="1"/>
    <col min="16" max="16" width="4.42578125" style="323" customWidth="1"/>
    <col min="17" max="16384" width="23.85546875" style="323"/>
  </cols>
  <sheetData>
    <row r="1" spans="1:17">
      <c r="A1" s="322" t="s">
        <v>211</v>
      </c>
      <c r="E1" s="323"/>
      <c r="O1" s="324"/>
    </row>
    <row r="2" spans="1:17" s="263" customFormat="1" ht="16.5" customHeight="1">
      <c r="B2" s="325" t="str">
        <f>TH!A1</f>
        <v>Đơn vị: CÔNG TY TNHH SX TM KIM DUNG PHÁT</v>
      </c>
      <c r="C2" s="326"/>
      <c r="D2" s="327"/>
      <c r="E2" s="328"/>
      <c r="F2" s="2"/>
      <c r="J2" s="1056" t="s">
        <v>212</v>
      </c>
      <c r="K2" s="1056"/>
      <c r="L2" s="1056"/>
      <c r="M2" s="1056"/>
      <c r="N2" s="329"/>
    </row>
    <row r="3" spans="1:17" s="263" customFormat="1" ht="16.5" customHeight="1">
      <c r="B3" s="620" t="str">
        <f>TH!A2</f>
        <v>Địa chỉ: 1A227/1 Ấp 1, Phạm Văn Hai, Bình Chánh, TPHCM</v>
      </c>
      <c r="C3" s="325"/>
      <c r="D3" s="325"/>
      <c r="E3" s="330"/>
      <c r="F3" s="325"/>
      <c r="J3" s="1057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57"/>
      <c r="L3" s="1057"/>
      <c r="M3" s="1057"/>
      <c r="N3" s="331"/>
    </row>
    <row r="4" spans="1:17" s="263" customFormat="1" ht="16.5" customHeight="1">
      <c r="B4" s="325"/>
      <c r="C4" s="325"/>
      <c r="D4" s="325"/>
      <c r="E4" s="330"/>
      <c r="F4" s="325"/>
      <c r="J4" s="1057"/>
      <c r="K4" s="1057"/>
      <c r="L4" s="1057"/>
      <c r="M4" s="1057"/>
      <c r="N4" s="331"/>
    </row>
    <row r="5" spans="1:17" ht="18.75" customHeight="1">
      <c r="B5" s="1058" t="s">
        <v>213</v>
      </c>
      <c r="C5" s="1058"/>
      <c r="D5" s="1058"/>
      <c r="E5" s="1058"/>
      <c r="F5" s="1058"/>
      <c r="G5" s="1058"/>
      <c r="H5" s="1058"/>
      <c r="I5" s="1058"/>
      <c r="J5" s="1058"/>
      <c r="K5" s="1058"/>
      <c r="L5" s="1058"/>
      <c r="M5" s="1058"/>
      <c r="N5" s="332"/>
    </row>
    <row r="6" spans="1:17" s="333" customFormat="1" ht="12.75">
      <c r="B6" s="1059" t="s">
        <v>214</v>
      </c>
      <c r="C6" s="1059"/>
      <c r="D6" s="1059"/>
      <c r="E6" s="1059"/>
      <c r="F6" s="1059"/>
      <c r="G6" s="1059"/>
      <c r="H6" s="1059"/>
      <c r="I6" s="1059"/>
      <c r="J6" s="1059"/>
      <c r="K6" s="1059"/>
      <c r="L6" s="1059"/>
      <c r="M6" s="1059"/>
      <c r="N6" s="334"/>
    </row>
    <row r="7" spans="1:17">
      <c r="C7" s="335"/>
      <c r="D7" s="335"/>
      <c r="F7" s="337" t="s">
        <v>278</v>
      </c>
      <c r="G7" s="467" t="str">
        <f>IF($O$10="VL","1522",IF($O$10="NL","1521",IF($O$10="TP","155","")))</f>
        <v>1521</v>
      </c>
      <c r="H7" s="337" t="s">
        <v>215</v>
      </c>
      <c r="I7" s="335" t="str">
        <f>IF($O$10="NL","Nguyên Liệu",IF($O$10="TP","Thành Phẩm",IF($O$10="VL","Vật Liệu","")))</f>
        <v>Nguyên Liệu</v>
      </c>
      <c r="J7" s="335"/>
      <c r="K7" s="335"/>
      <c r="L7" s="335"/>
      <c r="M7" s="335"/>
      <c r="N7" s="336"/>
    </row>
    <row r="8" spans="1:17">
      <c r="B8" s="336"/>
      <c r="C8" s="335"/>
      <c r="D8" s="335"/>
      <c r="F8" s="336" t="s">
        <v>216</v>
      </c>
      <c r="H8" s="335"/>
      <c r="I8" s="335"/>
      <c r="J8" s="1060" t="s">
        <v>685</v>
      </c>
      <c r="K8" s="1060"/>
      <c r="L8" s="1060"/>
      <c r="M8" s="335"/>
      <c r="N8" s="335"/>
    </row>
    <row r="9" spans="1:17">
      <c r="D9" s="338"/>
      <c r="E9" s="339"/>
      <c r="F9" s="338"/>
      <c r="G9" s="338"/>
      <c r="H9" s="338"/>
      <c r="I9" s="338"/>
      <c r="J9" s="338"/>
      <c r="K9" s="338" t="s">
        <v>123</v>
      </c>
      <c r="M9" s="340"/>
      <c r="N9" s="341"/>
    </row>
    <row r="10" spans="1:17" ht="15.75" customHeight="1">
      <c r="A10" s="1050" t="s">
        <v>35</v>
      </c>
      <c r="B10" s="1051" t="s">
        <v>1</v>
      </c>
      <c r="C10" s="1051"/>
      <c r="D10" s="1052" t="s">
        <v>0</v>
      </c>
      <c r="E10" s="1052" t="s">
        <v>217</v>
      </c>
      <c r="F10" s="1052" t="s">
        <v>205</v>
      </c>
      <c r="G10" s="1054" t="s">
        <v>218</v>
      </c>
      <c r="H10" s="1055"/>
      <c r="I10" s="1054" t="s">
        <v>219</v>
      </c>
      <c r="J10" s="1055"/>
      <c r="K10" s="1054" t="s">
        <v>220</v>
      </c>
      <c r="L10" s="1055"/>
      <c r="M10" s="1052" t="s">
        <v>127</v>
      </c>
      <c r="N10" s="342"/>
      <c r="O10" s="343" t="s">
        <v>211</v>
      </c>
    </row>
    <row r="11" spans="1:17" ht="31.5" customHeight="1">
      <c r="A11" s="1050"/>
      <c r="B11" s="344" t="s">
        <v>15</v>
      </c>
      <c r="C11" s="344" t="s">
        <v>32</v>
      </c>
      <c r="D11" s="1052"/>
      <c r="E11" s="1052"/>
      <c r="F11" s="1052"/>
      <c r="G11" s="344" t="s">
        <v>204</v>
      </c>
      <c r="H11" s="344" t="s">
        <v>206</v>
      </c>
      <c r="I11" s="344" t="s">
        <v>204</v>
      </c>
      <c r="J11" s="344" t="s">
        <v>206</v>
      </c>
      <c r="K11" s="344" t="s">
        <v>204</v>
      </c>
      <c r="L11" s="344" t="s">
        <v>206</v>
      </c>
      <c r="M11" s="1052"/>
      <c r="N11" s="342"/>
    </row>
    <row r="12" spans="1:17" s="336" customFormat="1">
      <c r="A12" s="345"/>
      <c r="B12" s="346" t="s">
        <v>2</v>
      </c>
      <c r="C12" s="347" t="s">
        <v>3</v>
      </c>
      <c r="D12" s="347" t="s">
        <v>4</v>
      </c>
      <c r="E12" s="346" t="s">
        <v>5</v>
      </c>
      <c r="F12" s="346">
        <v>1</v>
      </c>
      <c r="G12" s="346">
        <v>2</v>
      </c>
      <c r="H12" s="346" t="s">
        <v>222</v>
      </c>
      <c r="I12" s="346">
        <v>4</v>
      </c>
      <c r="J12" s="346" t="s">
        <v>223</v>
      </c>
      <c r="K12" s="346">
        <v>6</v>
      </c>
      <c r="L12" s="346" t="s">
        <v>224</v>
      </c>
      <c r="M12" s="346"/>
      <c r="N12" s="348"/>
    </row>
    <row r="13" spans="1:17">
      <c r="A13" s="349"/>
      <c r="B13" s="349"/>
      <c r="C13" s="349"/>
      <c r="D13" s="350" t="s">
        <v>144</v>
      </c>
      <c r="E13" s="351"/>
      <c r="F13" s="352"/>
      <c r="G13" s="352"/>
      <c r="H13" s="352"/>
      <c r="I13" s="352"/>
      <c r="J13" s="352"/>
      <c r="K13" s="353">
        <f>VLOOKUP($J$8,NXT!$C$12:$L$380,3,0)</f>
        <v>0</v>
      </c>
      <c r="L13" s="353">
        <f>VLOOKUP($J$8,NXT!$C$12:$L$380,4,0)</f>
        <v>0</v>
      </c>
      <c r="M13" s="352"/>
      <c r="N13" s="348"/>
    </row>
    <row r="14" spans="1:17">
      <c r="A14" s="319">
        <f ca="1">IF(B14="","",ROW()-13)</f>
        <v>1</v>
      </c>
      <c r="B14" s="354" t="str">
        <f ca="1">IF(ROWS($1:1)&gt;COUNT(Dong11),"",OFFSET(TH!D$1,SMALL(Dong11,ROWS($1:1)),))</f>
        <v>NL/N01</v>
      </c>
      <c r="C14" s="355">
        <f ca="1">IF(ROWS($1:1)&gt;COUNT(Dong11),"",OFFSET(TH!E$1,SMALL(Dong11,ROWS($1:1)),))</f>
        <v>41559</v>
      </c>
      <c r="D14" s="356" t="str">
        <f ca="1">IF(ROWS($1:1)&gt;COUNT(Dong11),"",OFFSET(TH!H$1,SMALL(Dong11,ROWS($1:1)),))</f>
        <v>Cty TNHH TM DV Đức Trịnh</v>
      </c>
      <c r="E14" s="354" t="str">
        <f ca="1">IF(ROWS($1:1)&gt;COUNT(Dong11),"",IF(OFFSET(TH!L$1,SMALL(Dong11,ROWS($1:1)),)=$G$7,OFFSET(TH!M$1,SMALL(Dong11,ROWS($1:1)),),OFFSET(TH!L$1,SMALL(Dong11,ROWS($1:1)),)))</f>
        <v>331</v>
      </c>
      <c r="F14" s="357">
        <f ca="1">IF(ROWS($1:1)&gt;COUNT(Dong11),0,OFFSET(TH!J$1,SMALL(Dong11,ROWS($1:1)),))</f>
        <v>8500</v>
      </c>
      <c r="G14" s="357">
        <f ca="1">IF(ROWS($1:1)&gt;COUNT(Dong11),0,IF(MID(OFFSET(TH!D$1,SMALL(Dong11,ROWS($1:1)),),4,1)="N",OFFSET(TH!I$1,SMALL(Dong11,ROWS($1:1)),),0))</f>
        <v>1800</v>
      </c>
      <c r="H14" s="358">
        <f ca="1">ROUND(F14*G14,0)</f>
        <v>15300000</v>
      </c>
      <c r="I14" s="357">
        <f ca="1">IF(ROWS($1:1)&gt;COUNT(Dong11),0,IF(MID(OFFSET(TH!D$1,SMALL(Dong11,ROWS($1:1)),),4,1)="X",OFFSET(TH!I$1,SMALL(Dong11,ROWS($1:1)),),0))</f>
        <v>0</v>
      </c>
      <c r="J14" s="358">
        <f ca="1">ROUND(F14*I14,0)</f>
        <v>0</v>
      </c>
      <c r="K14" s="358">
        <f ca="1">IF(D14&lt;&gt;"",K13+G14-I14,0)</f>
        <v>1800</v>
      </c>
      <c r="L14" s="358">
        <f ca="1">IF(D14&lt;&gt;"",L13+H14-J14,0)</f>
        <v>15300000</v>
      </c>
      <c r="M14" s="358"/>
      <c r="N14" s="348"/>
    </row>
    <row r="15" spans="1:17">
      <c r="A15" s="319">
        <f t="shared" ref="A15:A24" ca="1" si="0">IF(B15="","",A14+1)</f>
        <v>2</v>
      </c>
      <c r="B15" s="354" t="str">
        <f ca="1">IF(ROWS($1:2)&gt;COUNT(Dong11),"",OFFSET(TH!D$1,SMALL(Dong11,ROWS($1:2)),))</f>
        <v>NL/N06</v>
      </c>
      <c r="C15" s="355">
        <f ca="1">IF(ROWS($1:2)&gt;COUNT(Dong11),"",OFFSET(TH!E$1,SMALL(Dong11,ROWS($1:2)),))</f>
        <v>41575</v>
      </c>
      <c r="D15" s="356" t="str">
        <f ca="1">IF(ROWS($1:2)&gt;COUNT(Dong11),"",OFFSET(TH!H$1,SMALL(Dong11,ROWS($1:2)),))</f>
        <v>Cty TNHH TM DV Đức Trịnh</v>
      </c>
      <c r="E15" s="354" t="str">
        <f ca="1">IF(ROWS($1:2)&gt;COUNT(Dong11),"",IF(OFFSET(TH!L$1,SMALL(Dong11,ROWS($1:2)),)=$G$7,OFFSET(TH!M$1,SMALL(Dong11,ROWS($1:2)),),OFFSET(TH!L$1,SMALL(Dong11,ROWS($1:2)),)))</f>
        <v>331</v>
      </c>
      <c r="F15" s="357">
        <f ca="1">IF(ROWS($1:2)&gt;COUNT(Dong11),0,OFFSET(TH!J$1,SMALL(Dong11,ROWS($1:2)),))</f>
        <v>8500</v>
      </c>
      <c r="G15" s="357">
        <f ca="1">IF(ROWS($1:2)&gt;COUNT(Dong11),0,IF(MID(OFFSET(TH!D$1,SMALL(Dong11,ROWS($1:2)),),4,1)="N",OFFSET(TH!I$1,SMALL(Dong11,ROWS($1:2)),),0))</f>
        <v>500</v>
      </c>
      <c r="H15" s="358">
        <f t="shared" ref="H15:H24" ca="1" si="1">ROUND(F15*G15,0)</f>
        <v>4250000</v>
      </c>
      <c r="I15" s="357">
        <f ca="1">IF(ROWS($1:2)&gt;COUNT(Dong11),0,IF(MID(OFFSET(TH!D$1,SMALL(Dong11,ROWS($1:2)),),4,1)="X",OFFSET(TH!I$1,SMALL(Dong11,ROWS($1:2)),),0))</f>
        <v>0</v>
      </c>
      <c r="J15" s="358">
        <f t="shared" ref="J15:J24" ca="1" si="2">ROUND(F15*I15,0)</f>
        <v>0</v>
      </c>
      <c r="K15" s="358">
        <f t="shared" ref="K15:K24" ca="1" si="3">IF(D15&lt;&gt;"",K14+G15-I15,0)</f>
        <v>2300</v>
      </c>
      <c r="L15" s="358">
        <f t="shared" ref="L15:L24" ca="1" si="4">IF(D15&lt;&gt;"",L14+H15-J15,0)</f>
        <v>19550000</v>
      </c>
      <c r="M15" s="358"/>
      <c r="N15" s="348"/>
      <c r="Q15" s="359"/>
    </row>
    <row r="16" spans="1:17">
      <c r="A16" s="319">
        <f t="shared" ca="1" si="0"/>
        <v>3</v>
      </c>
      <c r="B16" s="354" t="str">
        <f ca="1">IF(ROWS($1:3)&gt;COUNT(Dong11),"",OFFSET(TH!D$1,SMALL(Dong11,ROWS($1:3)),))</f>
        <v>XNL</v>
      </c>
      <c r="C16" s="355">
        <f ca="1">IF(ROWS($1:3)&gt;COUNT(Dong11),"",OFFSET(TH!E$1,SMALL(Dong11,ROWS($1:3)),))</f>
        <v>41560</v>
      </c>
      <c r="D16" s="356" t="str">
        <f ca="1">IF(ROWS($1:3)&gt;COUNT(Dong11),"",OFFSET(TH!H$1,SMALL(Dong11,ROWS($1:3)),))</f>
        <v>Xuất sản xuất</v>
      </c>
      <c r="E16" s="354" t="str">
        <f ca="1">IF(ROWS($1:3)&gt;COUNT(Dong11),"",IF(OFFSET(TH!L$1,SMALL(Dong11,ROWS($1:3)),)=$G$7,OFFSET(TH!M$1,SMALL(Dong11,ROWS($1:3)),),OFFSET(TH!L$1,SMALL(Dong11,ROWS($1:3)),)))</f>
        <v>154</v>
      </c>
      <c r="F16" s="357">
        <f ca="1">IF(ROWS($1:3)&gt;COUNT(Dong11),0,OFFSET(TH!J$1,SMALL(Dong11,ROWS($1:3)),))</f>
        <v>8500</v>
      </c>
      <c r="G16" s="357">
        <f ca="1">IF(ROWS($1:3)&gt;COUNT(Dong11),0,IF(MID(OFFSET(TH!D$1,SMALL(Dong11,ROWS($1:3)),),4,1)="N",OFFSET(TH!I$1,SMALL(Dong11,ROWS($1:3)),),0))</f>
        <v>0</v>
      </c>
      <c r="H16" s="358">
        <f t="shared" ca="1" si="1"/>
        <v>0</v>
      </c>
      <c r="I16" s="357">
        <f ca="1">IF(ROWS($1:3)&gt;COUNT(Dong11),0,IF(MID(OFFSET(TH!D$1,SMALL(Dong11,ROWS($1:3)),),4,1)="X",OFFSET(TH!I$1,SMALL(Dong11,ROWS($1:3)),),0))</f>
        <v>0</v>
      </c>
      <c r="J16" s="358">
        <f t="shared" ca="1" si="2"/>
        <v>0</v>
      </c>
      <c r="K16" s="358">
        <f t="shared" ca="1" si="3"/>
        <v>2300</v>
      </c>
      <c r="L16" s="358">
        <f t="shared" ca="1" si="4"/>
        <v>19550000</v>
      </c>
      <c r="M16" s="358"/>
      <c r="N16" s="348"/>
    </row>
    <row r="17" spans="1:16">
      <c r="A17" s="319">
        <f t="shared" ca="1" si="0"/>
        <v>4</v>
      </c>
      <c r="B17" s="354" t="str">
        <f ca="1">IF(ROWS($1:4)&gt;COUNT(Dong11),"",OFFSET(TH!D$1,SMALL(Dong11,ROWS($1:4)),))</f>
        <v>XNL</v>
      </c>
      <c r="C17" s="355">
        <f ca="1">IF(ROWS($1:4)&gt;COUNT(Dong11),"",OFFSET(TH!E$1,SMALL(Dong11,ROWS($1:4)),))</f>
        <v>41575</v>
      </c>
      <c r="D17" s="356" t="str">
        <f ca="1">IF(ROWS($1:4)&gt;COUNT(Dong11),"",OFFSET(TH!H$1,SMALL(Dong11,ROWS($1:4)),))</f>
        <v>Xuất sản xuất</v>
      </c>
      <c r="E17" s="354" t="str">
        <f ca="1">IF(ROWS($1:4)&gt;COUNT(Dong11),"",IF(OFFSET(TH!L$1,SMALL(Dong11,ROWS($1:4)),)=$G$7,OFFSET(TH!M$1,SMALL(Dong11,ROWS($1:4)),),OFFSET(TH!L$1,SMALL(Dong11,ROWS($1:4)),)))</f>
        <v>154</v>
      </c>
      <c r="F17" s="357">
        <f ca="1">IF(ROWS($1:4)&gt;COUNT(Dong11),0,OFFSET(TH!J$1,SMALL(Dong11,ROWS($1:4)),))</f>
        <v>8500</v>
      </c>
      <c r="G17" s="357">
        <f ca="1">IF(ROWS($1:4)&gt;COUNT(Dong11),0,IF(MID(OFFSET(TH!D$1,SMALL(Dong11,ROWS($1:4)),),4,1)="N",OFFSET(TH!I$1,SMALL(Dong11,ROWS($1:4)),),0))</f>
        <v>0</v>
      </c>
      <c r="H17" s="358">
        <f t="shared" ca="1" si="1"/>
        <v>0</v>
      </c>
      <c r="I17" s="357">
        <f ca="1">IF(ROWS($1:4)&gt;COUNT(Dong11),0,IF(MID(OFFSET(TH!D$1,SMALL(Dong11,ROWS($1:4)),),4,1)="X",OFFSET(TH!I$1,SMALL(Dong11,ROWS($1:4)),),0))</f>
        <v>0</v>
      </c>
      <c r="J17" s="358">
        <f t="shared" ca="1" si="2"/>
        <v>0</v>
      </c>
      <c r="K17" s="358">
        <f t="shared" ca="1" si="3"/>
        <v>2300</v>
      </c>
      <c r="L17" s="358">
        <f t="shared" ca="1" si="4"/>
        <v>19550000</v>
      </c>
      <c r="M17" s="358"/>
      <c r="N17" s="348"/>
      <c r="P17" s="360"/>
    </row>
    <row r="18" spans="1:16">
      <c r="A18" s="319">
        <f t="shared" ca="1" si="0"/>
        <v>5</v>
      </c>
      <c r="B18" s="354" t="str">
        <f ca="1">IF(ROWS($1:5)&gt;COUNT(Dong11),"",OFFSET(TH!D$1,SMALL(Dong11,ROWS($1:5)),))</f>
        <v>XNL</v>
      </c>
      <c r="C18" s="355">
        <f ca="1">IF(ROWS($1:5)&gt;COUNT(Dong11),"",OFFSET(TH!E$1,SMALL(Dong11,ROWS($1:5)),))</f>
        <v>41588</v>
      </c>
      <c r="D18" s="356" t="str">
        <f ca="1">IF(ROWS($1:5)&gt;COUNT(Dong11),"",OFFSET(TH!H$1,SMALL(Dong11,ROWS($1:5)),))</f>
        <v>Xuất sản xuất</v>
      </c>
      <c r="E18" s="354" t="str">
        <f ca="1">IF(ROWS($1:5)&gt;COUNT(Dong11),"",IF(OFFSET(TH!L$1,SMALL(Dong11,ROWS($1:5)),)=$G$7,OFFSET(TH!M$1,SMALL(Dong11,ROWS($1:5)),),OFFSET(TH!L$1,SMALL(Dong11,ROWS($1:5)),)))</f>
        <v>154</v>
      </c>
      <c r="F18" s="357">
        <f ca="1">IF(ROWS($1:5)&gt;COUNT(Dong11),0,OFFSET(TH!J$1,SMALL(Dong11,ROWS($1:5)),))</f>
        <v>8500</v>
      </c>
      <c r="G18" s="357">
        <f ca="1">IF(ROWS($1:5)&gt;COUNT(Dong11),0,IF(MID(OFFSET(TH!D$1,SMALL(Dong11,ROWS($1:5)),),4,1)="N",OFFSET(TH!I$1,SMALL(Dong11,ROWS($1:5)),),0))</f>
        <v>0</v>
      </c>
      <c r="H18" s="358">
        <f t="shared" ca="1" si="1"/>
        <v>0</v>
      </c>
      <c r="I18" s="357">
        <f ca="1">IF(ROWS($1:5)&gt;COUNT(Dong11),0,IF(MID(OFFSET(TH!D$1,SMALL(Dong11,ROWS($1:5)),),4,1)="X",OFFSET(TH!I$1,SMALL(Dong11,ROWS($1:5)),),0))</f>
        <v>0</v>
      </c>
      <c r="J18" s="358">
        <f t="shared" ca="1" si="2"/>
        <v>0</v>
      </c>
      <c r="K18" s="358">
        <f t="shared" ca="1" si="3"/>
        <v>2300</v>
      </c>
      <c r="L18" s="358">
        <f t="shared" ca="1" si="4"/>
        <v>19550000</v>
      </c>
      <c r="M18" s="358"/>
      <c r="N18" s="348"/>
    </row>
    <row r="19" spans="1:16">
      <c r="A19" s="319">
        <f t="shared" ca="1" si="0"/>
        <v>6</v>
      </c>
      <c r="B19" s="354" t="str">
        <f ca="1">IF(ROWS($1:6)&gt;COUNT(Dong11),"",OFFSET(TH!D$1,SMALL(Dong11,ROWS($1:6)),))</f>
        <v>XNL</v>
      </c>
      <c r="C19" s="355">
        <f ca="1">IF(ROWS($1:6)&gt;COUNT(Dong11),"",OFFSET(TH!E$1,SMALL(Dong11,ROWS($1:6)),))</f>
        <v>41589</v>
      </c>
      <c r="D19" s="356" t="str">
        <f ca="1">IF(ROWS($1:6)&gt;COUNT(Dong11),"",OFFSET(TH!H$1,SMALL(Dong11,ROWS($1:6)),))</f>
        <v>Xuất sản xuất</v>
      </c>
      <c r="E19" s="354" t="str">
        <f ca="1">IF(ROWS($1:6)&gt;COUNT(Dong11),"",IF(OFFSET(TH!L$1,SMALL(Dong11,ROWS($1:6)),)=$G$7,OFFSET(TH!M$1,SMALL(Dong11,ROWS($1:6)),),OFFSET(TH!L$1,SMALL(Dong11,ROWS($1:6)),)))</f>
        <v>154</v>
      </c>
      <c r="F19" s="357">
        <f ca="1">IF(ROWS($1:6)&gt;COUNT(Dong11),0,OFFSET(TH!J$1,SMALL(Dong11,ROWS($1:6)),))</f>
        <v>8500</v>
      </c>
      <c r="G19" s="357">
        <f ca="1">IF(ROWS($1:6)&gt;COUNT(Dong11),0,IF(MID(OFFSET(TH!D$1,SMALL(Dong11,ROWS($1:6)),),4,1)="N",OFFSET(TH!I$1,SMALL(Dong11,ROWS($1:6)),),0))</f>
        <v>0</v>
      </c>
      <c r="H19" s="358">
        <f t="shared" ca="1" si="1"/>
        <v>0</v>
      </c>
      <c r="I19" s="357">
        <f ca="1">IF(ROWS($1:6)&gt;COUNT(Dong11),0,IF(MID(OFFSET(TH!D$1,SMALL(Dong11,ROWS($1:6)),),4,1)="X",OFFSET(TH!I$1,SMALL(Dong11,ROWS($1:6)),),0))</f>
        <v>0</v>
      </c>
      <c r="J19" s="358">
        <f t="shared" ca="1" si="2"/>
        <v>0</v>
      </c>
      <c r="K19" s="358">
        <f t="shared" ca="1" si="3"/>
        <v>2300</v>
      </c>
      <c r="L19" s="358">
        <f t="shared" ca="1" si="4"/>
        <v>19550000</v>
      </c>
      <c r="M19" s="358"/>
      <c r="N19" s="348"/>
    </row>
    <row r="20" spans="1:16">
      <c r="A20" s="319" t="str">
        <f t="shared" ca="1" si="0"/>
        <v/>
      </c>
      <c r="B20" s="354" t="str">
        <f ca="1">IF(ROWS($1:7)&gt;COUNT(Dong11),"",OFFSET(TH!D$1,SMALL(Dong11,ROWS($1:7)),))</f>
        <v/>
      </c>
      <c r="C20" s="355" t="str">
        <f ca="1">IF(ROWS($1:7)&gt;COUNT(Dong11),"",OFFSET(TH!E$1,SMALL(Dong11,ROWS($1:7)),))</f>
        <v/>
      </c>
      <c r="D20" s="356" t="str">
        <f ca="1">IF(ROWS($1:7)&gt;COUNT(Dong11),"",OFFSET(TH!H$1,SMALL(Dong11,ROWS($1:7)),))</f>
        <v/>
      </c>
      <c r="E20" s="354" t="str">
        <f ca="1">IF(ROWS($1:7)&gt;COUNT(Dong11),"",IF(OFFSET(TH!L$1,SMALL(Dong11,ROWS($1:7)),)=$G$7,OFFSET(TH!M$1,SMALL(Dong11,ROWS($1:7)),),OFFSET(TH!L$1,SMALL(Dong11,ROWS($1:7)),)))</f>
        <v/>
      </c>
      <c r="F20" s="357">
        <f ca="1">IF(ROWS($1:7)&gt;COUNT(Dong11),0,OFFSET(TH!J$1,SMALL(Dong11,ROWS($1:7)),))</f>
        <v>0</v>
      </c>
      <c r="G20" s="357">
        <f ca="1">IF(ROWS($1:7)&gt;COUNT(Dong11),0,IF(MID(OFFSET(TH!D$1,SMALL(Dong11,ROWS($1:7)),),4,1)="N",OFFSET(TH!I$1,SMALL(Dong11,ROWS($1:7)),),0))</f>
        <v>0</v>
      </c>
      <c r="H20" s="358">
        <f t="shared" ca="1" si="1"/>
        <v>0</v>
      </c>
      <c r="I20" s="357">
        <f ca="1">IF(ROWS($1:7)&gt;COUNT(Dong11),0,IF(MID(OFFSET(TH!D$1,SMALL(Dong11,ROWS($1:7)),),4,1)="X",OFFSET(TH!I$1,SMALL(Dong11,ROWS($1:7)),),0))</f>
        <v>0</v>
      </c>
      <c r="J20" s="358">
        <f t="shared" ca="1" si="2"/>
        <v>0</v>
      </c>
      <c r="K20" s="358">
        <f t="shared" ca="1" si="3"/>
        <v>0</v>
      </c>
      <c r="L20" s="358">
        <f t="shared" ca="1" si="4"/>
        <v>0</v>
      </c>
      <c r="M20" s="358"/>
      <c r="N20" s="348"/>
    </row>
    <row r="21" spans="1:16">
      <c r="A21" s="319" t="str">
        <f t="shared" ca="1" si="0"/>
        <v/>
      </c>
      <c r="B21" s="354" t="str">
        <f ca="1">IF(ROWS($1:8)&gt;COUNT(Dong11),"",OFFSET(TH!D$1,SMALL(Dong11,ROWS($1:8)),))</f>
        <v/>
      </c>
      <c r="C21" s="355" t="str">
        <f ca="1">IF(ROWS($1:8)&gt;COUNT(Dong11),"",OFFSET(TH!E$1,SMALL(Dong11,ROWS($1:8)),))</f>
        <v/>
      </c>
      <c r="D21" s="356" t="str">
        <f ca="1">IF(ROWS($1:8)&gt;COUNT(Dong11),"",OFFSET(TH!H$1,SMALL(Dong11,ROWS($1:8)),))</f>
        <v/>
      </c>
      <c r="E21" s="354" t="str">
        <f ca="1">IF(ROWS($1:8)&gt;COUNT(Dong11),"",IF(OFFSET(TH!L$1,SMALL(Dong11,ROWS($1:8)),)=$G$7,OFFSET(TH!M$1,SMALL(Dong11,ROWS($1:8)),),OFFSET(TH!L$1,SMALL(Dong11,ROWS($1:8)),)))</f>
        <v/>
      </c>
      <c r="F21" s="357">
        <f ca="1">IF(ROWS($1:8)&gt;COUNT(Dong11),0,OFFSET(TH!J$1,SMALL(Dong11,ROWS($1:8)),))</f>
        <v>0</v>
      </c>
      <c r="G21" s="357">
        <f ca="1">IF(ROWS($1:8)&gt;COUNT(Dong11),0,IF(MID(OFFSET(TH!D$1,SMALL(Dong11,ROWS($1:8)),),4,1)="N",OFFSET(TH!I$1,SMALL(Dong11,ROWS($1:8)),),0))</f>
        <v>0</v>
      </c>
      <c r="H21" s="358">
        <f t="shared" ca="1" si="1"/>
        <v>0</v>
      </c>
      <c r="I21" s="357">
        <f ca="1">IF(ROWS($1:8)&gt;COUNT(Dong11),0,IF(MID(OFFSET(TH!D$1,SMALL(Dong11,ROWS($1:8)),),4,1)="X",OFFSET(TH!I$1,SMALL(Dong11,ROWS($1:8)),),0))</f>
        <v>0</v>
      </c>
      <c r="J21" s="358">
        <f t="shared" ca="1" si="2"/>
        <v>0</v>
      </c>
      <c r="K21" s="358">
        <f t="shared" ca="1" si="3"/>
        <v>0</v>
      </c>
      <c r="L21" s="358">
        <f t="shared" ca="1" si="4"/>
        <v>0</v>
      </c>
      <c r="M21" s="358"/>
      <c r="N21" s="348"/>
    </row>
    <row r="22" spans="1:16">
      <c r="A22" s="319" t="str">
        <f t="shared" ca="1" si="0"/>
        <v/>
      </c>
      <c r="B22" s="354" t="str">
        <f ca="1">IF(ROWS($1:9)&gt;COUNT(Dong11),"",OFFSET(TH!D$1,SMALL(Dong11,ROWS($1:9)),))</f>
        <v/>
      </c>
      <c r="C22" s="355" t="str">
        <f ca="1">IF(ROWS($1:9)&gt;COUNT(Dong11),"",OFFSET(TH!E$1,SMALL(Dong11,ROWS($1:9)),))</f>
        <v/>
      </c>
      <c r="D22" s="356" t="str">
        <f ca="1">IF(ROWS($1:9)&gt;COUNT(Dong11),"",OFFSET(TH!H$1,SMALL(Dong11,ROWS($1:9)),))</f>
        <v/>
      </c>
      <c r="E22" s="354" t="str">
        <f ca="1">IF(ROWS($1:9)&gt;COUNT(Dong11),"",IF(OFFSET(TH!L$1,SMALL(Dong11,ROWS($1:9)),)=$G$7,OFFSET(TH!M$1,SMALL(Dong11,ROWS($1:9)),),OFFSET(TH!L$1,SMALL(Dong11,ROWS($1:9)),)))</f>
        <v/>
      </c>
      <c r="F22" s="357">
        <f ca="1">IF(ROWS($1:9)&gt;COUNT(Dong11),0,OFFSET(TH!J$1,SMALL(Dong11,ROWS($1:9)),))</f>
        <v>0</v>
      </c>
      <c r="G22" s="357">
        <f ca="1">IF(ROWS($1:9)&gt;COUNT(Dong11),0,IF(MID(OFFSET(TH!D$1,SMALL(Dong11,ROWS($1:9)),),4,1)="N",OFFSET(TH!I$1,SMALL(Dong11,ROWS($1:9)),),0))</f>
        <v>0</v>
      </c>
      <c r="H22" s="358">
        <f t="shared" ca="1" si="1"/>
        <v>0</v>
      </c>
      <c r="I22" s="357">
        <f ca="1">IF(ROWS($1:9)&gt;COUNT(Dong11),0,IF(MID(OFFSET(TH!D$1,SMALL(Dong11,ROWS($1:9)),),4,1)="X",OFFSET(TH!I$1,SMALL(Dong11,ROWS($1:9)),),0))</f>
        <v>0</v>
      </c>
      <c r="J22" s="358">
        <f t="shared" ca="1" si="2"/>
        <v>0</v>
      </c>
      <c r="K22" s="358">
        <f t="shared" ca="1" si="3"/>
        <v>0</v>
      </c>
      <c r="L22" s="358">
        <f t="shared" ca="1" si="4"/>
        <v>0</v>
      </c>
      <c r="M22" s="358"/>
      <c r="N22" s="348"/>
    </row>
    <row r="23" spans="1:16">
      <c r="A23" s="319" t="str">
        <f t="shared" ca="1" si="0"/>
        <v/>
      </c>
      <c r="B23" s="354" t="str">
        <f ca="1">IF(ROWS($1:10)&gt;COUNT(Dong11),"",OFFSET(TH!D$1,SMALL(Dong11,ROWS($1:10)),))</f>
        <v/>
      </c>
      <c r="C23" s="355" t="str">
        <f ca="1">IF(ROWS($1:10)&gt;COUNT(Dong11),"",OFFSET(TH!E$1,SMALL(Dong11,ROWS($1:10)),))</f>
        <v/>
      </c>
      <c r="D23" s="356" t="str">
        <f ca="1">IF(ROWS($1:10)&gt;COUNT(Dong11),"",OFFSET(TH!H$1,SMALL(Dong11,ROWS($1:10)),))</f>
        <v/>
      </c>
      <c r="E23" s="354" t="str">
        <f ca="1">IF(ROWS($1:10)&gt;COUNT(Dong11),"",IF(OFFSET(TH!L$1,SMALL(Dong11,ROWS($1:10)),)=$G$7,OFFSET(TH!M$1,SMALL(Dong11,ROWS($1:10)),),OFFSET(TH!L$1,SMALL(Dong11,ROWS($1:10)),)))</f>
        <v/>
      </c>
      <c r="F23" s="357">
        <f ca="1">IF(ROWS($1:10)&gt;COUNT(Dong11),0,OFFSET(TH!J$1,SMALL(Dong11,ROWS($1:10)),))</f>
        <v>0</v>
      </c>
      <c r="G23" s="357">
        <f ca="1">IF(ROWS($1:10)&gt;COUNT(Dong11),0,IF(MID(OFFSET(TH!D$1,SMALL(Dong11,ROWS($1:10)),),4,1)="N",OFFSET(TH!I$1,SMALL(Dong11,ROWS($1:10)),),0))</f>
        <v>0</v>
      </c>
      <c r="H23" s="358">
        <f t="shared" ca="1" si="1"/>
        <v>0</v>
      </c>
      <c r="I23" s="357">
        <f ca="1">IF(ROWS($1:10)&gt;COUNT(Dong11),0,IF(MID(OFFSET(TH!D$1,SMALL(Dong11,ROWS($1:10)),),4,1)="X",OFFSET(TH!I$1,SMALL(Dong11,ROWS($1:10)),),0))</f>
        <v>0</v>
      </c>
      <c r="J23" s="358">
        <f t="shared" ca="1" si="2"/>
        <v>0</v>
      </c>
      <c r="K23" s="358">
        <f t="shared" ca="1" si="3"/>
        <v>0</v>
      </c>
      <c r="L23" s="358">
        <f t="shared" ca="1" si="4"/>
        <v>0</v>
      </c>
      <c r="M23" s="358"/>
      <c r="N23" s="348"/>
    </row>
    <row r="24" spans="1:16">
      <c r="A24" s="319" t="str">
        <f t="shared" ca="1" si="0"/>
        <v/>
      </c>
      <c r="B24" s="354" t="str">
        <f ca="1">IF(ROWS($1:11)&gt;COUNT(Dong11),"",OFFSET(TH!D$1,SMALL(Dong11,ROWS($1:11)),))</f>
        <v/>
      </c>
      <c r="C24" s="355" t="str">
        <f ca="1">IF(ROWS($1:11)&gt;COUNT(Dong11),"",OFFSET(TH!E$1,SMALL(Dong11,ROWS($1:11)),))</f>
        <v/>
      </c>
      <c r="D24" s="356" t="str">
        <f ca="1">IF(ROWS($1:11)&gt;COUNT(Dong11),"",OFFSET(TH!H$1,SMALL(Dong11,ROWS($1:11)),))</f>
        <v/>
      </c>
      <c r="E24" s="354" t="str">
        <f ca="1">IF(ROWS($1:11)&gt;COUNT(Dong11),"",IF(OFFSET(TH!L$1,SMALL(Dong11,ROWS($1:11)),)=$G$7,OFFSET(TH!M$1,SMALL(Dong11,ROWS($1:11)),),OFFSET(TH!L$1,SMALL(Dong11,ROWS($1:11)),)))</f>
        <v/>
      </c>
      <c r="F24" s="357">
        <f ca="1">IF(ROWS($1:11)&gt;COUNT(Dong11),0,OFFSET(TH!J$1,SMALL(Dong11,ROWS($1:11)),))</f>
        <v>0</v>
      </c>
      <c r="G24" s="357">
        <f ca="1">IF(ROWS($1:11)&gt;COUNT(Dong11),0,IF(MID(OFFSET(TH!D$1,SMALL(Dong11,ROWS($1:11)),),4,1)="N",OFFSET(TH!I$1,SMALL(Dong11,ROWS($1:11)),),0))</f>
        <v>0</v>
      </c>
      <c r="H24" s="358">
        <f t="shared" ca="1" si="1"/>
        <v>0</v>
      </c>
      <c r="I24" s="357">
        <f ca="1">IF(ROWS($1:11)&gt;COUNT(Dong11),0,IF(MID(OFFSET(TH!D$1,SMALL(Dong11,ROWS($1:11)),),4,1)="X",OFFSET(TH!I$1,SMALL(Dong11,ROWS($1:11)),),0))</f>
        <v>0</v>
      </c>
      <c r="J24" s="358">
        <f t="shared" ca="1" si="2"/>
        <v>0</v>
      </c>
      <c r="K24" s="358">
        <f t="shared" ca="1" si="3"/>
        <v>0</v>
      </c>
      <c r="L24" s="358">
        <f t="shared" ca="1" si="4"/>
        <v>0</v>
      </c>
      <c r="M24" s="358"/>
      <c r="N24" s="348"/>
    </row>
    <row r="25" spans="1:16">
      <c r="A25" s="319" t="str">
        <f t="shared" ref="A25:A38" ca="1" si="5">IF(B25="","",A24+1)</f>
        <v/>
      </c>
      <c r="B25" s="354" t="str">
        <f ca="1">IF(ROWS($1:12)&gt;COUNT(Dong11),"",OFFSET(TH!D$1,SMALL(Dong11,ROWS($1:12)),))</f>
        <v/>
      </c>
      <c r="C25" s="355" t="str">
        <f ca="1">IF(ROWS($1:12)&gt;COUNT(Dong11),"",OFFSET(TH!E$1,SMALL(Dong11,ROWS($1:12)),))</f>
        <v/>
      </c>
      <c r="D25" s="356" t="str">
        <f ca="1">IF(ROWS($1:12)&gt;COUNT(Dong11),"",OFFSET(TH!H$1,SMALL(Dong11,ROWS($1:12)),))</f>
        <v/>
      </c>
      <c r="E25" s="354" t="str">
        <f ca="1">IF(ROWS($1:12)&gt;COUNT(Dong11),"",IF(OFFSET(TH!L$1,SMALL(Dong11,ROWS($1:12)),)=$G$7,OFFSET(TH!M$1,SMALL(Dong11,ROWS($1:12)),),OFFSET(TH!L$1,SMALL(Dong11,ROWS($1:12)),)))</f>
        <v/>
      </c>
      <c r="F25" s="357">
        <f ca="1">IF(ROWS($1:12)&gt;COUNT(Dong11),0,OFFSET(TH!J$1,SMALL(Dong11,ROWS($1:12)),))</f>
        <v>0</v>
      </c>
      <c r="G25" s="357">
        <f ca="1">IF(ROWS($1:12)&gt;COUNT(Dong11),0,IF(MID(OFFSET(TH!D$1,SMALL(Dong11,ROWS($1:12)),),4,1)="N",OFFSET(TH!I$1,SMALL(Dong11,ROWS($1:12)),),0))</f>
        <v>0</v>
      </c>
      <c r="H25" s="358">
        <f t="shared" ref="H25:H38" ca="1" si="6">ROUND(F25*G25,0)</f>
        <v>0</v>
      </c>
      <c r="I25" s="357">
        <f ca="1">IF(ROWS($1:12)&gt;COUNT(Dong11),0,IF(MID(OFFSET(TH!D$1,SMALL(Dong11,ROWS($1:12)),),4,1)="X",OFFSET(TH!I$1,SMALL(Dong11,ROWS($1:12)),),0))</f>
        <v>0</v>
      </c>
      <c r="J25" s="358">
        <f t="shared" ref="J25:J38" ca="1" si="7">ROUND(F25*I25,0)</f>
        <v>0</v>
      </c>
      <c r="K25" s="358">
        <f t="shared" ref="K25:K38" ca="1" si="8">IF(D25&lt;&gt;"",K24+G25-I25,0)</f>
        <v>0</v>
      </c>
      <c r="L25" s="358">
        <f t="shared" ref="L25:L38" ca="1" si="9">IF(D25&lt;&gt;"",L24+H25-J25,0)</f>
        <v>0</v>
      </c>
      <c r="M25" s="358"/>
      <c r="N25" s="348"/>
    </row>
    <row r="26" spans="1:16">
      <c r="A26" s="319" t="str">
        <f t="shared" ca="1" si="5"/>
        <v/>
      </c>
      <c r="B26" s="354" t="str">
        <f ca="1">IF(ROWS($1:13)&gt;COUNT(Dong11),"",OFFSET(TH!D$1,SMALL(Dong11,ROWS($1:13)),))</f>
        <v/>
      </c>
      <c r="C26" s="355" t="str">
        <f ca="1">IF(ROWS($1:13)&gt;COUNT(Dong11),"",OFFSET(TH!E$1,SMALL(Dong11,ROWS($1:13)),))</f>
        <v/>
      </c>
      <c r="D26" s="356" t="str">
        <f ca="1">IF(ROWS($1:13)&gt;COUNT(Dong11),"",OFFSET(TH!H$1,SMALL(Dong11,ROWS($1:13)),))</f>
        <v/>
      </c>
      <c r="E26" s="354" t="str">
        <f ca="1">IF(ROWS($1:13)&gt;COUNT(Dong11),"",IF(OFFSET(TH!L$1,SMALL(Dong11,ROWS($1:13)),)=$G$7,OFFSET(TH!M$1,SMALL(Dong11,ROWS($1:13)),),OFFSET(TH!L$1,SMALL(Dong11,ROWS($1:13)),)))</f>
        <v/>
      </c>
      <c r="F26" s="357">
        <f ca="1">IF(ROWS($1:13)&gt;COUNT(Dong11),0,OFFSET(TH!J$1,SMALL(Dong11,ROWS($1:13)),))</f>
        <v>0</v>
      </c>
      <c r="G26" s="357">
        <f ca="1">IF(ROWS($1:13)&gt;COUNT(Dong11),0,IF(MID(OFFSET(TH!D$1,SMALL(Dong11,ROWS($1:13)),),4,1)="N",OFFSET(TH!I$1,SMALL(Dong11,ROWS($1:13)),),0))</f>
        <v>0</v>
      </c>
      <c r="H26" s="358">
        <f t="shared" ca="1" si="6"/>
        <v>0</v>
      </c>
      <c r="I26" s="357">
        <f ca="1">IF(ROWS($1:13)&gt;COUNT(Dong11),0,IF(MID(OFFSET(TH!D$1,SMALL(Dong11,ROWS($1:13)),),4,1)="X",OFFSET(TH!I$1,SMALL(Dong11,ROWS($1:13)),),0))</f>
        <v>0</v>
      </c>
      <c r="J26" s="358">
        <f t="shared" ca="1" si="7"/>
        <v>0</v>
      </c>
      <c r="K26" s="358">
        <f t="shared" ca="1" si="8"/>
        <v>0</v>
      </c>
      <c r="L26" s="358">
        <f t="shared" ca="1" si="9"/>
        <v>0</v>
      </c>
      <c r="M26" s="358"/>
      <c r="N26" s="348"/>
    </row>
    <row r="27" spans="1:16">
      <c r="A27" s="319" t="str">
        <f t="shared" ca="1" si="5"/>
        <v/>
      </c>
      <c r="B27" s="354" t="str">
        <f ca="1">IF(ROWS($1:14)&gt;COUNT(Dong11),"",OFFSET(TH!D$1,SMALL(Dong11,ROWS($1:14)),))</f>
        <v/>
      </c>
      <c r="C27" s="355" t="str">
        <f ca="1">IF(ROWS($1:14)&gt;COUNT(Dong11),"",OFFSET(TH!E$1,SMALL(Dong11,ROWS($1:14)),))</f>
        <v/>
      </c>
      <c r="D27" s="356" t="str">
        <f ca="1">IF(ROWS($1:14)&gt;COUNT(Dong11),"",OFFSET(TH!H$1,SMALL(Dong11,ROWS($1:14)),))</f>
        <v/>
      </c>
      <c r="E27" s="354" t="str">
        <f ca="1">IF(ROWS($1:14)&gt;COUNT(Dong11),"",IF(OFFSET(TH!L$1,SMALL(Dong11,ROWS($1:14)),)=$G$7,OFFSET(TH!M$1,SMALL(Dong11,ROWS($1:14)),),OFFSET(TH!L$1,SMALL(Dong11,ROWS($1:14)),)))</f>
        <v/>
      </c>
      <c r="F27" s="357">
        <f ca="1">IF(ROWS($1:14)&gt;COUNT(Dong11),0,OFFSET(TH!J$1,SMALL(Dong11,ROWS($1:14)),))</f>
        <v>0</v>
      </c>
      <c r="G27" s="357">
        <f ca="1">IF(ROWS($1:14)&gt;COUNT(Dong11),0,IF(MID(OFFSET(TH!D$1,SMALL(Dong11,ROWS($1:14)),),4,1)="N",OFFSET(TH!I$1,SMALL(Dong11,ROWS($1:14)),),0))</f>
        <v>0</v>
      </c>
      <c r="H27" s="358">
        <f t="shared" ca="1" si="6"/>
        <v>0</v>
      </c>
      <c r="I27" s="357">
        <f ca="1">IF(ROWS($1:14)&gt;COUNT(Dong11),0,IF(MID(OFFSET(TH!D$1,SMALL(Dong11,ROWS($1:14)),),4,1)="X",OFFSET(TH!I$1,SMALL(Dong11,ROWS($1:14)),),0))</f>
        <v>0</v>
      </c>
      <c r="J27" s="358">
        <f t="shared" ca="1" si="7"/>
        <v>0</v>
      </c>
      <c r="K27" s="358">
        <f t="shared" ca="1" si="8"/>
        <v>0</v>
      </c>
      <c r="L27" s="358">
        <f t="shared" ca="1" si="9"/>
        <v>0</v>
      </c>
      <c r="M27" s="358"/>
      <c r="N27" s="348"/>
    </row>
    <row r="28" spans="1:16">
      <c r="A28" s="319" t="str">
        <f t="shared" ca="1" si="5"/>
        <v/>
      </c>
      <c r="B28" s="354" t="str">
        <f ca="1">IF(ROWS($1:15)&gt;COUNT(Dong11),"",OFFSET(TH!D$1,SMALL(Dong11,ROWS($1:15)),))</f>
        <v/>
      </c>
      <c r="C28" s="355" t="str">
        <f ca="1">IF(ROWS($1:15)&gt;COUNT(Dong11),"",OFFSET(TH!E$1,SMALL(Dong11,ROWS($1:15)),))</f>
        <v/>
      </c>
      <c r="D28" s="356" t="str">
        <f ca="1">IF(ROWS($1:15)&gt;COUNT(Dong11),"",OFFSET(TH!H$1,SMALL(Dong11,ROWS($1:15)),))</f>
        <v/>
      </c>
      <c r="E28" s="354" t="str">
        <f ca="1">IF(ROWS($1:15)&gt;COUNT(Dong11),"",IF(OFFSET(TH!L$1,SMALL(Dong11,ROWS($1:15)),)=$G$7,OFFSET(TH!M$1,SMALL(Dong11,ROWS($1:15)),),OFFSET(TH!L$1,SMALL(Dong11,ROWS($1:15)),)))</f>
        <v/>
      </c>
      <c r="F28" s="357">
        <f ca="1">IF(ROWS($1:15)&gt;COUNT(Dong11),0,OFFSET(TH!J$1,SMALL(Dong11,ROWS($1:15)),))</f>
        <v>0</v>
      </c>
      <c r="G28" s="357">
        <f ca="1">IF(ROWS($1:15)&gt;COUNT(Dong11),0,IF(MID(OFFSET(TH!D$1,SMALL(Dong11,ROWS($1:15)),),4,1)="N",OFFSET(TH!I$1,SMALL(Dong11,ROWS($1:15)),),0))</f>
        <v>0</v>
      </c>
      <c r="H28" s="358">
        <f t="shared" ca="1" si="6"/>
        <v>0</v>
      </c>
      <c r="I28" s="357">
        <f ca="1">IF(ROWS($1:15)&gt;COUNT(Dong11),0,IF(MID(OFFSET(TH!D$1,SMALL(Dong11,ROWS($1:15)),),4,1)="X",OFFSET(TH!I$1,SMALL(Dong11,ROWS($1:15)),),0))</f>
        <v>0</v>
      </c>
      <c r="J28" s="358">
        <f t="shared" ca="1" si="7"/>
        <v>0</v>
      </c>
      <c r="K28" s="358">
        <f t="shared" ca="1" si="8"/>
        <v>0</v>
      </c>
      <c r="L28" s="358">
        <f t="shared" ca="1" si="9"/>
        <v>0</v>
      </c>
      <c r="M28" s="358"/>
      <c r="N28" s="348"/>
    </row>
    <row r="29" spans="1:16">
      <c r="A29" s="319" t="str">
        <f t="shared" ca="1" si="5"/>
        <v/>
      </c>
      <c r="B29" s="354" t="str">
        <f ca="1">IF(ROWS($1:16)&gt;COUNT(Dong11),"",OFFSET(TH!D$1,SMALL(Dong11,ROWS($1:16)),))</f>
        <v/>
      </c>
      <c r="C29" s="355" t="str">
        <f ca="1">IF(ROWS($1:16)&gt;COUNT(Dong11),"",OFFSET(TH!E$1,SMALL(Dong11,ROWS($1:16)),))</f>
        <v/>
      </c>
      <c r="D29" s="356" t="str">
        <f ca="1">IF(ROWS($1:16)&gt;COUNT(Dong11),"",OFFSET(TH!H$1,SMALL(Dong11,ROWS($1:16)),))</f>
        <v/>
      </c>
      <c r="E29" s="354" t="str">
        <f ca="1">IF(ROWS($1:16)&gt;COUNT(Dong11),"",IF(OFFSET(TH!L$1,SMALL(Dong11,ROWS($1:16)),)=$G$7,OFFSET(TH!M$1,SMALL(Dong11,ROWS($1:16)),),OFFSET(TH!L$1,SMALL(Dong11,ROWS($1:16)),)))</f>
        <v/>
      </c>
      <c r="F29" s="357">
        <f ca="1">IF(ROWS($1:16)&gt;COUNT(Dong11),0,OFFSET(TH!J$1,SMALL(Dong11,ROWS($1:16)),))</f>
        <v>0</v>
      </c>
      <c r="G29" s="357">
        <f ca="1">IF(ROWS($1:16)&gt;COUNT(Dong11),0,IF(MID(OFFSET(TH!D$1,SMALL(Dong11,ROWS($1:16)),),4,1)="N",OFFSET(TH!I$1,SMALL(Dong11,ROWS($1:16)),),0))</f>
        <v>0</v>
      </c>
      <c r="H29" s="358">
        <f t="shared" ca="1" si="6"/>
        <v>0</v>
      </c>
      <c r="I29" s="357">
        <f ca="1">IF(ROWS($1:16)&gt;COUNT(Dong11),0,IF(MID(OFFSET(TH!D$1,SMALL(Dong11,ROWS($1:16)),),4,1)="X",OFFSET(TH!I$1,SMALL(Dong11,ROWS($1:16)),),0))</f>
        <v>0</v>
      </c>
      <c r="J29" s="358">
        <f t="shared" ca="1" si="7"/>
        <v>0</v>
      </c>
      <c r="K29" s="358">
        <f t="shared" ca="1" si="8"/>
        <v>0</v>
      </c>
      <c r="L29" s="358">
        <f t="shared" ca="1" si="9"/>
        <v>0</v>
      </c>
      <c r="M29" s="358"/>
      <c r="N29" s="348"/>
    </row>
    <row r="30" spans="1:16">
      <c r="A30" s="319" t="str">
        <f t="shared" ca="1" si="5"/>
        <v/>
      </c>
      <c r="B30" s="354" t="str">
        <f ca="1">IF(ROWS($1:17)&gt;COUNT(Dong11),"",OFFSET(TH!D$1,SMALL(Dong11,ROWS($1:17)),))</f>
        <v/>
      </c>
      <c r="C30" s="355" t="str">
        <f ca="1">IF(ROWS($1:17)&gt;COUNT(Dong11),"",OFFSET(TH!E$1,SMALL(Dong11,ROWS($1:17)),))</f>
        <v/>
      </c>
      <c r="D30" s="356" t="str">
        <f ca="1">IF(ROWS($1:17)&gt;COUNT(Dong11),"",OFFSET(TH!H$1,SMALL(Dong11,ROWS($1:17)),))</f>
        <v/>
      </c>
      <c r="E30" s="354" t="str">
        <f ca="1">IF(ROWS($1:17)&gt;COUNT(Dong11),"",IF(OFFSET(TH!L$1,SMALL(Dong11,ROWS($1:17)),)=$G$7,OFFSET(TH!M$1,SMALL(Dong11,ROWS($1:17)),),OFFSET(TH!L$1,SMALL(Dong11,ROWS($1:17)),)))</f>
        <v/>
      </c>
      <c r="F30" s="357">
        <f ca="1">IF(ROWS($1:17)&gt;COUNT(Dong11),0,OFFSET(TH!J$1,SMALL(Dong11,ROWS($1:17)),))</f>
        <v>0</v>
      </c>
      <c r="G30" s="357">
        <f ca="1">IF(ROWS($1:17)&gt;COUNT(Dong11),0,IF(MID(OFFSET(TH!D$1,SMALL(Dong11,ROWS($1:17)),),4,1)="N",OFFSET(TH!I$1,SMALL(Dong11,ROWS($1:17)),),0))</f>
        <v>0</v>
      </c>
      <c r="H30" s="358">
        <f t="shared" ca="1" si="6"/>
        <v>0</v>
      </c>
      <c r="I30" s="357">
        <f ca="1">IF(ROWS($1:17)&gt;COUNT(Dong11),0,IF(MID(OFFSET(TH!D$1,SMALL(Dong11,ROWS($1:17)),),4,1)="X",OFFSET(TH!I$1,SMALL(Dong11,ROWS($1:17)),),0))</f>
        <v>0</v>
      </c>
      <c r="J30" s="358">
        <f t="shared" ca="1" si="7"/>
        <v>0</v>
      </c>
      <c r="K30" s="358">
        <f t="shared" ca="1" si="8"/>
        <v>0</v>
      </c>
      <c r="L30" s="358">
        <f t="shared" ca="1" si="9"/>
        <v>0</v>
      </c>
      <c r="M30" s="358"/>
      <c r="N30" s="348"/>
    </row>
    <row r="31" spans="1:16">
      <c r="A31" s="319" t="str">
        <f t="shared" ca="1" si="5"/>
        <v/>
      </c>
      <c r="B31" s="354" t="str">
        <f ca="1">IF(ROWS($1:18)&gt;COUNT(Dong11),"",OFFSET(TH!D$1,SMALL(Dong11,ROWS($1:18)),))</f>
        <v/>
      </c>
      <c r="C31" s="355" t="str">
        <f ca="1">IF(ROWS($1:18)&gt;COUNT(Dong11),"",OFFSET(TH!E$1,SMALL(Dong11,ROWS($1:18)),))</f>
        <v/>
      </c>
      <c r="D31" s="356" t="str">
        <f ca="1">IF(ROWS($1:18)&gt;COUNT(Dong11),"",OFFSET(TH!H$1,SMALL(Dong11,ROWS($1:18)),))</f>
        <v/>
      </c>
      <c r="E31" s="354" t="str">
        <f ca="1">IF(ROWS($1:18)&gt;COUNT(Dong11),"",IF(OFFSET(TH!L$1,SMALL(Dong11,ROWS($1:18)),)=$G$7,OFFSET(TH!M$1,SMALL(Dong11,ROWS($1:18)),),OFFSET(TH!L$1,SMALL(Dong11,ROWS($1:18)),)))</f>
        <v/>
      </c>
      <c r="F31" s="357">
        <f ca="1">IF(ROWS($1:18)&gt;COUNT(Dong11),0,OFFSET(TH!J$1,SMALL(Dong11,ROWS($1:18)),))</f>
        <v>0</v>
      </c>
      <c r="G31" s="357">
        <f ca="1">IF(ROWS($1:18)&gt;COUNT(Dong11),0,IF(MID(OFFSET(TH!D$1,SMALL(Dong11,ROWS($1:18)),),4,1)="N",OFFSET(TH!I$1,SMALL(Dong11,ROWS($1:18)),),0))</f>
        <v>0</v>
      </c>
      <c r="H31" s="358">
        <f t="shared" ca="1" si="6"/>
        <v>0</v>
      </c>
      <c r="I31" s="357">
        <f ca="1">IF(ROWS($1:18)&gt;COUNT(Dong11),0,IF(MID(OFFSET(TH!D$1,SMALL(Dong11,ROWS($1:18)),),4,1)="X",OFFSET(TH!I$1,SMALL(Dong11,ROWS($1:18)),),0))</f>
        <v>0</v>
      </c>
      <c r="J31" s="358">
        <f t="shared" ca="1" si="7"/>
        <v>0</v>
      </c>
      <c r="K31" s="358">
        <f t="shared" ca="1" si="8"/>
        <v>0</v>
      </c>
      <c r="L31" s="358">
        <f t="shared" ca="1" si="9"/>
        <v>0</v>
      </c>
      <c r="M31" s="358"/>
      <c r="N31" s="348"/>
    </row>
    <row r="32" spans="1:16">
      <c r="A32" s="319" t="str">
        <f t="shared" ca="1" si="5"/>
        <v/>
      </c>
      <c r="B32" s="354" t="str">
        <f ca="1">IF(ROWS($1:19)&gt;COUNT(Dong11),"",OFFSET(TH!D$1,SMALL(Dong11,ROWS($1:19)),))</f>
        <v/>
      </c>
      <c r="C32" s="355" t="str">
        <f ca="1">IF(ROWS($1:19)&gt;COUNT(Dong11),"",OFFSET(TH!E$1,SMALL(Dong11,ROWS($1:19)),))</f>
        <v/>
      </c>
      <c r="D32" s="356" t="str">
        <f ca="1">IF(ROWS($1:19)&gt;COUNT(Dong11),"",OFFSET(TH!H$1,SMALL(Dong11,ROWS($1:19)),))</f>
        <v/>
      </c>
      <c r="E32" s="354" t="str">
        <f ca="1">IF(ROWS($1:19)&gt;COUNT(Dong11),"",IF(OFFSET(TH!L$1,SMALL(Dong11,ROWS($1:19)),)=$G$7,OFFSET(TH!M$1,SMALL(Dong11,ROWS($1:19)),),OFFSET(TH!L$1,SMALL(Dong11,ROWS($1:19)),)))</f>
        <v/>
      </c>
      <c r="F32" s="357">
        <f ca="1">IF(ROWS($1:19)&gt;COUNT(Dong11),0,OFFSET(TH!J$1,SMALL(Dong11,ROWS($1:19)),))</f>
        <v>0</v>
      </c>
      <c r="G32" s="357">
        <f ca="1">IF(ROWS($1:19)&gt;COUNT(Dong11),0,IF(MID(OFFSET(TH!D$1,SMALL(Dong11,ROWS($1:19)),),4,1)="N",OFFSET(TH!I$1,SMALL(Dong11,ROWS($1:19)),),0))</f>
        <v>0</v>
      </c>
      <c r="H32" s="358">
        <f t="shared" ca="1" si="6"/>
        <v>0</v>
      </c>
      <c r="I32" s="357">
        <f ca="1">IF(ROWS($1:19)&gt;COUNT(Dong11),0,IF(MID(OFFSET(TH!D$1,SMALL(Dong11,ROWS($1:19)),),4,1)="X",OFFSET(TH!I$1,SMALL(Dong11,ROWS($1:19)),),0))</f>
        <v>0</v>
      </c>
      <c r="J32" s="358">
        <f t="shared" ca="1" si="7"/>
        <v>0</v>
      </c>
      <c r="K32" s="358">
        <f t="shared" ca="1" si="8"/>
        <v>0</v>
      </c>
      <c r="L32" s="358">
        <f t="shared" ca="1" si="9"/>
        <v>0</v>
      </c>
      <c r="M32" s="358"/>
      <c r="N32" s="348"/>
    </row>
    <row r="33" spans="1:14">
      <c r="A33" s="319" t="str">
        <f t="shared" ca="1" si="5"/>
        <v/>
      </c>
      <c r="B33" s="354" t="str">
        <f ca="1">IF(ROWS($1:20)&gt;COUNT(Dong11),"",OFFSET(TH!D$1,SMALL(Dong11,ROWS($1:20)),))</f>
        <v/>
      </c>
      <c r="C33" s="355" t="str">
        <f ca="1">IF(ROWS($1:20)&gt;COUNT(Dong11),"",OFFSET(TH!E$1,SMALL(Dong11,ROWS($1:20)),))</f>
        <v/>
      </c>
      <c r="D33" s="356" t="str">
        <f ca="1">IF(ROWS($1:20)&gt;COUNT(Dong11),"",OFFSET(TH!H$1,SMALL(Dong11,ROWS($1:20)),))</f>
        <v/>
      </c>
      <c r="E33" s="354" t="str">
        <f ca="1">IF(ROWS($1:20)&gt;COUNT(Dong11),"",IF(OFFSET(TH!L$1,SMALL(Dong11,ROWS($1:20)),)=$G$7,OFFSET(TH!M$1,SMALL(Dong11,ROWS($1:20)),),OFFSET(TH!L$1,SMALL(Dong11,ROWS($1:20)),)))</f>
        <v/>
      </c>
      <c r="F33" s="357">
        <f ca="1">IF(ROWS($1:20)&gt;COUNT(Dong11),0,OFFSET(TH!J$1,SMALL(Dong11,ROWS($1:20)),))</f>
        <v>0</v>
      </c>
      <c r="G33" s="357">
        <f ca="1">IF(ROWS($1:20)&gt;COUNT(Dong11),0,IF(MID(OFFSET(TH!D$1,SMALL(Dong11,ROWS($1:20)),),4,1)="N",OFFSET(TH!I$1,SMALL(Dong11,ROWS($1:20)),),0))</f>
        <v>0</v>
      </c>
      <c r="H33" s="358">
        <f t="shared" ca="1" si="6"/>
        <v>0</v>
      </c>
      <c r="I33" s="357">
        <f ca="1">IF(ROWS($1:20)&gt;COUNT(Dong11),0,IF(MID(OFFSET(TH!D$1,SMALL(Dong11,ROWS($1:20)),),4,1)="X",OFFSET(TH!I$1,SMALL(Dong11,ROWS($1:20)),),0))</f>
        <v>0</v>
      </c>
      <c r="J33" s="358">
        <f t="shared" ca="1" si="7"/>
        <v>0</v>
      </c>
      <c r="K33" s="358">
        <f t="shared" ca="1" si="8"/>
        <v>0</v>
      </c>
      <c r="L33" s="358">
        <f t="shared" ca="1" si="9"/>
        <v>0</v>
      </c>
      <c r="M33" s="358"/>
      <c r="N33" s="348"/>
    </row>
    <row r="34" spans="1:14">
      <c r="A34" s="319" t="str">
        <f t="shared" ca="1" si="5"/>
        <v/>
      </c>
      <c r="B34" s="354" t="str">
        <f ca="1">IF(ROWS($1:21)&gt;COUNT(Dong11),"",OFFSET(TH!D$1,SMALL(Dong11,ROWS($1:21)),))</f>
        <v/>
      </c>
      <c r="C34" s="355" t="str">
        <f ca="1">IF(ROWS($1:21)&gt;COUNT(Dong11),"",OFFSET(TH!E$1,SMALL(Dong11,ROWS($1:21)),))</f>
        <v/>
      </c>
      <c r="D34" s="356" t="str">
        <f ca="1">IF(ROWS($1:21)&gt;COUNT(Dong11),"",OFFSET(TH!H$1,SMALL(Dong11,ROWS($1:21)),))</f>
        <v/>
      </c>
      <c r="E34" s="354" t="str">
        <f ca="1">IF(ROWS($1:21)&gt;COUNT(Dong11),"",IF(OFFSET(TH!L$1,SMALL(Dong11,ROWS($1:21)),)=$G$7,OFFSET(TH!M$1,SMALL(Dong11,ROWS($1:21)),),OFFSET(TH!L$1,SMALL(Dong11,ROWS($1:21)),)))</f>
        <v/>
      </c>
      <c r="F34" s="357">
        <f ca="1">IF(ROWS($1:21)&gt;COUNT(Dong11),0,OFFSET(TH!J$1,SMALL(Dong11,ROWS($1:21)),))</f>
        <v>0</v>
      </c>
      <c r="G34" s="357">
        <f ca="1">IF(ROWS($1:21)&gt;COUNT(Dong11),0,IF(MID(OFFSET(TH!D$1,SMALL(Dong11,ROWS($1:21)),),4,1)="N",OFFSET(TH!I$1,SMALL(Dong11,ROWS($1:21)),),0))</f>
        <v>0</v>
      </c>
      <c r="H34" s="358">
        <f t="shared" ca="1" si="6"/>
        <v>0</v>
      </c>
      <c r="I34" s="357">
        <f ca="1">IF(ROWS($1:21)&gt;COUNT(Dong11),0,IF(MID(OFFSET(TH!D$1,SMALL(Dong11,ROWS($1:21)),),4,1)="X",OFFSET(TH!I$1,SMALL(Dong11,ROWS($1:21)),),0))</f>
        <v>0</v>
      </c>
      <c r="J34" s="358">
        <f t="shared" ca="1" si="7"/>
        <v>0</v>
      </c>
      <c r="K34" s="358">
        <f t="shared" ca="1" si="8"/>
        <v>0</v>
      </c>
      <c r="L34" s="358">
        <f t="shared" ca="1" si="9"/>
        <v>0</v>
      </c>
      <c r="M34" s="358"/>
      <c r="N34" s="348"/>
    </row>
    <row r="35" spans="1:14">
      <c r="A35" s="319" t="str">
        <f t="shared" ca="1" si="5"/>
        <v/>
      </c>
      <c r="B35" s="354" t="str">
        <f ca="1">IF(ROWS($1:22)&gt;COUNT(Dong11),"",OFFSET(TH!D$1,SMALL(Dong11,ROWS($1:22)),))</f>
        <v/>
      </c>
      <c r="C35" s="355" t="str">
        <f ca="1">IF(ROWS($1:22)&gt;COUNT(Dong11),"",OFFSET(TH!E$1,SMALL(Dong11,ROWS($1:22)),))</f>
        <v/>
      </c>
      <c r="D35" s="356" t="str">
        <f ca="1">IF(ROWS($1:22)&gt;COUNT(Dong11),"",OFFSET(TH!H$1,SMALL(Dong11,ROWS($1:22)),))</f>
        <v/>
      </c>
      <c r="E35" s="354" t="str">
        <f ca="1">IF(ROWS($1:22)&gt;COUNT(Dong11),"",IF(OFFSET(TH!L$1,SMALL(Dong11,ROWS($1:22)),)=$G$7,OFFSET(TH!M$1,SMALL(Dong11,ROWS($1:22)),),OFFSET(TH!L$1,SMALL(Dong11,ROWS($1:22)),)))</f>
        <v/>
      </c>
      <c r="F35" s="357">
        <f ca="1">IF(ROWS($1:22)&gt;COUNT(Dong11),0,OFFSET(TH!J$1,SMALL(Dong11,ROWS($1:22)),))</f>
        <v>0</v>
      </c>
      <c r="G35" s="357">
        <f ca="1">IF(ROWS($1:22)&gt;COUNT(Dong11),0,IF(MID(OFFSET(TH!D$1,SMALL(Dong11,ROWS($1:22)),),4,1)="N",OFFSET(TH!I$1,SMALL(Dong11,ROWS($1:22)),),0))</f>
        <v>0</v>
      </c>
      <c r="H35" s="358">
        <f t="shared" ca="1" si="6"/>
        <v>0</v>
      </c>
      <c r="I35" s="357">
        <f ca="1">IF(ROWS($1:22)&gt;COUNT(Dong11),0,IF(MID(OFFSET(TH!D$1,SMALL(Dong11,ROWS($1:22)),),4,1)="X",OFFSET(TH!I$1,SMALL(Dong11,ROWS($1:22)),),0))</f>
        <v>0</v>
      </c>
      <c r="J35" s="358">
        <f t="shared" ca="1" si="7"/>
        <v>0</v>
      </c>
      <c r="K35" s="358">
        <f t="shared" ca="1" si="8"/>
        <v>0</v>
      </c>
      <c r="L35" s="358">
        <f t="shared" ca="1" si="9"/>
        <v>0</v>
      </c>
      <c r="M35" s="358"/>
      <c r="N35" s="348"/>
    </row>
    <row r="36" spans="1:14">
      <c r="A36" s="319" t="str">
        <f t="shared" ca="1" si="5"/>
        <v/>
      </c>
      <c r="B36" s="354" t="str">
        <f ca="1">IF(ROWS($1:23)&gt;COUNT(Dong11),"",OFFSET(TH!D$1,SMALL(Dong11,ROWS($1:23)),))</f>
        <v/>
      </c>
      <c r="C36" s="355" t="str">
        <f ca="1">IF(ROWS($1:23)&gt;COUNT(Dong11),"",OFFSET(TH!E$1,SMALL(Dong11,ROWS($1:23)),))</f>
        <v/>
      </c>
      <c r="D36" s="356" t="str">
        <f ca="1">IF(ROWS($1:23)&gt;COUNT(Dong11),"",OFFSET(TH!H$1,SMALL(Dong11,ROWS($1:23)),))</f>
        <v/>
      </c>
      <c r="E36" s="354" t="str">
        <f ca="1">IF(ROWS($1:23)&gt;COUNT(Dong11),"",IF(OFFSET(TH!L$1,SMALL(Dong11,ROWS($1:23)),)=$G$7,OFFSET(TH!M$1,SMALL(Dong11,ROWS($1:23)),),OFFSET(TH!L$1,SMALL(Dong11,ROWS($1:23)),)))</f>
        <v/>
      </c>
      <c r="F36" s="357">
        <f ca="1">IF(ROWS($1:23)&gt;COUNT(Dong11),0,OFFSET(TH!J$1,SMALL(Dong11,ROWS($1:23)),))</f>
        <v>0</v>
      </c>
      <c r="G36" s="357">
        <f ca="1">IF(ROWS($1:23)&gt;COUNT(Dong11),0,IF(MID(OFFSET(TH!D$1,SMALL(Dong11,ROWS($1:23)),),4,1)="N",OFFSET(TH!I$1,SMALL(Dong11,ROWS($1:23)),),0))</f>
        <v>0</v>
      </c>
      <c r="H36" s="358">
        <f t="shared" ca="1" si="6"/>
        <v>0</v>
      </c>
      <c r="I36" s="357">
        <f ca="1">IF(ROWS($1:23)&gt;COUNT(Dong11),0,IF(MID(OFFSET(TH!D$1,SMALL(Dong11,ROWS($1:23)),),4,1)="X",OFFSET(TH!I$1,SMALL(Dong11,ROWS($1:23)),),0))</f>
        <v>0</v>
      </c>
      <c r="J36" s="358">
        <f t="shared" ca="1" si="7"/>
        <v>0</v>
      </c>
      <c r="K36" s="358">
        <f t="shared" ca="1" si="8"/>
        <v>0</v>
      </c>
      <c r="L36" s="358">
        <f t="shared" ca="1" si="9"/>
        <v>0</v>
      </c>
      <c r="M36" s="358"/>
      <c r="N36" s="348"/>
    </row>
    <row r="37" spans="1:14">
      <c r="A37" s="319" t="str">
        <f t="shared" ca="1" si="5"/>
        <v/>
      </c>
      <c r="B37" s="354" t="str">
        <f ca="1">IF(ROWS($1:24)&gt;COUNT(Dong11),"",OFFSET(TH!D$1,SMALL(Dong11,ROWS($1:24)),))</f>
        <v/>
      </c>
      <c r="C37" s="355" t="str">
        <f ca="1">IF(ROWS($1:24)&gt;COUNT(Dong11),"",OFFSET(TH!E$1,SMALL(Dong11,ROWS($1:24)),))</f>
        <v/>
      </c>
      <c r="D37" s="356" t="str">
        <f ca="1">IF(ROWS($1:24)&gt;COUNT(Dong11),"",OFFSET(TH!H$1,SMALL(Dong11,ROWS($1:24)),))</f>
        <v/>
      </c>
      <c r="E37" s="354" t="str">
        <f ca="1">IF(ROWS($1:24)&gt;COUNT(Dong11),"",IF(OFFSET(TH!L$1,SMALL(Dong11,ROWS($1:24)),)=$G$7,OFFSET(TH!M$1,SMALL(Dong11,ROWS($1:24)),),OFFSET(TH!L$1,SMALL(Dong11,ROWS($1:24)),)))</f>
        <v/>
      </c>
      <c r="F37" s="357">
        <f ca="1">IF(ROWS($1:24)&gt;COUNT(Dong11),0,OFFSET(TH!J$1,SMALL(Dong11,ROWS($1:24)),))</f>
        <v>0</v>
      </c>
      <c r="G37" s="357">
        <f ca="1">IF(ROWS($1:24)&gt;COUNT(Dong11),0,IF(MID(OFFSET(TH!D$1,SMALL(Dong11,ROWS($1:24)),),4,1)="N",OFFSET(TH!I$1,SMALL(Dong11,ROWS($1:24)),),0))</f>
        <v>0</v>
      </c>
      <c r="H37" s="358">
        <f t="shared" ca="1" si="6"/>
        <v>0</v>
      </c>
      <c r="I37" s="357">
        <f ca="1">IF(ROWS($1:24)&gt;COUNT(Dong11),0,IF(MID(OFFSET(TH!D$1,SMALL(Dong11,ROWS($1:24)),),4,1)="X",OFFSET(TH!I$1,SMALL(Dong11,ROWS($1:24)),),0))</f>
        <v>0</v>
      </c>
      <c r="J37" s="358">
        <f t="shared" ca="1" si="7"/>
        <v>0</v>
      </c>
      <c r="K37" s="358">
        <f t="shared" ca="1" si="8"/>
        <v>0</v>
      </c>
      <c r="L37" s="358">
        <f t="shared" ca="1" si="9"/>
        <v>0</v>
      </c>
      <c r="M37" s="358"/>
      <c r="N37" s="348"/>
    </row>
    <row r="38" spans="1:14">
      <c r="A38" s="319" t="str">
        <f t="shared" ca="1" si="5"/>
        <v/>
      </c>
      <c r="B38" s="354" t="str">
        <f ca="1">IF(ROWS($1:25)&gt;COUNT(Dong11),"",OFFSET(TH!D$1,SMALL(Dong11,ROWS($1:25)),))</f>
        <v/>
      </c>
      <c r="C38" s="355" t="str">
        <f ca="1">IF(ROWS($1:25)&gt;COUNT(Dong11),"",OFFSET(TH!E$1,SMALL(Dong11,ROWS($1:25)),))</f>
        <v/>
      </c>
      <c r="D38" s="356" t="str">
        <f ca="1">IF(ROWS($1:25)&gt;COUNT(Dong11),"",OFFSET(TH!H$1,SMALL(Dong11,ROWS($1:25)),))</f>
        <v/>
      </c>
      <c r="E38" s="354" t="str">
        <f ca="1">IF(ROWS($1:25)&gt;COUNT(Dong11),"",IF(OFFSET(TH!L$1,SMALL(Dong11,ROWS($1:25)),)=$G$7,OFFSET(TH!M$1,SMALL(Dong11,ROWS($1:25)),),OFFSET(TH!L$1,SMALL(Dong11,ROWS($1:25)),)))</f>
        <v/>
      </c>
      <c r="F38" s="357">
        <f ca="1">IF(ROWS($1:25)&gt;COUNT(Dong11),0,OFFSET(TH!J$1,SMALL(Dong11,ROWS($1:25)),))</f>
        <v>0</v>
      </c>
      <c r="G38" s="357">
        <f ca="1">IF(ROWS($1:25)&gt;COUNT(Dong11),0,IF(MID(OFFSET(TH!D$1,SMALL(Dong11,ROWS($1:25)),),4,1)="N",OFFSET(TH!I$1,SMALL(Dong11,ROWS($1:25)),),0))</f>
        <v>0</v>
      </c>
      <c r="H38" s="358">
        <f t="shared" ca="1" si="6"/>
        <v>0</v>
      </c>
      <c r="I38" s="357">
        <f ca="1">IF(ROWS($1:25)&gt;COUNT(Dong11),0,IF(MID(OFFSET(TH!D$1,SMALL(Dong11,ROWS($1:25)),),4,1)="X",OFFSET(TH!I$1,SMALL(Dong11,ROWS($1:25)),),0))</f>
        <v>0</v>
      </c>
      <c r="J38" s="358">
        <f t="shared" ca="1" si="7"/>
        <v>0</v>
      </c>
      <c r="K38" s="358">
        <f t="shared" ca="1" si="8"/>
        <v>0</v>
      </c>
      <c r="L38" s="358">
        <f t="shared" ca="1" si="9"/>
        <v>0</v>
      </c>
      <c r="M38" s="358"/>
      <c r="N38" s="348"/>
    </row>
    <row r="39" spans="1:14">
      <c r="A39" s="319" t="str">
        <f t="shared" ref="A39:A62" ca="1" si="10">IF(B39="","",A38+1)</f>
        <v/>
      </c>
      <c r="B39" s="354" t="str">
        <f ca="1">IF(ROWS($1:26)&gt;COUNT(Dong11),"",OFFSET(TH!D$1,SMALL(Dong11,ROWS($1:26)),))</f>
        <v/>
      </c>
      <c r="C39" s="355" t="str">
        <f ca="1">IF(ROWS($1:26)&gt;COUNT(Dong11),"",OFFSET(TH!E$1,SMALL(Dong11,ROWS($1:26)),))</f>
        <v/>
      </c>
      <c r="D39" s="356" t="str">
        <f ca="1">IF(ROWS($1:26)&gt;COUNT(Dong11),"",OFFSET(TH!H$1,SMALL(Dong11,ROWS($1:26)),))</f>
        <v/>
      </c>
      <c r="E39" s="354" t="str">
        <f ca="1">IF(ROWS($1:26)&gt;COUNT(Dong11),"",IF(OFFSET(TH!L$1,SMALL(Dong11,ROWS($1:26)),)=$G$7,OFFSET(TH!M$1,SMALL(Dong11,ROWS($1:26)),),OFFSET(TH!L$1,SMALL(Dong11,ROWS($1:26)),)))</f>
        <v/>
      </c>
      <c r="F39" s="357">
        <f ca="1">IF(ROWS($1:26)&gt;COUNT(Dong11),0,OFFSET(TH!J$1,SMALL(Dong11,ROWS($1:26)),))</f>
        <v>0</v>
      </c>
      <c r="G39" s="357">
        <f ca="1">IF(ROWS($1:26)&gt;COUNT(Dong11),0,IF(MID(OFFSET(TH!D$1,SMALL(Dong11,ROWS($1:26)),),4,1)="N",OFFSET(TH!I$1,SMALL(Dong11,ROWS($1:26)),),0))</f>
        <v>0</v>
      </c>
      <c r="H39" s="358">
        <f t="shared" ref="H39:H62" ca="1" si="11">ROUND(F39*G39,0)</f>
        <v>0</v>
      </c>
      <c r="I39" s="357">
        <f ca="1">IF(ROWS($1:26)&gt;COUNT(Dong11),0,IF(MID(OFFSET(TH!D$1,SMALL(Dong11,ROWS($1:26)),),4,1)="X",OFFSET(TH!I$1,SMALL(Dong11,ROWS($1:26)),),0))</f>
        <v>0</v>
      </c>
      <c r="J39" s="358">
        <f t="shared" ref="J39:J62" ca="1" si="12">ROUND(F39*I39,0)</f>
        <v>0</v>
      </c>
      <c r="K39" s="358">
        <f t="shared" ref="K39:K62" ca="1" si="13">IF(D39&lt;&gt;"",K38+G39-I39,0)</f>
        <v>0</v>
      </c>
      <c r="L39" s="358">
        <f t="shared" ref="L39:L62" ca="1" si="14">IF(D39&lt;&gt;"",L38+H39-J39,0)</f>
        <v>0</v>
      </c>
      <c r="M39" s="358"/>
      <c r="N39" s="348"/>
    </row>
    <row r="40" spans="1:14">
      <c r="A40" s="319" t="str">
        <f t="shared" ca="1" si="10"/>
        <v/>
      </c>
      <c r="B40" s="354" t="str">
        <f ca="1">IF(ROWS($1:27)&gt;COUNT(Dong11),"",OFFSET(TH!D$1,SMALL(Dong11,ROWS($1:27)),))</f>
        <v/>
      </c>
      <c r="C40" s="355" t="str">
        <f ca="1">IF(ROWS($1:27)&gt;COUNT(Dong11),"",OFFSET(TH!E$1,SMALL(Dong11,ROWS($1:27)),))</f>
        <v/>
      </c>
      <c r="D40" s="356" t="str">
        <f ca="1">IF(ROWS($1:27)&gt;COUNT(Dong11),"",OFFSET(TH!H$1,SMALL(Dong11,ROWS($1:27)),))</f>
        <v/>
      </c>
      <c r="E40" s="354" t="str">
        <f ca="1">IF(ROWS($1:27)&gt;COUNT(Dong11),"",IF(OFFSET(TH!L$1,SMALL(Dong11,ROWS($1:27)),)=$G$7,OFFSET(TH!M$1,SMALL(Dong11,ROWS($1:27)),),OFFSET(TH!L$1,SMALL(Dong11,ROWS($1:27)),)))</f>
        <v/>
      </c>
      <c r="F40" s="357">
        <f ca="1">IF(ROWS($1:27)&gt;COUNT(Dong11),0,OFFSET(TH!J$1,SMALL(Dong11,ROWS($1:27)),))</f>
        <v>0</v>
      </c>
      <c r="G40" s="357">
        <f ca="1">IF(ROWS($1:27)&gt;COUNT(Dong11),0,IF(MID(OFFSET(TH!D$1,SMALL(Dong11,ROWS($1:27)),),4,1)="N",OFFSET(TH!I$1,SMALL(Dong11,ROWS($1:27)),),0))</f>
        <v>0</v>
      </c>
      <c r="H40" s="358">
        <f t="shared" ca="1" si="11"/>
        <v>0</v>
      </c>
      <c r="I40" s="357">
        <f ca="1">IF(ROWS($1:27)&gt;COUNT(Dong11),0,IF(MID(OFFSET(TH!D$1,SMALL(Dong11,ROWS($1:27)),),4,1)="X",OFFSET(TH!I$1,SMALL(Dong11,ROWS($1:27)),),0))</f>
        <v>0</v>
      </c>
      <c r="J40" s="358">
        <f t="shared" ca="1" si="12"/>
        <v>0</v>
      </c>
      <c r="K40" s="358">
        <f t="shared" ca="1" si="13"/>
        <v>0</v>
      </c>
      <c r="L40" s="358">
        <f t="shared" ca="1" si="14"/>
        <v>0</v>
      </c>
      <c r="M40" s="358"/>
      <c r="N40" s="348"/>
    </row>
    <row r="41" spans="1:14">
      <c r="A41" s="319" t="str">
        <f t="shared" ca="1" si="10"/>
        <v/>
      </c>
      <c r="B41" s="354" t="str">
        <f ca="1">IF(ROWS($1:28)&gt;COUNT(Dong11),"",OFFSET(TH!D$1,SMALL(Dong11,ROWS($1:28)),))</f>
        <v/>
      </c>
      <c r="C41" s="355" t="str">
        <f ca="1">IF(ROWS($1:28)&gt;COUNT(Dong11),"",OFFSET(TH!E$1,SMALL(Dong11,ROWS($1:28)),))</f>
        <v/>
      </c>
      <c r="D41" s="356" t="str">
        <f ca="1">IF(ROWS($1:28)&gt;COUNT(Dong11),"",OFFSET(TH!H$1,SMALL(Dong11,ROWS($1:28)),))</f>
        <v/>
      </c>
      <c r="E41" s="354" t="str">
        <f ca="1">IF(ROWS($1:28)&gt;COUNT(Dong11),"",IF(OFFSET(TH!L$1,SMALL(Dong11,ROWS($1:28)),)=$G$7,OFFSET(TH!M$1,SMALL(Dong11,ROWS($1:28)),),OFFSET(TH!L$1,SMALL(Dong11,ROWS($1:28)),)))</f>
        <v/>
      </c>
      <c r="F41" s="357">
        <f ca="1">IF(ROWS($1:28)&gt;COUNT(Dong11),0,OFFSET(TH!J$1,SMALL(Dong11,ROWS($1:28)),))</f>
        <v>0</v>
      </c>
      <c r="G41" s="357">
        <f ca="1">IF(ROWS($1:28)&gt;COUNT(Dong11),0,IF(MID(OFFSET(TH!D$1,SMALL(Dong11,ROWS($1:28)),),4,1)="N",OFFSET(TH!I$1,SMALL(Dong11,ROWS($1:28)),),0))</f>
        <v>0</v>
      </c>
      <c r="H41" s="358">
        <f t="shared" ca="1" si="11"/>
        <v>0</v>
      </c>
      <c r="I41" s="357">
        <f ca="1">IF(ROWS($1:28)&gt;COUNT(Dong11),0,IF(MID(OFFSET(TH!D$1,SMALL(Dong11,ROWS($1:28)),),4,1)="X",OFFSET(TH!I$1,SMALL(Dong11,ROWS($1:28)),),0))</f>
        <v>0</v>
      </c>
      <c r="J41" s="358">
        <f t="shared" ca="1" si="12"/>
        <v>0</v>
      </c>
      <c r="K41" s="358">
        <f t="shared" ca="1" si="13"/>
        <v>0</v>
      </c>
      <c r="L41" s="358">
        <f t="shared" ca="1" si="14"/>
        <v>0</v>
      </c>
      <c r="M41" s="358"/>
      <c r="N41" s="348"/>
    </row>
    <row r="42" spans="1:14">
      <c r="A42" s="319" t="str">
        <f t="shared" ca="1" si="10"/>
        <v/>
      </c>
      <c r="B42" s="354" t="str">
        <f ca="1">IF(ROWS($1:29)&gt;COUNT(Dong11),"",OFFSET(TH!D$1,SMALL(Dong11,ROWS($1:29)),))</f>
        <v/>
      </c>
      <c r="C42" s="355" t="str">
        <f ca="1">IF(ROWS($1:29)&gt;COUNT(Dong11),"",OFFSET(TH!E$1,SMALL(Dong11,ROWS($1:29)),))</f>
        <v/>
      </c>
      <c r="D42" s="356" t="str">
        <f ca="1">IF(ROWS($1:29)&gt;COUNT(Dong11),"",OFFSET(TH!H$1,SMALL(Dong11,ROWS($1:29)),))</f>
        <v/>
      </c>
      <c r="E42" s="354" t="str">
        <f ca="1">IF(ROWS($1:29)&gt;COUNT(Dong11),"",IF(OFFSET(TH!L$1,SMALL(Dong11,ROWS($1:29)),)=$G$7,OFFSET(TH!M$1,SMALL(Dong11,ROWS($1:29)),),OFFSET(TH!L$1,SMALL(Dong11,ROWS($1:29)),)))</f>
        <v/>
      </c>
      <c r="F42" s="357">
        <f ca="1">IF(ROWS($1:29)&gt;COUNT(Dong11),0,OFFSET(TH!J$1,SMALL(Dong11,ROWS($1:29)),))</f>
        <v>0</v>
      </c>
      <c r="G42" s="357">
        <f ca="1">IF(ROWS($1:29)&gt;COUNT(Dong11),0,IF(MID(OFFSET(TH!D$1,SMALL(Dong11,ROWS($1:29)),),4,1)="N",OFFSET(TH!I$1,SMALL(Dong11,ROWS($1:29)),),0))</f>
        <v>0</v>
      </c>
      <c r="H42" s="358">
        <f t="shared" ca="1" si="11"/>
        <v>0</v>
      </c>
      <c r="I42" s="357">
        <f ca="1">IF(ROWS($1:29)&gt;COUNT(Dong11),0,IF(MID(OFFSET(TH!D$1,SMALL(Dong11,ROWS($1:29)),),4,1)="X",OFFSET(TH!I$1,SMALL(Dong11,ROWS($1:29)),),0))</f>
        <v>0</v>
      </c>
      <c r="J42" s="358">
        <f t="shared" ca="1" si="12"/>
        <v>0</v>
      </c>
      <c r="K42" s="358">
        <f t="shared" ca="1" si="13"/>
        <v>0</v>
      </c>
      <c r="L42" s="358">
        <f t="shared" ca="1" si="14"/>
        <v>0</v>
      </c>
      <c r="M42" s="358"/>
      <c r="N42" s="348"/>
    </row>
    <row r="43" spans="1:14">
      <c r="A43" s="319" t="str">
        <f t="shared" ca="1" si="10"/>
        <v/>
      </c>
      <c r="B43" s="354" t="str">
        <f ca="1">IF(ROWS($1:30)&gt;COUNT(Dong11),"",OFFSET(TH!D$1,SMALL(Dong11,ROWS($1:30)),))</f>
        <v/>
      </c>
      <c r="C43" s="355" t="str">
        <f ca="1">IF(ROWS($1:30)&gt;COUNT(Dong11),"",OFFSET(TH!E$1,SMALL(Dong11,ROWS($1:30)),))</f>
        <v/>
      </c>
      <c r="D43" s="356" t="str">
        <f ca="1">IF(ROWS($1:30)&gt;COUNT(Dong11),"",OFFSET(TH!H$1,SMALL(Dong11,ROWS($1:30)),))</f>
        <v/>
      </c>
      <c r="E43" s="354" t="str">
        <f ca="1">IF(ROWS($1:30)&gt;COUNT(Dong11),"",IF(OFFSET(TH!L$1,SMALL(Dong11,ROWS($1:30)),)=$G$7,OFFSET(TH!M$1,SMALL(Dong11,ROWS($1:30)),),OFFSET(TH!L$1,SMALL(Dong11,ROWS($1:30)),)))</f>
        <v/>
      </c>
      <c r="F43" s="357">
        <f ca="1">IF(ROWS($1:30)&gt;COUNT(Dong11),0,OFFSET(TH!J$1,SMALL(Dong11,ROWS($1:30)),))</f>
        <v>0</v>
      </c>
      <c r="G43" s="357">
        <f ca="1">IF(ROWS($1:30)&gt;COUNT(Dong11),0,IF(MID(OFFSET(TH!D$1,SMALL(Dong11,ROWS($1:30)),),4,1)="N",OFFSET(TH!I$1,SMALL(Dong11,ROWS($1:30)),),0))</f>
        <v>0</v>
      </c>
      <c r="H43" s="358">
        <f t="shared" ca="1" si="11"/>
        <v>0</v>
      </c>
      <c r="I43" s="357">
        <f ca="1">IF(ROWS($1:30)&gt;COUNT(Dong11),0,IF(MID(OFFSET(TH!D$1,SMALL(Dong11,ROWS($1:30)),),4,1)="X",OFFSET(TH!I$1,SMALL(Dong11,ROWS($1:30)),),0))</f>
        <v>0</v>
      </c>
      <c r="J43" s="358">
        <f t="shared" ca="1" si="12"/>
        <v>0</v>
      </c>
      <c r="K43" s="358">
        <f t="shared" ca="1" si="13"/>
        <v>0</v>
      </c>
      <c r="L43" s="358">
        <f t="shared" ca="1" si="14"/>
        <v>0</v>
      </c>
      <c r="M43" s="358"/>
      <c r="N43" s="348"/>
    </row>
    <row r="44" spans="1:14">
      <c r="A44" s="319" t="str">
        <f t="shared" ca="1" si="10"/>
        <v/>
      </c>
      <c r="B44" s="354" t="str">
        <f ca="1">IF(ROWS($1:31)&gt;COUNT(Dong11),"",OFFSET(TH!D$1,SMALL(Dong11,ROWS($1:31)),))</f>
        <v/>
      </c>
      <c r="C44" s="355" t="str">
        <f ca="1">IF(ROWS($1:31)&gt;COUNT(Dong11),"",OFFSET(TH!E$1,SMALL(Dong11,ROWS($1:31)),))</f>
        <v/>
      </c>
      <c r="D44" s="356" t="str">
        <f ca="1">IF(ROWS($1:31)&gt;COUNT(Dong11),"",OFFSET(TH!H$1,SMALL(Dong11,ROWS($1:31)),))</f>
        <v/>
      </c>
      <c r="E44" s="354" t="str">
        <f ca="1">IF(ROWS($1:31)&gt;COUNT(Dong11),"",IF(OFFSET(TH!L$1,SMALL(Dong11,ROWS($1:31)),)=$G$7,OFFSET(TH!M$1,SMALL(Dong11,ROWS($1:31)),),OFFSET(TH!L$1,SMALL(Dong11,ROWS($1:31)),)))</f>
        <v/>
      </c>
      <c r="F44" s="357">
        <f ca="1">IF(ROWS($1:31)&gt;COUNT(Dong11),0,OFFSET(TH!J$1,SMALL(Dong11,ROWS($1:31)),))</f>
        <v>0</v>
      </c>
      <c r="G44" s="357">
        <f ca="1">IF(ROWS($1:31)&gt;COUNT(Dong11),0,IF(MID(OFFSET(TH!D$1,SMALL(Dong11,ROWS($1:31)),),4,1)="N",OFFSET(TH!I$1,SMALL(Dong11,ROWS($1:31)),),0))</f>
        <v>0</v>
      </c>
      <c r="H44" s="358">
        <f t="shared" ca="1" si="11"/>
        <v>0</v>
      </c>
      <c r="I44" s="357">
        <f ca="1">IF(ROWS($1:31)&gt;COUNT(Dong11),0,IF(MID(OFFSET(TH!D$1,SMALL(Dong11,ROWS($1:31)),),4,1)="X",OFFSET(TH!I$1,SMALL(Dong11,ROWS($1:31)),),0))</f>
        <v>0</v>
      </c>
      <c r="J44" s="358">
        <f t="shared" ca="1" si="12"/>
        <v>0</v>
      </c>
      <c r="K44" s="358">
        <f t="shared" ca="1" si="13"/>
        <v>0</v>
      </c>
      <c r="L44" s="358">
        <f t="shared" ca="1" si="14"/>
        <v>0</v>
      </c>
      <c r="M44" s="358"/>
      <c r="N44" s="348"/>
    </row>
    <row r="45" spans="1:14">
      <c r="A45" s="319" t="str">
        <f t="shared" ca="1" si="10"/>
        <v/>
      </c>
      <c r="B45" s="354" t="str">
        <f ca="1">IF(ROWS($1:32)&gt;COUNT(Dong11),"",OFFSET(TH!D$1,SMALL(Dong11,ROWS($1:32)),))</f>
        <v/>
      </c>
      <c r="C45" s="355" t="str">
        <f ca="1">IF(ROWS($1:32)&gt;COUNT(Dong11),"",OFFSET(TH!E$1,SMALL(Dong11,ROWS($1:32)),))</f>
        <v/>
      </c>
      <c r="D45" s="356" t="str">
        <f ca="1">IF(ROWS($1:32)&gt;COUNT(Dong11),"",OFFSET(TH!H$1,SMALL(Dong11,ROWS($1:32)),))</f>
        <v/>
      </c>
      <c r="E45" s="354" t="str">
        <f ca="1">IF(ROWS($1:32)&gt;COUNT(Dong11),"",IF(OFFSET(TH!L$1,SMALL(Dong11,ROWS($1:32)),)=$G$7,OFFSET(TH!M$1,SMALL(Dong11,ROWS($1:32)),),OFFSET(TH!L$1,SMALL(Dong11,ROWS($1:32)),)))</f>
        <v/>
      </c>
      <c r="F45" s="357">
        <f ca="1">IF(ROWS($1:32)&gt;COUNT(Dong11),0,OFFSET(TH!J$1,SMALL(Dong11,ROWS($1:32)),))</f>
        <v>0</v>
      </c>
      <c r="G45" s="357">
        <f ca="1">IF(ROWS($1:32)&gt;COUNT(Dong11),0,IF(MID(OFFSET(TH!D$1,SMALL(Dong11,ROWS($1:32)),),4,1)="N",OFFSET(TH!I$1,SMALL(Dong11,ROWS($1:32)),),0))</f>
        <v>0</v>
      </c>
      <c r="H45" s="358">
        <f t="shared" ca="1" si="11"/>
        <v>0</v>
      </c>
      <c r="I45" s="357">
        <f ca="1">IF(ROWS($1:32)&gt;COUNT(Dong11),0,IF(MID(OFFSET(TH!D$1,SMALL(Dong11,ROWS($1:32)),),4,1)="X",OFFSET(TH!I$1,SMALL(Dong11,ROWS($1:32)),),0))</f>
        <v>0</v>
      </c>
      <c r="J45" s="358">
        <f t="shared" ca="1" si="12"/>
        <v>0</v>
      </c>
      <c r="K45" s="358">
        <f t="shared" ca="1" si="13"/>
        <v>0</v>
      </c>
      <c r="L45" s="358">
        <f t="shared" ca="1" si="14"/>
        <v>0</v>
      </c>
      <c r="M45" s="358"/>
      <c r="N45" s="348"/>
    </row>
    <row r="46" spans="1:14">
      <c r="A46" s="319" t="str">
        <f t="shared" ca="1" si="10"/>
        <v/>
      </c>
      <c r="B46" s="354" t="str">
        <f ca="1">IF(ROWS($1:33)&gt;COUNT(Dong11),"",OFFSET(TH!D$1,SMALL(Dong11,ROWS($1:33)),))</f>
        <v/>
      </c>
      <c r="C46" s="355" t="str">
        <f ca="1">IF(ROWS($1:33)&gt;COUNT(Dong11),"",OFFSET(TH!E$1,SMALL(Dong11,ROWS($1:33)),))</f>
        <v/>
      </c>
      <c r="D46" s="356" t="str">
        <f ca="1">IF(ROWS($1:33)&gt;COUNT(Dong11),"",OFFSET(TH!H$1,SMALL(Dong11,ROWS($1:33)),))</f>
        <v/>
      </c>
      <c r="E46" s="354" t="str">
        <f ca="1">IF(ROWS($1:33)&gt;COUNT(Dong11),"",IF(OFFSET(TH!L$1,SMALL(Dong11,ROWS($1:33)),)=$G$7,OFFSET(TH!M$1,SMALL(Dong11,ROWS($1:33)),),OFFSET(TH!L$1,SMALL(Dong11,ROWS($1:33)),)))</f>
        <v/>
      </c>
      <c r="F46" s="357">
        <f ca="1">IF(ROWS($1:33)&gt;COUNT(Dong11),0,OFFSET(TH!J$1,SMALL(Dong11,ROWS($1:33)),))</f>
        <v>0</v>
      </c>
      <c r="G46" s="357">
        <f ca="1">IF(ROWS($1:33)&gt;COUNT(Dong11),0,IF(MID(OFFSET(TH!D$1,SMALL(Dong11,ROWS($1:33)),),4,1)="N",OFFSET(TH!I$1,SMALL(Dong11,ROWS($1:33)),),0))</f>
        <v>0</v>
      </c>
      <c r="H46" s="358">
        <f t="shared" ca="1" si="11"/>
        <v>0</v>
      </c>
      <c r="I46" s="357">
        <f ca="1">IF(ROWS($1:33)&gt;COUNT(Dong11),0,IF(MID(OFFSET(TH!D$1,SMALL(Dong11,ROWS($1:33)),),4,1)="X",OFFSET(TH!I$1,SMALL(Dong11,ROWS($1:33)),),0))</f>
        <v>0</v>
      </c>
      <c r="J46" s="358">
        <f t="shared" ca="1" si="12"/>
        <v>0</v>
      </c>
      <c r="K46" s="358">
        <f t="shared" ca="1" si="13"/>
        <v>0</v>
      </c>
      <c r="L46" s="358">
        <f t="shared" ca="1" si="14"/>
        <v>0</v>
      </c>
      <c r="M46" s="358"/>
      <c r="N46" s="348"/>
    </row>
    <row r="47" spans="1:14">
      <c r="A47" s="319" t="str">
        <f t="shared" ca="1" si="10"/>
        <v/>
      </c>
      <c r="B47" s="354" t="str">
        <f ca="1">IF(ROWS($1:34)&gt;COUNT(Dong11),"",OFFSET(TH!D$1,SMALL(Dong11,ROWS($1:34)),))</f>
        <v/>
      </c>
      <c r="C47" s="355" t="str">
        <f ca="1">IF(ROWS($1:34)&gt;COUNT(Dong11),"",OFFSET(TH!E$1,SMALL(Dong11,ROWS($1:34)),))</f>
        <v/>
      </c>
      <c r="D47" s="356" t="str">
        <f ca="1">IF(ROWS($1:34)&gt;COUNT(Dong11),"",OFFSET(TH!H$1,SMALL(Dong11,ROWS($1:34)),))</f>
        <v/>
      </c>
      <c r="E47" s="354" t="str">
        <f ca="1">IF(ROWS($1:34)&gt;COUNT(Dong11),"",IF(OFFSET(TH!L$1,SMALL(Dong11,ROWS($1:34)),)=$G$7,OFFSET(TH!M$1,SMALL(Dong11,ROWS($1:34)),),OFFSET(TH!L$1,SMALL(Dong11,ROWS($1:34)),)))</f>
        <v/>
      </c>
      <c r="F47" s="357">
        <f ca="1">IF(ROWS($1:34)&gt;COUNT(Dong11),0,OFFSET(TH!J$1,SMALL(Dong11,ROWS($1:34)),))</f>
        <v>0</v>
      </c>
      <c r="G47" s="357">
        <f ca="1">IF(ROWS($1:34)&gt;COUNT(Dong11),0,IF(MID(OFFSET(TH!D$1,SMALL(Dong11,ROWS($1:34)),),4,1)="N",OFFSET(TH!I$1,SMALL(Dong11,ROWS($1:34)),),0))</f>
        <v>0</v>
      </c>
      <c r="H47" s="358">
        <f t="shared" ca="1" si="11"/>
        <v>0</v>
      </c>
      <c r="I47" s="357">
        <f ca="1">IF(ROWS($1:34)&gt;COUNT(Dong11),0,IF(MID(OFFSET(TH!D$1,SMALL(Dong11,ROWS($1:34)),),4,1)="X",OFFSET(TH!I$1,SMALL(Dong11,ROWS($1:34)),),0))</f>
        <v>0</v>
      </c>
      <c r="J47" s="358">
        <f t="shared" ca="1" si="12"/>
        <v>0</v>
      </c>
      <c r="K47" s="358">
        <f t="shared" ca="1" si="13"/>
        <v>0</v>
      </c>
      <c r="L47" s="358">
        <f t="shared" ca="1" si="14"/>
        <v>0</v>
      </c>
      <c r="M47" s="358"/>
      <c r="N47" s="348"/>
    </row>
    <row r="48" spans="1:14">
      <c r="A48" s="319" t="str">
        <f t="shared" ca="1" si="10"/>
        <v/>
      </c>
      <c r="B48" s="354" t="str">
        <f ca="1">IF(ROWS($1:35)&gt;COUNT(Dong11),"",OFFSET(TH!D$1,SMALL(Dong11,ROWS($1:35)),))</f>
        <v/>
      </c>
      <c r="C48" s="355" t="str">
        <f ca="1">IF(ROWS($1:35)&gt;COUNT(Dong11),"",OFFSET(TH!E$1,SMALL(Dong11,ROWS($1:35)),))</f>
        <v/>
      </c>
      <c r="D48" s="356" t="str">
        <f ca="1">IF(ROWS($1:35)&gt;COUNT(Dong11),"",OFFSET(TH!H$1,SMALL(Dong11,ROWS($1:35)),))</f>
        <v/>
      </c>
      <c r="E48" s="354" t="str">
        <f ca="1">IF(ROWS($1:35)&gt;COUNT(Dong11),"",IF(OFFSET(TH!L$1,SMALL(Dong11,ROWS($1:35)),)=$G$7,OFFSET(TH!M$1,SMALL(Dong11,ROWS($1:35)),),OFFSET(TH!L$1,SMALL(Dong11,ROWS($1:35)),)))</f>
        <v/>
      </c>
      <c r="F48" s="357">
        <f ca="1">IF(ROWS($1:35)&gt;COUNT(Dong11),0,OFFSET(TH!J$1,SMALL(Dong11,ROWS($1:35)),))</f>
        <v>0</v>
      </c>
      <c r="G48" s="357">
        <f ca="1">IF(ROWS($1:35)&gt;COUNT(Dong11),0,IF(MID(OFFSET(TH!D$1,SMALL(Dong11,ROWS($1:35)),),4,1)="N",OFFSET(TH!I$1,SMALL(Dong11,ROWS($1:35)),),0))</f>
        <v>0</v>
      </c>
      <c r="H48" s="358">
        <f t="shared" ca="1" si="11"/>
        <v>0</v>
      </c>
      <c r="I48" s="357">
        <f ca="1">IF(ROWS($1:35)&gt;COUNT(Dong11),0,IF(MID(OFFSET(TH!D$1,SMALL(Dong11,ROWS($1:35)),),4,1)="X",OFFSET(TH!I$1,SMALL(Dong11,ROWS($1:35)),),0))</f>
        <v>0</v>
      </c>
      <c r="J48" s="358">
        <f t="shared" ca="1" si="12"/>
        <v>0</v>
      </c>
      <c r="K48" s="358">
        <f t="shared" ca="1" si="13"/>
        <v>0</v>
      </c>
      <c r="L48" s="358">
        <f t="shared" ca="1" si="14"/>
        <v>0</v>
      </c>
      <c r="M48" s="358"/>
      <c r="N48" s="348"/>
    </row>
    <row r="49" spans="1:14">
      <c r="A49" s="319" t="str">
        <f t="shared" ca="1" si="10"/>
        <v/>
      </c>
      <c r="B49" s="354" t="str">
        <f ca="1">IF(ROWS($1:36)&gt;COUNT(Dong11),"",OFFSET(TH!D$1,SMALL(Dong11,ROWS($1:36)),))</f>
        <v/>
      </c>
      <c r="C49" s="355" t="str">
        <f ca="1">IF(ROWS($1:36)&gt;COUNT(Dong11),"",OFFSET(TH!E$1,SMALL(Dong11,ROWS($1:36)),))</f>
        <v/>
      </c>
      <c r="D49" s="356" t="str">
        <f ca="1">IF(ROWS($1:36)&gt;COUNT(Dong11),"",OFFSET(TH!H$1,SMALL(Dong11,ROWS($1:36)),))</f>
        <v/>
      </c>
      <c r="E49" s="354" t="str">
        <f ca="1">IF(ROWS($1:36)&gt;COUNT(Dong11),"",IF(OFFSET(TH!L$1,SMALL(Dong11,ROWS($1:36)),)=$G$7,OFFSET(TH!M$1,SMALL(Dong11,ROWS($1:36)),),OFFSET(TH!L$1,SMALL(Dong11,ROWS($1:36)),)))</f>
        <v/>
      </c>
      <c r="F49" s="357">
        <f ca="1">IF(ROWS($1:36)&gt;COUNT(Dong11),0,OFFSET(TH!J$1,SMALL(Dong11,ROWS($1:36)),))</f>
        <v>0</v>
      </c>
      <c r="G49" s="357">
        <f ca="1">IF(ROWS($1:36)&gt;COUNT(Dong11),0,IF(MID(OFFSET(TH!D$1,SMALL(Dong11,ROWS($1:36)),),4,1)="N",OFFSET(TH!I$1,SMALL(Dong11,ROWS($1:36)),),0))</f>
        <v>0</v>
      </c>
      <c r="H49" s="358">
        <f t="shared" ca="1" si="11"/>
        <v>0</v>
      </c>
      <c r="I49" s="357">
        <f ca="1">IF(ROWS($1:36)&gt;COUNT(Dong11),0,IF(MID(OFFSET(TH!D$1,SMALL(Dong11,ROWS($1:36)),),4,1)="X",OFFSET(TH!I$1,SMALL(Dong11,ROWS($1:36)),),0))</f>
        <v>0</v>
      </c>
      <c r="J49" s="358">
        <f t="shared" ca="1" si="12"/>
        <v>0</v>
      </c>
      <c r="K49" s="358">
        <f t="shared" ca="1" si="13"/>
        <v>0</v>
      </c>
      <c r="L49" s="358">
        <f t="shared" ca="1" si="14"/>
        <v>0</v>
      </c>
      <c r="M49" s="358"/>
      <c r="N49" s="348"/>
    </row>
    <row r="50" spans="1:14">
      <c r="A50" s="319" t="str">
        <f t="shared" ca="1" si="10"/>
        <v/>
      </c>
      <c r="B50" s="354" t="str">
        <f ca="1">IF(ROWS($1:37)&gt;COUNT(Dong11),"",OFFSET(TH!D$1,SMALL(Dong11,ROWS($1:37)),))</f>
        <v/>
      </c>
      <c r="C50" s="355" t="str">
        <f ca="1">IF(ROWS($1:37)&gt;COUNT(Dong11),"",OFFSET(TH!E$1,SMALL(Dong11,ROWS($1:37)),))</f>
        <v/>
      </c>
      <c r="D50" s="356" t="str">
        <f ca="1">IF(ROWS($1:37)&gt;COUNT(Dong11),"",OFFSET(TH!H$1,SMALL(Dong11,ROWS($1:37)),))</f>
        <v/>
      </c>
      <c r="E50" s="354" t="str">
        <f ca="1">IF(ROWS($1:37)&gt;COUNT(Dong11),"",IF(OFFSET(TH!L$1,SMALL(Dong11,ROWS($1:37)),)=$G$7,OFFSET(TH!M$1,SMALL(Dong11,ROWS($1:37)),),OFFSET(TH!L$1,SMALL(Dong11,ROWS($1:37)),)))</f>
        <v/>
      </c>
      <c r="F50" s="357">
        <f ca="1">IF(ROWS($1:37)&gt;COUNT(Dong11),0,OFFSET(TH!J$1,SMALL(Dong11,ROWS($1:37)),))</f>
        <v>0</v>
      </c>
      <c r="G50" s="357">
        <f ca="1">IF(ROWS($1:37)&gt;COUNT(Dong11),0,IF(MID(OFFSET(TH!D$1,SMALL(Dong11,ROWS($1:37)),),4,1)="N",OFFSET(TH!I$1,SMALL(Dong11,ROWS($1:37)),),0))</f>
        <v>0</v>
      </c>
      <c r="H50" s="358">
        <f t="shared" ca="1" si="11"/>
        <v>0</v>
      </c>
      <c r="I50" s="357">
        <f ca="1">IF(ROWS($1:37)&gt;COUNT(Dong11),0,IF(MID(OFFSET(TH!D$1,SMALL(Dong11,ROWS($1:37)),),4,1)="X",OFFSET(TH!I$1,SMALL(Dong11,ROWS($1:37)),),0))</f>
        <v>0</v>
      </c>
      <c r="J50" s="358">
        <f t="shared" ca="1" si="12"/>
        <v>0</v>
      </c>
      <c r="K50" s="358">
        <f t="shared" ca="1" si="13"/>
        <v>0</v>
      </c>
      <c r="L50" s="358">
        <f t="shared" ca="1" si="14"/>
        <v>0</v>
      </c>
      <c r="M50" s="358"/>
      <c r="N50" s="348"/>
    </row>
    <row r="51" spans="1:14">
      <c r="A51" s="319" t="str">
        <f t="shared" ca="1" si="10"/>
        <v/>
      </c>
      <c r="B51" s="354" t="str">
        <f ca="1">IF(ROWS($1:38)&gt;COUNT(Dong11),"",OFFSET(TH!D$1,SMALL(Dong11,ROWS($1:38)),))</f>
        <v/>
      </c>
      <c r="C51" s="355" t="str">
        <f ca="1">IF(ROWS($1:38)&gt;COUNT(Dong11),"",OFFSET(TH!E$1,SMALL(Dong11,ROWS($1:38)),))</f>
        <v/>
      </c>
      <c r="D51" s="356" t="str">
        <f ca="1">IF(ROWS($1:38)&gt;COUNT(Dong11),"",OFFSET(TH!H$1,SMALL(Dong11,ROWS($1:38)),))</f>
        <v/>
      </c>
      <c r="E51" s="354" t="str">
        <f ca="1">IF(ROWS($1:38)&gt;COUNT(Dong11),"",IF(OFFSET(TH!L$1,SMALL(Dong11,ROWS($1:38)),)=$G$7,OFFSET(TH!M$1,SMALL(Dong11,ROWS($1:38)),),OFFSET(TH!L$1,SMALL(Dong11,ROWS($1:38)),)))</f>
        <v/>
      </c>
      <c r="F51" s="357">
        <f ca="1">IF(ROWS($1:38)&gt;COUNT(Dong11),0,OFFSET(TH!J$1,SMALL(Dong11,ROWS($1:38)),))</f>
        <v>0</v>
      </c>
      <c r="G51" s="357">
        <f ca="1">IF(ROWS($1:38)&gt;COUNT(Dong11),0,IF(MID(OFFSET(TH!D$1,SMALL(Dong11,ROWS($1:38)),),4,1)="N",OFFSET(TH!I$1,SMALL(Dong11,ROWS($1:38)),),0))</f>
        <v>0</v>
      </c>
      <c r="H51" s="358">
        <f t="shared" ca="1" si="11"/>
        <v>0</v>
      </c>
      <c r="I51" s="357">
        <f ca="1">IF(ROWS($1:38)&gt;COUNT(Dong11),0,IF(MID(OFFSET(TH!D$1,SMALL(Dong11,ROWS($1:38)),),4,1)="X",OFFSET(TH!I$1,SMALL(Dong11,ROWS($1:38)),),0))</f>
        <v>0</v>
      </c>
      <c r="J51" s="358">
        <f t="shared" ca="1" si="12"/>
        <v>0</v>
      </c>
      <c r="K51" s="358">
        <f t="shared" ca="1" si="13"/>
        <v>0</v>
      </c>
      <c r="L51" s="358">
        <f t="shared" ca="1" si="14"/>
        <v>0</v>
      </c>
      <c r="M51" s="358"/>
      <c r="N51" s="348"/>
    </row>
    <row r="52" spans="1:14">
      <c r="A52" s="319" t="str">
        <f t="shared" ca="1" si="10"/>
        <v/>
      </c>
      <c r="B52" s="354" t="str">
        <f ca="1">IF(ROWS($1:39)&gt;COUNT(Dong11),"",OFFSET(TH!D$1,SMALL(Dong11,ROWS($1:39)),))</f>
        <v/>
      </c>
      <c r="C52" s="355" t="str">
        <f ca="1">IF(ROWS($1:39)&gt;COUNT(Dong11),"",OFFSET(TH!E$1,SMALL(Dong11,ROWS($1:39)),))</f>
        <v/>
      </c>
      <c r="D52" s="356" t="str">
        <f ca="1">IF(ROWS($1:39)&gt;COUNT(Dong11),"",OFFSET(TH!H$1,SMALL(Dong11,ROWS($1:39)),))</f>
        <v/>
      </c>
      <c r="E52" s="354" t="str">
        <f ca="1">IF(ROWS($1:39)&gt;COUNT(Dong11),"",IF(OFFSET(TH!L$1,SMALL(Dong11,ROWS($1:39)),)=$G$7,OFFSET(TH!M$1,SMALL(Dong11,ROWS($1:39)),),OFFSET(TH!L$1,SMALL(Dong11,ROWS($1:39)),)))</f>
        <v/>
      </c>
      <c r="F52" s="357">
        <f ca="1">IF(ROWS($1:39)&gt;COUNT(Dong11),0,OFFSET(TH!J$1,SMALL(Dong11,ROWS($1:39)),))</f>
        <v>0</v>
      </c>
      <c r="G52" s="357">
        <f ca="1">IF(ROWS($1:39)&gt;COUNT(Dong11),0,IF(MID(OFFSET(TH!D$1,SMALL(Dong11,ROWS($1:39)),),4,1)="N",OFFSET(TH!I$1,SMALL(Dong11,ROWS($1:39)),),0))</f>
        <v>0</v>
      </c>
      <c r="H52" s="358">
        <f t="shared" ca="1" si="11"/>
        <v>0</v>
      </c>
      <c r="I52" s="357">
        <f ca="1">IF(ROWS($1:39)&gt;COUNT(Dong11),0,IF(MID(OFFSET(TH!D$1,SMALL(Dong11,ROWS($1:39)),),4,1)="X",OFFSET(TH!I$1,SMALL(Dong11,ROWS($1:39)),),0))</f>
        <v>0</v>
      </c>
      <c r="J52" s="358">
        <f t="shared" ca="1" si="12"/>
        <v>0</v>
      </c>
      <c r="K52" s="358">
        <f t="shared" ca="1" si="13"/>
        <v>0</v>
      </c>
      <c r="L52" s="358">
        <f t="shared" ca="1" si="14"/>
        <v>0</v>
      </c>
      <c r="M52" s="358"/>
      <c r="N52" s="348"/>
    </row>
    <row r="53" spans="1:14">
      <c r="A53" s="319" t="str">
        <f t="shared" ca="1" si="10"/>
        <v/>
      </c>
      <c r="B53" s="354" t="str">
        <f ca="1">IF(ROWS($1:40)&gt;COUNT(Dong11),"",OFFSET(TH!D$1,SMALL(Dong11,ROWS($1:40)),))</f>
        <v/>
      </c>
      <c r="C53" s="355" t="str">
        <f ca="1">IF(ROWS($1:40)&gt;COUNT(Dong11),"",OFFSET(TH!E$1,SMALL(Dong11,ROWS($1:40)),))</f>
        <v/>
      </c>
      <c r="D53" s="356" t="str">
        <f ca="1">IF(ROWS($1:40)&gt;COUNT(Dong11),"",OFFSET(TH!H$1,SMALL(Dong11,ROWS($1:40)),))</f>
        <v/>
      </c>
      <c r="E53" s="354" t="str">
        <f ca="1">IF(ROWS($1:40)&gt;COUNT(Dong11),"",IF(OFFSET(TH!L$1,SMALL(Dong11,ROWS($1:40)),)=$G$7,OFFSET(TH!M$1,SMALL(Dong11,ROWS($1:40)),),OFFSET(TH!L$1,SMALL(Dong11,ROWS($1:40)),)))</f>
        <v/>
      </c>
      <c r="F53" s="357">
        <f ca="1">IF(ROWS($1:40)&gt;COUNT(Dong11),0,OFFSET(TH!J$1,SMALL(Dong11,ROWS($1:40)),))</f>
        <v>0</v>
      </c>
      <c r="G53" s="357">
        <f ca="1">IF(ROWS($1:40)&gt;COUNT(Dong11),0,IF(MID(OFFSET(TH!D$1,SMALL(Dong11,ROWS($1:40)),),4,1)="N",OFFSET(TH!I$1,SMALL(Dong11,ROWS($1:40)),),0))</f>
        <v>0</v>
      </c>
      <c r="H53" s="358">
        <f t="shared" ca="1" si="11"/>
        <v>0</v>
      </c>
      <c r="I53" s="357">
        <f ca="1">IF(ROWS($1:40)&gt;COUNT(Dong11),0,IF(MID(OFFSET(TH!D$1,SMALL(Dong11,ROWS($1:40)),),4,1)="X",OFFSET(TH!I$1,SMALL(Dong11,ROWS($1:40)),),0))</f>
        <v>0</v>
      </c>
      <c r="J53" s="358">
        <f t="shared" ca="1" si="12"/>
        <v>0</v>
      </c>
      <c r="K53" s="358">
        <f t="shared" ca="1" si="13"/>
        <v>0</v>
      </c>
      <c r="L53" s="358">
        <f t="shared" ca="1" si="14"/>
        <v>0</v>
      </c>
      <c r="M53" s="358"/>
      <c r="N53" s="348"/>
    </row>
    <row r="54" spans="1:14">
      <c r="A54" s="319" t="str">
        <f t="shared" ca="1" si="10"/>
        <v/>
      </c>
      <c r="B54" s="354" t="str">
        <f ca="1">IF(ROWS($1:41)&gt;COUNT(Dong11),"",OFFSET(TH!D$1,SMALL(Dong11,ROWS($1:41)),))</f>
        <v/>
      </c>
      <c r="C54" s="355" t="str">
        <f ca="1">IF(ROWS($1:41)&gt;COUNT(Dong11),"",OFFSET(TH!E$1,SMALL(Dong11,ROWS($1:41)),))</f>
        <v/>
      </c>
      <c r="D54" s="356" t="str">
        <f ca="1">IF(ROWS($1:41)&gt;COUNT(Dong11),"",OFFSET(TH!H$1,SMALL(Dong11,ROWS($1:41)),))</f>
        <v/>
      </c>
      <c r="E54" s="354" t="str">
        <f ca="1">IF(ROWS($1:41)&gt;COUNT(Dong11),"",IF(OFFSET(TH!L$1,SMALL(Dong11,ROWS($1:41)),)=$G$7,OFFSET(TH!M$1,SMALL(Dong11,ROWS($1:41)),),OFFSET(TH!L$1,SMALL(Dong11,ROWS($1:41)),)))</f>
        <v/>
      </c>
      <c r="F54" s="357">
        <f ca="1">IF(ROWS($1:41)&gt;COUNT(Dong11),0,OFFSET(TH!J$1,SMALL(Dong11,ROWS($1:41)),))</f>
        <v>0</v>
      </c>
      <c r="G54" s="357">
        <f ca="1">IF(ROWS($1:41)&gt;COUNT(Dong11),0,IF(MID(OFFSET(TH!D$1,SMALL(Dong11,ROWS($1:41)),),4,1)="N",OFFSET(TH!I$1,SMALL(Dong11,ROWS($1:41)),),0))</f>
        <v>0</v>
      </c>
      <c r="H54" s="358">
        <f t="shared" ca="1" si="11"/>
        <v>0</v>
      </c>
      <c r="I54" s="357">
        <f ca="1">IF(ROWS($1:41)&gt;COUNT(Dong11),0,IF(MID(OFFSET(TH!D$1,SMALL(Dong11,ROWS($1:41)),),4,1)="X",OFFSET(TH!I$1,SMALL(Dong11,ROWS($1:41)),),0))</f>
        <v>0</v>
      </c>
      <c r="J54" s="358">
        <f t="shared" ca="1" si="12"/>
        <v>0</v>
      </c>
      <c r="K54" s="358">
        <f t="shared" ca="1" si="13"/>
        <v>0</v>
      </c>
      <c r="L54" s="358">
        <f t="shared" ca="1" si="14"/>
        <v>0</v>
      </c>
      <c r="M54" s="358"/>
      <c r="N54" s="348"/>
    </row>
    <row r="55" spans="1:14">
      <c r="A55" s="319" t="str">
        <f t="shared" ca="1" si="10"/>
        <v/>
      </c>
      <c r="B55" s="354" t="str">
        <f ca="1">IF(ROWS($1:42)&gt;COUNT(Dong11),"",OFFSET(TH!D$1,SMALL(Dong11,ROWS($1:42)),))</f>
        <v/>
      </c>
      <c r="C55" s="355" t="str">
        <f ca="1">IF(ROWS($1:42)&gt;COUNT(Dong11),"",OFFSET(TH!E$1,SMALL(Dong11,ROWS($1:42)),))</f>
        <v/>
      </c>
      <c r="D55" s="356" t="str">
        <f ca="1">IF(ROWS($1:42)&gt;COUNT(Dong11),"",OFFSET(TH!H$1,SMALL(Dong11,ROWS($1:42)),))</f>
        <v/>
      </c>
      <c r="E55" s="354" t="str">
        <f ca="1">IF(ROWS($1:42)&gt;COUNT(Dong11),"",IF(OFFSET(TH!L$1,SMALL(Dong11,ROWS($1:42)),)=$G$7,OFFSET(TH!M$1,SMALL(Dong11,ROWS($1:42)),),OFFSET(TH!L$1,SMALL(Dong11,ROWS($1:42)),)))</f>
        <v/>
      </c>
      <c r="F55" s="357">
        <f ca="1">IF(ROWS($1:42)&gt;COUNT(Dong11),0,OFFSET(TH!J$1,SMALL(Dong11,ROWS($1:42)),))</f>
        <v>0</v>
      </c>
      <c r="G55" s="357">
        <f ca="1">IF(ROWS($1:42)&gt;COUNT(Dong11),0,IF(MID(OFFSET(TH!D$1,SMALL(Dong11,ROWS($1:42)),),4,1)="N",OFFSET(TH!I$1,SMALL(Dong11,ROWS($1:42)),),0))</f>
        <v>0</v>
      </c>
      <c r="H55" s="358">
        <f t="shared" ca="1" si="11"/>
        <v>0</v>
      </c>
      <c r="I55" s="357">
        <f ca="1">IF(ROWS($1:42)&gt;COUNT(Dong11),0,IF(MID(OFFSET(TH!D$1,SMALL(Dong11,ROWS($1:42)),),4,1)="X",OFFSET(TH!I$1,SMALL(Dong11,ROWS($1:42)),),0))</f>
        <v>0</v>
      </c>
      <c r="J55" s="358">
        <f t="shared" ca="1" si="12"/>
        <v>0</v>
      </c>
      <c r="K55" s="358">
        <f t="shared" ca="1" si="13"/>
        <v>0</v>
      </c>
      <c r="L55" s="358">
        <f t="shared" ca="1" si="14"/>
        <v>0</v>
      </c>
      <c r="M55" s="358"/>
      <c r="N55" s="348"/>
    </row>
    <row r="56" spans="1:14">
      <c r="A56" s="319" t="str">
        <f t="shared" ca="1" si="10"/>
        <v/>
      </c>
      <c r="B56" s="354" t="str">
        <f ca="1">IF(ROWS($1:43)&gt;COUNT(Dong11),"",OFFSET(TH!D$1,SMALL(Dong11,ROWS($1:43)),))</f>
        <v/>
      </c>
      <c r="C56" s="355" t="str">
        <f ca="1">IF(ROWS($1:43)&gt;COUNT(Dong11),"",OFFSET(TH!E$1,SMALL(Dong11,ROWS($1:43)),))</f>
        <v/>
      </c>
      <c r="D56" s="356" t="str">
        <f ca="1">IF(ROWS($1:43)&gt;COUNT(Dong11),"",OFFSET(TH!H$1,SMALL(Dong11,ROWS($1:43)),))</f>
        <v/>
      </c>
      <c r="E56" s="354" t="str">
        <f ca="1">IF(ROWS($1:43)&gt;COUNT(Dong11),"",IF(OFFSET(TH!L$1,SMALL(Dong11,ROWS($1:43)),)=$G$7,OFFSET(TH!M$1,SMALL(Dong11,ROWS($1:43)),),OFFSET(TH!L$1,SMALL(Dong11,ROWS($1:43)),)))</f>
        <v/>
      </c>
      <c r="F56" s="357">
        <f ca="1">IF(ROWS($1:43)&gt;COUNT(Dong11),0,OFFSET(TH!J$1,SMALL(Dong11,ROWS($1:43)),))</f>
        <v>0</v>
      </c>
      <c r="G56" s="357">
        <f ca="1">IF(ROWS($1:43)&gt;COUNT(Dong11),0,IF(MID(OFFSET(TH!D$1,SMALL(Dong11,ROWS($1:43)),),4,1)="N",OFFSET(TH!I$1,SMALL(Dong11,ROWS($1:43)),),0))</f>
        <v>0</v>
      </c>
      <c r="H56" s="358">
        <f t="shared" ca="1" si="11"/>
        <v>0</v>
      </c>
      <c r="I56" s="357">
        <f ca="1">IF(ROWS($1:43)&gt;COUNT(Dong11),0,IF(MID(OFFSET(TH!D$1,SMALL(Dong11,ROWS($1:43)),),4,1)="X",OFFSET(TH!I$1,SMALL(Dong11,ROWS($1:43)),),0))</f>
        <v>0</v>
      </c>
      <c r="J56" s="358">
        <f t="shared" ca="1" si="12"/>
        <v>0</v>
      </c>
      <c r="K56" s="358">
        <f t="shared" ca="1" si="13"/>
        <v>0</v>
      </c>
      <c r="L56" s="358">
        <f t="shared" ca="1" si="14"/>
        <v>0</v>
      </c>
      <c r="M56" s="358"/>
      <c r="N56" s="348"/>
    </row>
    <row r="57" spans="1:14">
      <c r="A57" s="319" t="str">
        <f t="shared" ca="1" si="10"/>
        <v/>
      </c>
      <c r="B57" s="354" t="str">
        <f ca="1">IF(ROWS($1:44)&gt;COUNT(Dong11),"",OFFSET(TH!D$1,SMALL(Dong11,ROWS($1:44)),))</f>
        <v/>
      </c>
      <c r="C57" s="355" t="str">
        <f ca="1">IF(ROWS($1:44)&gt;COUNT(Dong11),"",OFFSET(TH!E$1,SMALL(Dong11,ROWS($1:44)),))</f>
        <v/>
      </c>
      <c r="D57" s="356" t="str">
        <f ca="1">IF(ROWS($1:44)&gt;COUNT(Dong11),"",OFFSET(TH!H$1,SMALL(Dong11,ROWS($1:44)),))</f>
        <v/>
      </c>
      <c r="E57" s="354" t="str">
        <f ca="1">IF(ROWS($1:44)&gt;COUNT(Dong11),"",IF(OFFSET(TH!L$1,SMALL(Dong11,ROWS($1:44)),)=$G$7,OFFSET(TH!M$1,SMALL(Dong11,ROWS($1:44)),),OFFSET(TH!L$1,SMALL(Dong11,ROWS($1:44)),)))</f>
        <v/>
      </c>
      <c r="F57" s="357">
        <f ca="1">IF(ROWS($1:44)&gt;COUNT(Dong11),0,OFFSET(TH!J$1,SMALL(Dong11,ROWS($1:44)),))</f>
        <v>0</v>
      </c>
      <c r="G57" s="357">
        <f ca="1">IF(ROWS($1:44)&gt;COUNT(Dong11),0,IF(MID(OFFSET(TH!D$1,SMALL(Dong11,ROWS($1:44)),),4,1)="N",OFFSET(TH!I$1,SMALL(Dong11,ROWS($1:44)),),0))</f>
        <v>0</v>
      </c>
      <c r="H57" s="358">
        <f t="shared" ca="1" si="11"/>
        <v>0</v>
      </c>
      <c r="I57" s="357">
        <f ca="1">IF(ROWS($1:44)&gt;COUNT(Dong11),0,IF(MID(OFFSET(TH!D$1,SMALL(Dong11,ROWS($1:44)),),4,1)="X",OFFSET(TH!I$1,SMALL(Dong11,ROWS($1:44)),),0))</f>
        <v>0</v>
      </c>
      <c r="J57" s="358">
        <f t="shared" ca="1" si="12"/>
        <v>0</v>
      </c>
      <c r="K57" s="358">
        <f t="shared" ca="1" si="13"/>
        <v>0</v>
      </c>
      <c r="L57" s="358">
        <f t="shared" ca="1" si="14"/>
        <v>0</v>
      </c>
      <c r="M57" s="358"/>
      <c r="N57" s="348"/>
    </row>
    <row r="58" spans="1:14">
      <c r="A58" s="319" t="str">
        <f t="shared" ca="1" si="10"/>
        <v/>
      </c>
      <c r="B58" s="354" t="str">
        <f ca="1">IF(ROWS($1:45)&gt;COUNT(Dong11),"",OFFSET(TH!D$1,SMALL(Dong11,ROWS($1:45)),))</f>
        <v/>
      </c>
      <c r="C58" s="355" t="str">
        <f ca="1">IF(ROWS($1:45)&gt;COUNT(Dong11),"",OFFSET(TH!E$1,SMALL(Dong11,ROWS($1:45)),))</f>
        <v/>
      </c>
      <c r="D58" s="356" t="str">
        <f ca="1">IF(ROWS($1:45)&gt;COUNT(Dong11),"",OFFSET(TH!H$1,SMALL(Dong11,ROWS($1:45)),))</f>
        <v/>
      </c>
      <c r="E58" s="354" t="str">
        <f ca="1">IF(ROWS($1:45)&gt;COUNT(Dong11),"",IF(OFFSET(TH!L$1,SMALL(Dong11,ROWS($1:45)),)=$G$7,OFFSET(TH!M$1,SMALL(Dong11,ROWS($1:45)),),OFFSET(TH!L$1,SMALL(Dong11,ROWS($1:45)),)))</f>
        <v/>
      </c>
      <c r="F58" s="357">
        <f ca="1">IF(ROWS($1:45)&gt;COUNT(Dong11),0,OFFSET(TH!J$1,SMALL(Dong11,ROWS($1:45)),))</f>
        <v>0</v>
      </c>
      <c r="G58" s="357">
        <f ca="1">IF(ROWS($1:45)&gt;COUNT(Dong11),0,IF(MID(OFFSET(TH!D$1,SMALL(Dong11,ROWS($1:45)),),4,1)="N",OFFSET(TH!I$1,SMALL(Dong11,ROWS($1:45)),),0))</f>
        <v>0</v>
      </c>
      <c r="H58" s="358">
        <f t="shared" ca="1" si="11"/>
        <v>0</v>
      </c>
      <c r="I58" s="357">
        <f ca="1">IF(ROWS($1:45)&gt;COUNT(Dong11),0,IF(MID(OFFSET(TH!D$1,SMALL(Dong11,ROWS($1:45)),),4,1)="X",OFFSET(TH!I$1,SMALL(Dong11,ROWS($1:45)),),0))</f>
        <v>0</v>
      </c>
      <c r="J58" s="358">
        <f t="shared" ca="1" si="12"/>
        <v>0</v>
      </c>
      <c r="K58" s="358">
        <f t="shared" ca="1" si="13"/>
        <v>0</v>
      </c>
      <c r="L58" s="358">
        <f t="shared" ca="1" si="14"/>
        <v>0</v>
      </c>
      <c r="M58" s="358"/>
      <c r="N58" s="348"/>
    </row>
    <row r="59" spans="1:14">
      <c r="A59" s="319" t="str">
        <f t="shared" ca="1" si="10"/>
        <v/>
      </c>
      <c r="B59" s="354" t="str">
        <f ca="1">IF(ROWS($1:46)&gt;COUNT(Dong11),"",OFFSET(TH!D$1,SMALL(Dong11,ROWS($1:46)),))</f>
        <v/>
      </c>
      <c r="C59" s="355" t="str">
        <f ca="1">IF(ROWS($1:46)&gt;COUNT(Dong11),"",OFFSET(TH!E$1,SMALL(Dong11,ROWS($1:46)),))</f>
        <v/>
      </c>
      <c r="D59" s="356" t="str">
        <f ca="1">IF(ROWS($1:46)&gt;COUNT(Dong11),"",OFFSET(TH!H$1,SMALL(Dong11,ROWS($1:46)),))</f>
        <v/>
      </c>
      <c r="E59" s="354" t="str">
        <f ca="1">IF(ROWS($1:46)&gt;COUNT(Dong11),"",IF(OFFSET(TH!L$1,SMALL(Dong11,ROWS($1:46)),)=$G$7,OFFSET(TH!M$1,SMALL(Dong11,ROWS($1:46)),),OFFSET(TH!L$1,SMALL(Dong11,ROWS($1:46)),)))</f>
        <v/>
      </c>
      <c r="F59" s="357">
        <f ca="1">IF(ROWS($1:46)&gt;COUNT(Dong11),0,OFFSET(TH!J$1,SMALL(Dong11,ROWS($1:46)),))</f>
        <v>0</v>
      </c>
      <c r="G59" s="357">
        <f ca="1">IF(ROWS($1:46)&gt;COUNT(Dong11),0,IF(MID(OFFSET(TH!D$1,SMALL(Dong11,ROWS($1:46)),),4,1)="N",OFFSET(TH!I$1,SMALL(Dong11,ROWS($1:46)),),0))</f>
        <v>0</v>
      </c>
      <c r="H59" s="358">
        <f t="shared" ca="1" si="11"/>
        <v>0</v>
      </c>
      <c r="I59" s="357">
        <f ca="1">IF(ROWS($1:46)&gt;COUNT(Dong11),0,IF(MID(OFFSET(TH!D$1,SMALL(Dong11,ROWS($1:46)),),4,1)="X",OFFSET(TH!I$1,SMALL(Dong11,ROWS($1:46)),),0))</f>
        <v>0</v>
      </c>
      <c r="J59" s="358">
        <f t="shared" ca="1" si="12"/>
        <v>0</v>
      </c>
      <c r="K59" s="358">
        <f t="shared" ca="1" si="13"/>
        <v>0</v>
      </c>
      <c r="L59" s="358">
        <f t="shared" ca="1" si="14"/>
        <v>0</v>
      </c>
      <c r="M59" s="358"/>
      <c r="N59" s="348"/>
    </row>
    <row r="60" spans="1:14">
      <c r="A60" s="319" t="str">
        <f t="shared" ca="1" si="10"/>
        <v/>
      </c>
      <c r="B60" s="354" t="str">
        <f ca="1">IF(ROWS($1:47)&gt;COUNT(Dong11),"",OFFSET(TH!D$1,SMALL(Dong11,ROWS($1:47)),))</f>
        <v/>
      </c>
      <c r="C60" s="355" t="str">
        <f ca="1">IF(ROWS($1:47)&gt;COUNT(Dong11),"",OFFSET(TH!E$1,SMALL(Dong11,ROWS($1:47)),))</f>
        <v/>
      </c>
      <c r="D60" s="356" t="str">
        <f ca="1">IF(ROWS($1:47)&gt;COUNT(Dong11),"",OFFSET(TH!H$1,SMALL(Dong11,ROWS($1:47)),))</f>
        <v/>
      </c>
      <c r="E60" s="354" t="str">
        <f ca="1">IF(ROWS($1:47)&gt;COUNT(Dong11),"",IF(OFFSET(TH!L$1,SMALL(Dong11,ROWS($1:47)),)=$G$7,OFFSET(TH!M$1,SMALL(Dong11,ROWS($1:47)),),OFFSET(TH!L$1,SMALL(Dong11,ROWS($1:47)),)))</f>
        <v/>
      </c>
      <c r="F60" s="357">
        <f ca="1">IF(ROWS($1:47)&gt;COUNT(Dong11),0,OFFSET(TH!J$1,SMALL(Dong11,ROWS($1:47)),))</f>
        <v>0</v>
      </c>
      <c r="G60" s="357">
        <f ca="1">IF(ROWS($1:47)&gt;COUNT(Dong11),0,IF(MID(OFFSET(TH!D$1,SMALL(Dong11,ROWS($1:47)),),4,1)="N",OFFSET(TH!I$1,SMALL(Dong11,ROWS($1:47)),),0))</f>
        <v>0</v>
      </c>
      <c r="H60" s="358">
        <f t="shared" ca="1" si="11"/>
        <v>0</v>
      </c>
      <c r="I60" s="357">
        <f ca="1">IF(ROWS($1:47)&gt;COUNT(Dong11),0,IF(MID(OFFSET(TH!D$1,SMALL(Dong11,ROWS($1:47)),),4,1)="X",OFFSET(TH!I$1,SMALL(Dong11,ROWS($1:47)),),0))</f>
        <v>0</v>
      </c>
      <c r="J60" s="358">
        <f t="shared" ca="1" si="12"/>
        <v>0</v>
      </c>
      <c r="K60" s="358">
        <f t="shared" ca="1" si="13"/>
        <v>0</v>
      </c>
      <c r="L60" s="358">
        <f t="shared" ca="1" si="14"/>
        <v>0</v>
      </c>
      <c r="M60" s="358"/>
      <c r="N60" s="348"/>
    </row>
    <row r="61" spans="1:14">
      <c r="A61" s="319" t="str">
        <f t="shared" ca="1" si="10"/>
        <v/>
      </c>
      <c r="B61" s="354" t="str">
        <f ca="1">IF(ROWS($1:48)&gt;COUNT(Dong11),"",OFFSET(TH!D$1,SMALL(Dong11,ROWS($1:48)),))</f>
        <v/>
      </c>
      <c r="C61" s="355" t="str">
        <f ca="1">IF(ROWS($1:48)&gt;COUNT(Dong11),"",OFFSET(TH!E$1,SMALL(Dong11,ROWS($1:48)),))</f>
        <v/>
      </c>
      <c r="D61" s="356" t="str">
        <f ca="1">IF(ROWS($1:48)&gt;COUNT(Dong11),"",OFFSET(TH!H$1,SMALL(Dong11,ROWS($1:48)),))</f>
        <v/>
      </c>
      <c r="E61" s="354" t="str">
        <f ca="1">IF(ROWS($1:48)&gt;COUNT(Dong11),"",IF(OFFSET(TH!L$1,SMALL(Dong11,ROWS($1:48)),)=$G$7,OFFSET(TH!M$1,SMALL(Dong11,ROWS($1:48)),),OFFSET(TH!L$1,SMALL(Dong11,ROWS($1:48)),)))</f>
        <v/>
      </c>
      <c r="F61" s="357">
        <f ca="1">IF(ROWS($1:48)&gt;COUNT(Dong11),0,OFFSET(TH!J$1,SMALL(Dong11,ROWS($1:48)),))</f>
        <v>0</v>
      </c>
      <c r="G61" s="357">
        <f ca="1">IF(ROWS($1:48)&gt;COUNT(Dong11),0,IF(MID(OFFSET(TH!D$1,SMALL(Dong11,ROWS($1:48)),),4,1)="N",OFFSET(TH!I$1,SMALL(Dong11,ROWS($1:48)),),0))</f>
        <v>0</v>
      </c>
      <c r="H61" s="358">
        <f t="shared" ca="1" si="11"/>
        <v>0</v>
      </c>
      <c r="I61" s="357">
        <f ca="1">IF(ROWS($1:48)&gt;COUNT(Dong11),0,IF(MID(OFFSET(TH!D$1,SMALL(Dong11,ROWS($1:48)),),4,1)="X",OFFSET(TH!I$1,SMALL(Dong11,ROWS($1:48)),),0))</f>
        <v>0</v>
      </c>
      <c r="J61" s="358">
        <f t="shared" ca="1" si="12"/>
        <v>0</v>
      </c>
      <c r="K61" s="358">
        <f t="shared" ca="1" si="13"/>
        <v>0</v>
      </c>
      <c r="L61" s="358">
        <f t="shared" ca="1" si="14"/>
        <v>0</v>
      </c>
      <c r="M61" s="358"/>
      <c r="N61" s="348"/>
    </row>
    <row r="62" spans="1:14">
      <c r="A62" s="319" t="str">
        <f t="shared" ca="1" si="10"/>
        <v/>
      </c>
      <c r="B62" s="354" t="str">
        <f ca="1">IF(ROWS($1:49)&gt;COUNT(Dong11),"",OFFSET(TH!D$1,SMALL(Dong11,ROWS($1:49)),))</f>
        <v/>
      </c>
      <c r="C62" s="355" t="str">
        <f ca="1">IF(ROWS($1:49)&gt;COUNT(Dong11),"",OFFSET(TH!E$1,SMALL(Dong11,ROWS($1:49)),))</f>
        <v/>
      </c>
      <c r="D62" s="356" t="str">
        <f ca="1">IF(ROWS($1:49)&gt;COUNT(Dong11),"",OFFSET(TH!H$1,SMALL(Dong11,ROWS($1:49)),))</f>
        <v/>
      </c>
      <c r="E62" s="354" t="str">
        <f ca="1">IF(ROWS($1:49)&gt;COUNT(Dong11),"",IF(OFFSET(TH!L$1,SMALL(Dong11,ROWS($1:49)),)=$G$7,OFFSET(TH!M$1,SMALL(Dong11,ROWS($1:49)),),OFFSET(TH!L$1,SMALL(Dong11,ROWS($1:49)),)))</f>
        <v/>
      </c>
      <c r="F62" s="357">
        <f ca="1">IF(ROWS($1:49)&gt;COUNT(Dong11),0,OFFSET(TH!J$1,SMALL(Dong11,ROWS($1:49)),))</f>
        <v>0</v>
      </c>
      <c r="G62" s="357">
        <f ca="1">IF(ROWS($1:49)&gt;COUNT(Dong11),0,IF(MID(OFFSET(TH!D$1,SMALL(Dong11,ROWS($1:49)),),4,1)="N",OFFSET(TH!I$1,SMALL(Dong11,ROWS($1:49)),),0))</f>
        <v>0</v>
      </c>
      <c r="H62" s="358">
        <f t="shared" ca="1" si="11"/>
        <v>0</v>
      </c>
      <c r="I62" s="357">
        <f ca="1">IF(ROWS($1:49)&gt;COUNT(Dong11),0,IF(MID(OFFSET(TH!D$1,SMALL(Dong11,ROWS($1:49)),),4,1)="X",OFFSET(TH!I$1,SMALL(Dong11,ROWS($1:49)),),0))</f>
        <v>0</v>
      </c>
      <c r="J62" s="358">
        <f t="shared" ca="1" si="12"/>
        <v>0</v>
      </c>
      <c r="K62" s="358">
        <f t="shared" ca="1" si="13"/>
        <v>0</v>
      </c>
      <c r="L62" s="358">
        <f t="shared" ca="1" si="14"/>
        <v>0</v>
      </c>
      <c r="M62" s="358"/>
      <c r="N62" s="348"/>
    </row>
    <row r="63" spans="1:14">
      <c r="A63" s="319" t="str">
        <f t="shared" ref="A63:A72" ca="1" si="15">IF(B63="","",A62+1)</f>
        <v/>
      </c>
      <c r="B63" s="354" t="str">
        <f ca="1">IF(ROWS($1:50)&gt;COUNT(Dong11),"",OFFSET(TH!D$1,SMALL(Dong11,ROWS($1:50)),))</f>
        <v/>
      </c>
      <c r="C63" s="355" t="str">
        <f ca="1">IF(ROWS($1:50)&gt;COUNT(Dong11),"",OFFSET(TH!E$1,SMALL(Dong11,ROWS($1:50)),))</f>
        <v/>
      </c>
      <c r="D63" s="356" t="str">
        <f ca="1">IF(ROWS($1:50)&gt;COUNT(Dong11),"",OFFSET(TH!H$1,SMALL(Dong11,ROWS($1:50)),))</f>
        <v/>
      </c>
      <c r="E63" s="354" t="str">
        <f ca="1">IF(ROWS($1:50)&gt;COUNT(Dong11),"",IF(OFFSET(TH!L$1,SMALL(Dong11,ROWS($1:50)),)=$G$7,OFFSET(TH!M$1,SMALL(Dong11,ROWS($1:50)),),OFFSET(TH!L$1,SMALL(Dong11,ROWS($1:50)),)))</f>
        <v/>
      </c>
      <c r="F63" s="357">
        <f ca="1">IF(ROWS($1:50)&gt;COUNT(Dong11),0,OFFSET(TH!J$1,SMALL(Dong11,ROWS($1:50)),))</f>
        <v>0</v>
      </c>
      <c r="G63" s="357">
        <f ca="1">IF(ROWS($1:50)&gt;COUNT(Dong11),0,IF(MID(OFFSET(TH!D$1,SMALL(Dong11,ROWS($1:50)),),4,1)="N",OFFSET(TH!I$1,SMALL(Dong11,ROWS($1:50)),),0))</f>
        <v>0</v>
      </c>
      <c r="H63" s="358">
        <f t="shared" ref="H63:H72" ca="1" si="16">ROUND(F63*G63,0)</f>
        <v>0</v>
      </c>
      <c r="I63" s="357">
        <f ca="1">IF(ROWS($1:50)&gt;COUNT(Dong11),0,IF(MID(OFFSET(TH!D$1,SMALL(Dong11,ROWS($1:50)),),4,1)="X",OFFSET(TH!I$1,SMALL(Dong11,ROWS($1:50)),),0))</f>
        <v>0</v>
      </c>
      <c r="J63" s="358">
        <f t="shared" ref="J63:J72" ca="1" si="17">ROUND(F63*I63,0)</f>
        <v>0</v>
      </c>
      <c r="K63" s="358">
        <f t="shared" ref="K63:K72" ca="1" si="18">IF(D63&lt;&gt;"",K62+G63-I63,0)</f>
        <v>0</v>
      </c>
      <c r="L63" s="358">
        <f t="shared" ref="L63:L72" ca="1" si="19">IF(D63&lt;&gt;"",L62+H63-J63,0)</f>
        <v>0</v>
      </c>
      <c r="M63" s="358"/>
      <c r="N63" s="348"/>
    </row>
    <row r="64" spans="1:14">
      <c r="A64" s="319" t="str">
        <f t="shared" ca="1" si="15"/>
        <v/>
      </c>
      <c r="B64" s="354" t="str">
        <f ca="1">IF(ROWS($1:51)&gt;COUNT(Dong11),"",OFFSET(TH!D$1,SMALL(Dong11,ROWS($1:51)),))</f>
        <v/>
      </c>
      <c r="C64" s="355" t="str">
        <f ca="1">IF(ROWS($1:51)&gt;COUNT(Dong11),"",OFFSET(TH!E$1,SMALL(Dong11,ROWS($1:51)),))</f>
        <v/>
      </c>
      <c r="D64" s="356" t="str">
        <f ca="1">IF(ROWS($1:51)&gt;COUNT(Dong11),"",OFFSET(TH!H$1,SMALL(Dong11,ROWS($1:51)),))</f>
        <v/>
      </c>
      <c r="E64" s="354" t="str">
        <f ca="1">IF(ROWS($1:51)&gt;COUNT(Dong11),"",IF(OFFSET(TH!L$1,SMALL(Dong11,ROWS($1:51)),)=$G$7,OFFSET(TH!M$1,SMALL(Dong11,ROWS($1:51)),),OFFSET(TH!L$1,SMALL(Dong11,ROWS($1:51)),)))</f>
        <v/>
      </c>
      <c r="F64" s="357">
        <f ca="1">IF(ROWS($1:51)&gt;COUNT(Dong11),0,OFFSET(TH!J$1,SMALL(Dong11,ROWS($1:51)),))</f>
        <v>0</v>
      </c>
      <c r="G64" s="357">
        <f ca="1">IF(ROWS($1:51)&gt;COUNT(Dong11),0,IF(MID(OFFSET(TH!D$1,SMALL(Dong11,ROWS($1:51)),),4,1)="N",OFFSET(TH!I$1,SMALL(Dong11,ROWS($1:51)),),0))</f>
        <v>0</v>
      </c>
      <c r="H64" s="358">
        <f t="shared" ca="1" si="16"/>
        <v>0</v>
      </c>
      <c r="I64" s="357">
        <f ca="1">IF(ROWS($1:51)&gt;COUNT(Dong11),0,IF(MID(OFFSET(TH!D$1,SMALL(Dong11,ROWS($1:51)),),4,1)="X",OFFSET(TH!I$1,SMALL(Dong11,ROWS($1:51)),),0))</f>
        <v>0</v>
      </c>
      <c r="J64" s="358">
        <f t="shared" ca="1" si="17"/>
        <v>0</v>
      </c>
      <c r="K64" s="358">
        <f t="shared" ca="1" si="18"/>
        <v>0</v>
      </c>
      <c r="L64" s="358">
        <f t="shared" ca="1" si="19"/>
        <v>0</v>
      </c>
      <c r="M64" s="358"/>
      <c r="N64" s="348"/>
    </row>
    <row r="65" spans="1:14">
      <c r="A65" s="319" t="str">
        <f t="shared" ca="1" si="15"/>
        <v/>
      </c>
      <c r="B65" s="354" t="str">
        <f ca="1">IF(ROWS($1:52)&gt;COUNT(Dong11),"",OFFSET(TH!D$1,SMALL(Dong11,ROWS($1:52)),))</f>
        <v/>
      </c>
      <c r="C65" s="355" t="str">
        <f ca="1">IF(ROWS($1:52)&gt;COUNT(Dong11),"",OFFSET(TH!E$1,SMALL(Dong11,ROWS($1:52)),))</f>
        <v/>
      </c>
      <c r="D65" s="356" t="str">
        <f ca="1">IF(ROWS($1:52)&gt;COUNT(Dong11),"",OFFSET(TH!H$1,SMALL(Dong11,ROWS($1:52)),))</f>
        <v/>
      </c>
      <c r="E65" s="354" t="str">
        <f ca="1">IF(ROWS($1:52)&gt;COUNT(Dong11),"",IF(OFFSET(TH!L$1,SMALL(Dong11,ROWS($1:52)),)=$G$7,OFFSET(TH!M$1,SMALL(Dong11,ROWS($1:52)),),OFFSET(TH!L$1,SMALL(Dong11,ROWS($1:52)),)))</f>
        <v/>
      </c>
      <c r="F65" s="357">
        <f ca="1">IF(ROWS($1:52)&gt;COUNT(Dong11),0,OFFSET(TH!J$1,SMALL(Dong11,ROWS($1:52)),))</f>
        <v>0</v>
      </c>
      <c r="G65" s="357">
        <f ca="1">IF(ROWS($1:52)&gt;COUNT(Dong11),0,IF(MID(OFFSET(TH!D$1,SMALL(Dong11,ROWS($1:52)),),4,1)="N",OFFSET(TH!I$1,SMALL(Dong11,ROWS($1:52)),),0))</f>
        <v>0</v>
      </c>
      <c r="H65" s="358">
        <f t="shared" ca="1" si="16"/>
        <v>0</v>
      </c>
      <c r="I65" s="357">
        <f ca="1">IF(ROWS($1:52)&gt;COUNT(Dong11),0,IF(MID(OFFSET(TH!D$1,SMALL(Dong11,ROWS($1:52)),),4,1)="X",OFFSET(TH!I$1,SMALL(Dong11,ROWS($1:52)),),0))</f>
        <v>0</v>
      </c>
      <c r="J65" s="358">
        <f t="shared" ca="1" si="17"/>
        <v>0</v>
      </c>
      <c r="K65" s="358">
        <f t="shared" ca="1" si="18"/>
        <v>0</v>
      </c>
      <c r="L65" s="358">
        <f t="shared" ca="1" si="19"/>
        <v>0</v>
      </c>
      <c r="M65" s="358"/>
      <c r="N65" s="348"/>
    </row>
    <row r="66" spans="1:14">
      <c r="A66" s="319" t="str">
        <f t="shared" ca="1" si="15"/>
        <v/>
      </c>
      <c r="B66" s="354" t="str">
        <f ca="1">IF(ROWS($1:53)&gt;COUNT(Dong11),"",OFFSET(TH!D$1,SMALL(Dong11,ROWS($1:53)),))</f>
        <v/>
      </c>
      <c r="C66" s="355" t="str">
        <f ca="1">IF(ROWS($1:53)&gt;COUNT(Dong11),"",OFFSET(TH!E$1,SMALL(Dong11,ROWS($1:53)),))</f>
        <v/>
      </c>
      <c r="D66" s="356" t="str">
        <f ca="1">IF(ROWS($1:53)&gt;COUNT(Dong11),"",OFFSET(TH!H$1,SMALL(Dong11,ROWS($1:53)),))</f>
        <v/>
      </c>
      <c r="E66" s="354" t="str">
        <f ca="1">IF(ROWS($1:53)&gt;COUNT(Dong11),"",IF(OFFSET(TH!L$1,SMALL(Dong11,ROWS($1:53)),)=$G$7,OFFSET(TH!M$1,SMALL(Dong11,ROWS($1:53)),),OFFSET(TH!L$1,SMALL(Dong11,ROWS($1:53)),)))</f>
        <v/>
      </c>
      <c r="F66" s="357">
        <f ca="1">IF(ROWS($1:53)&gt;COUNT(Dong11),0,OFFSET(TH!J$1,SMALL(Dong11,ROWS($1:53)),))</f>
        <v>0</v>
      </c>
      <c r="G66" s="357">
        <f ca="1">IF(ROWS($1:53)&gt;COUNT(Dong11),0,IF(MID(OFFSET(TH!D$1,SMALL(Dong11,ROWS($1:53)),),4,1)="N",OFFSET(TH!I$1,SMALL(Dong11,ROWS($1:53)),),0))</f>
        <v>0</v>
      </c>
      <c r="H66" s="358">
        <f t="shared" ca="1" si="16"/>
        <v>0</v>
      </c>
      <c r="I66" s="357">
        <f ca="1">IF(ROWS($1:53)&gt;COUNT(Dong11),0,IF(MID(OFFSET(TH!D$1,SMALL(Dong11,ROWS($1:53)),),4,1)="X",OFFSET(TH!I$1,SMALL(Dong11,ROWS($1:53)),),0))</f>
        <v>0</v>
      </c>
      <c r="J66" s="358">
        <f t="shared" ca="1" si="17"/>
        <v>0</v>
      </c>
      <c r="K66" s="358">
        <f t="shared" ca="1" si="18"/>
        <v>0</v>
      </c>
      <c r="L66" s="358">
        <f t="shared" ca="1" si="19"/>
        <v>0</v>
      </c>
      <c r="M66" s="358"/>
      <c r="N66" s="348"/>
    </row>
    <row r="67" spans="1:14">
      <c r="A67" s="319" t="str">
        <f t="shared" ca="1" si="15"/>
        <v/>
      </c>
      <c r="B67" s="354" t="str">
        <f ca="1">IF(ROWS($1:54)&gt;COUNT(Dong11),"",OFFSET(TH!D$1,SMALL(Dong11,ROWS($1:54)),))</f>
        <v/>
      </c>
      <c r="C67" s="355" t="str">
        <f ca="1">IF(ROWS($1:54)&gt;COUNT(Dong11),"",OFFSET(TH!E$1,SMALL(Dong11,ROWS($1:54)),))</f>
        <v/>
      </c>
      <c r="D67" s="356" t="str">
        <f ca="1">IF(ROWS($1:54)&gt;COUNT(Dong11),"",OFFSET(TH!H$1,SMALL(Dong11,ROWS($1:54)),))</f>
        <v/>
      </c>
      <c r="E67" s="354" t="str">
        <f ca="1">IF(ROWS($1:54)&gt;COUNT(Dong11),"",IF(OFFSET(TH!L$1,SMALL(Dong11,ROWS($1:54)),)=$G$7,OFFSET(TH!M$1,SMALL(Dong11,ROWS($1:54)),),OFFSET(TH!L$1,SMALL(Dong11,ROWS($1:54)),)))</f>
        <v/>
      </c>
      <c r="F67" s="357">
        <f ca="1">IF(ROWS($1:54)&gt;COUNT(Dong11),0,OFFSET(TH!J$1,SMALL(Dong11,ROWS($1:54)),))</f>
        <v>0</v>
      </c>
      <c r="G67" s="357">
        <f ca="1">IF(ROWS($1:54)&gt;COUNT(Dong11),0,IF(MID(OFFSET(TH!D$1,SMALL(Dong11,ROWS($1:54)),),4,1)="N",OFFSET(TH!I$1,SMALL(Dong11,ROWS($1:54)),),0))</f>
        <v>0</v>
      </c>
      <c r="H67" s="358">
        <f t="shared" ca="1" si="16"/>
        <v>0</v>
      </c>
      <c r="I67" s="357">
        <f ca="1">IF(ROWS($1:54)&gt;COUNT(Dong11),0,IF(MID(OFFSET(TH!D$1,SMALL(Dong11,ROWS($1:54)),),4,1)="X",OFFSET(TH!I$1,SMALL(Dong11,ROWS($1:54)),),0))</f>
        <v>0</v>
      </c>
      <c r="J67" s="358">
        <f t="shared" ca="1" si="17"/>
        <v>0</v>
      </c>
      <c r="K67" s="358">
        <f t="shared" ca="1" si="18"/>
        <v>0</v>
      </c>
      <c r="L67" s="358">
        <f t="shared" ca="1" si="19"/>
        <v>0</v>
      </c>
      <c r="M67" s="358"/>
      <c r="N67" s="348"/>
    </row>
    <row r="68" spans="1:14">
      <c r="A68" s="319" t="str">
        <f t="shared" ca="1" si="15"/>
        <v/>
      </c>
      <c r="B68" s="354" t="str">
        <f ca="1">IF(ROWS($1:55)&gt;COUNT(Dong11),"",OFFSET(TH!D$1,SMALL(Dong11,ROWS($1:55)),))</f>
        <v/>
      </c>
      <c r="C68" s="355" t="str">
        <f ca="1">IF(ROWS($1:55)&gt;COUNT(Dong11),"",OFFSET(TH!E$1,SMALL(Dong11,ROWS($1:55)),))</f>
        <v/>
      </c>
      <c r="D68" s="356" t="str">
        <f ca="1">IF(ROWS($1:55)&gt;COUNT(Dong11),"",OFFSET(TH!H$1,SMALL(Dong11,ROWS($1:55)),))</f>
        <v/>
      </c>
      <c r="E68" s="354" t="str">
        <f ca="1">IF(ROWS($1:55)&gt;COUNT(Dong11),"",IF(OFFSET(TH!L$1,SMALL(Dong11,ROWS($1:55)),)=$G$7,OFFSET(TH!M$1,SMALL(Dong11,ROWS($1:55)),),OFFSET(TH!L$1,SMALL(Dong11,ROWS($1:55)),)))</f>
        <v/>
      </c>
      <c r="F68" s="357">
        <f ca="1">IF(ROWS($1:55)&gt;COUNT(Dong11),0,OFFSET(TH!J$1,SMALL(Dong11,ROWS($1:55)),))</f>
        <v>0</v>
      </c>
      <c r="G68" s="357">
        <f ca="1">IF(ROWS($1:55)&gt;COUNT(Dong11),0,IF(MID(OFFSET(TH!D$1,SMALL(Dong11,ROWS($1:55)),),4,1)="N",OFFSET(TH!I$1,SMALL(Dong11,ROWS($1:55)),),0))</f>
        <v>0</v>
      </c>
      <c r="H68" s="358">
        <f t="shared" ca="1" si="16"/>
        <v>0</v>
      </c>
      <c r="I68" s="357">
        <f ca="1">IF(ROWS($1:55)&gt;COUNT(Dong11),0,IF(MID(OFFSET(TH!D$1,SMALL(Dong11,ROWS($1:55)),),4,1)="X",OFFSET(TH!I$1,SMALL(Dong11,ROWS($1:55)),),0))</f>
        <v>0</v>
      </c>
      <c r="J68" s="358">
        <f t="shared" ca="1" si="17"/>
        <v>0</v>
      </c>
      <c r="K68" s="358">
        <f t="shared" ca="1" si="18"/>
        <v>0</v>
      </c>
      <c r="L68" s="358">
        <f t="shared" ca="1" si="19"/>
        <v>0</v>
      </c>
      <c r="M68" s="358"/>
      <c r="N68" s="348"/>
    </row>
    <row r="69" spans="1:14">
      <c r="A69" s="319" t="str">
        <f t="shared" ca="1" si="15"/>
        <v/>
      </c>
      <c r="B69" s="354" t="str">
        <f ca="1">IF(ROWS($1:56)&gt;COUNT(Dong11),"",OFFSET(TH!D$1,SMALL(Dong11,ROWS($1:56)),))</f>
        <v/>
      </c>
      <c r="C69" s="355" t="str">
        <f ca="1">IF(ROWS($1:56)&gt;COUNT(Dong11),"",OFFSET(TH!E$1,SMALL(Dong11,ROWS($1:56)),))</f>
        <v/>
      </c>
      <c r="D69" s="356" t="str">
        <f ca="1">IF(ROWS($1:56)&gt;COUNT(Dong11),"",OFFSET(TH!H$1,SMALL(Dong11,ROWS($1:56)),))</f>
        <v/>
      </c>
      <c r="E69" s="354" t="str">
        <f ca="1">IF(ROWS($1:56)&gt;COUNT(Dong11),"",IF(OFFSET(TH!L$1,SMALL(Dong11,ROWS($1:56)),)=$G$7,OFFSET(TH!M$1,SMALL(Dong11,ROWS($1:56)),),OFFSET(TH!L$1,SMALL(Dong11,ROWS($1:56)),)))</f>
        <v/>
      </c>
      <c r="F69" s="357">
        <f ca="1">IF(ROWS($1:56)&gt;COUNT(Dong11),0,OFFSET(TH!J$1,SMALL(Dong11,ROWS($1:56)),))</f>
        <v>0</v>
      </c>
      <c r="G69" s="357">
        <f ca="1">IF(ROWS($1:56)&gt;COUNT(Dong11),0,IF(MID(OFFSET(TH!D$1,SMALL(Dong11,ROWS($1:56)),),4,1)="N",OFFSET(TH!I$1,SMALL(Dong11,ROWS($1:56)),),0))</f>
        <v>0</v>
      </c>
      <c r="H69" s="358">
        <f t="shared" ca="1" si="16"/>
        <v>0</v>
      </c>
      <c r="I69" s="357">
        <f ca="1">IF(ROWS($1:56)&gt;COUNT(Dong11),0,IF(MID(OFFSET(TH!D$1,SMALL(Dong11,ROWS($1:56)),),4,1)="X",OFFSET(TH!I$1,SMALL(Dong11,ROWS($1:56)),),0))</f>
        <v>0</v>
      </c>
      <c r="J69" s="358">
        <f t="shared" ca="1" si="17"/>
        <v>0</v>
      </c>
      <c r="K69" s="358">
        <f t="shared" ca="1" si="18"/>
        <v>0</v>
      </c>
      <c r="L69" s="358">
        <f t="shared" ca="1" si="19"/>
        <v>0</v>
      </c>
      <c r="M69" s="358"/>
      <c r="N69" s="348"/>
    </row>
    <row r="70" spans="1:14">
      <c r="A70" s="319" t="str">
        <f t="shared" ca="1" si="15"/>
        <v/>
      </c>
      <c r="B70" s="354" t="str">
        <f ca="1">IF(ROWS($1:57)&gt;COUNT(Dong11),"",OFFSET(TH!D$1,SMALL(Dong11,ROWS($1:57)),))</f>
        <v/>
      </c>
      <c r="C70" s="355" t="str">
        <f ca="1">IF(ROWS($1:57)&gt;COUNT(Dong11),"",OFFSET(TH!E$1,SMALL(Dong11,ROWS($1:57)),))</f>
        <v/>
      </c>
      <c r="D70" s="356" t="str">
        <f ca="1">IF(ROWS($1:57)&gt;COUNT(Dong11),"",OFFSET(TH!H$1,SMALL(Dong11,ROWS($1:57)),))</f>
        <v/>
      </c>
      <c r="E70" s="354" t="str">
        <f ca="1">IF(ROWS($1:57)&gt;COUNT(Dong11),"",IF(OFFSET(TH!L$1,SMALL(Dong11,ROWS($1:57)),)=$G$7,OFFSET(TH!M$1,SMALL(Dong11,ROWS($1:57)),),OFFSET(TH!L$1,SMALL(Dong11,ROWS($1:57)),)))</f>
        <v/>
      </c>
      <c r="F70" s="357">
        <f ca="1">IF(ROWS($1:57)&gt;COUNT(Dong11),0,OFFSET(TH!J$1,SMALL(Dong11,ROWS($1:57)),))</f>
        <v>0</v>
      </c>
      <c r="G70" s="357">
        <f ca="1">IF(ROWS($1:57)&gt;COUNT(Dong11),0,IF(MID(OFFSET(TH!D$1,SMALL(Dong11,ROWS($1:57)),),4,1)="N",OFFSET(TH!I$1,SMALL(Dong11,ROWS($1:57)),),0))</f>
        <v>0</v>
      </c>
      <c r="H70" s="358">
        <f t="shared" ca="1" si="16"/>
        <v>0</v>
      </c>
      <c r="I70" s="357">
        <f ca="1">IF(ROWS($1:57)&gt;COUNT(Dong11),0,IF(MID(OFFSET(TH!D$1,SMALL(Dong11,ROWS($1:57)),),4,1)="X",OFFSET(TH!I$1,SMALL(Dong11,ROWS($1:57)),),0))</f>
        <v>0</v>
      </c>
      <c r="J70" s="358">
        <f t="shared" ca="1" si="17"/>
        <v>0</v>
      </c>
      <c r="K70" s="358">
        <f t="shared" ca="1" si="18"/>
        <v>0</v>
      </c>
      <c r="L70" s="358">
        <f t="shared" ca="1" si="19"/>
        <v>0</v>
      </c>
      <c r="M70" s="358"/>
      <c r="N70" s="348"/>
    </row>
    <row r="71" spans="1:14">
      <c r="A71" s="319" t="str">
        <f t="shared" ca="1" si="15"/>
        <v/>
      </c>
      <c r="B71" s="354" t="str">
        <f ca="1">IF(ROWS($1:58)&gt;COUNT(Dong11),"",OFFSET(TH!D$1,SMALL(Dong11,ROWS($1:58)),))</f>
        <v/>
      </c>
      <c r="C71" s="355" t="str">
        <f ca="1">IF(ROWS($1:58)&gt;COUNT(Dong11),"",OFFSET(TH!E$1,SMALL(Dong11,ROWS($1:58)),))</f>
        <v/>
      </c>
      <c r="D71" s="356" t="str">
        <f ca="1">IF(ROWS($1:58)&gt;COUNT(Dong11),"",OFFSET(TH!H$1,SMALL(Dong11,ROWS($1:58)),))</f>
        <v/>
      </c>
      <c r="E71" s="354" t="str">
        <f ca="1">IF(ROWS($1:58)&gt;COUNT(Dong11),"",IF(OFFSET(TH!L$1,SMALL(Dong11,ROWS($1:58)),)=$G$7,OFFSET(TH!M$1,SMALL(Dong11,ROWS($1:58)),),OFFSET(TH!L$1,SMALL(Dong11,ROWS($1:58)),)))</f>
        <v/>
      </c>
      <c r="F71" s="357">
        <f ca="1">IF(ROWS($1:58)&gt;COUNT(Dong11),0,OFFSET(TH!J$1,SMALL(Dong11,ROWS($1:58)),))</f>
        <v>0</v>
      </c>
      <c r="G71" s="357">
        <f ca="1">IF(ROWS($1:58)&gt;COUNT(Dong11),0,IF(MID(OFFSET(TH!D$1,SMALL(Dong11,ROWS($1:58)),),4,1)="N",OFFSET(TH!I$1,SMALL(Dong11,ROWS($1:58)),),0))</f>
        <v>0</v>
      </c>
      <c r="H71" s="358">
        <f t="shared" ca="1" si="16"/>
        <v>0</v>
      </c>
      <c r="I71" s="357">
        <f ca="1">IF(ROWS($1:58)&gt;COUNT(Dong11),0,IF(MID(OFFSET(TH!D$1,SMALL(Dong11,ROWS($1:58)),),4,1)="X",OFFSET(TH!I$1,SMALL(Dong11,ROWS($1:58)),),0))</f>
        <v>0</v>
      </c>
      <c r="J71" s="358">
        <f t="shared" ca="1" si="17"/>
        <v>0</v>
      </c>
      <c r="K71" s="358">
        <f t="shared" ca="1" si="18"/>
        <v>0</v>
      </c>
      <c r="L71" s="358">
        <f t="shared" ca="1" si="19"/>
        <v>0</v>
      </c>
      <c r="M71" s="358"/>
      <c r="N71" s="348"/>
    </row>
    <row r="72" spans="1:14">
      <c r="A72" s="319" t="str">
        <f t="shared" ca="1" si="15"/>
        <v/>
      </c>
      <c r="B72" s="354" t="str">
        <f ca="1">IF(ROWS($1:59)&gt;COUNT(Dong11),"",OFFSET(TH!D$1,SMALL(Dong11,ROWS($1:59)),))</f>
        <v/>
      </c>
      <c r="C72" s="355" t="str">
        <f ca="1">IF(ROWS($1:59)&gt;COUNT(Dong11),"",OFFSET(TH!E$1,SMALL(Dong11,ROWS($1:59)),))</f>
        <v/>
      </c>
      <c r="D72" s="356" t="str">
        <f ca="1">IF(ROWS($1:59)&gt;COUNT(Dong11),"",OFFSET(TH!H$1,SMALL(Dong11,ROWS($1:59)),))</f>
        <v/>
      </c>
      <c r="E72" s="354" t="str">
        <f ca="1">IF(ROWS($1:59)&gt;COUNT(Dong11),"",IF(OFFSET(TH!L$1,SMALL(Dong11,ROWS($1:59)),)=$G$7,OFFSET(TH!M$1,SMALL(Dong11,ROWS($1:59)),),OFFSET(TH!L$1,SMALL(Dong11,ROWS($1:59)),)))</f>
        <v/>
      </c>
      <c r="F72" s="357">
        <f ca="1">IF(ROWS($1:59)&gt;COUNT(Dong11),0,OFFSET(TH!J$1,SMALL(Dong11,ROWS($1:59)),))</f>
        <v>0</v>
      </c>
      <c r="G72" s="357">
        <f ca="1">IF(ROWS($1:59)&gt;COUNT(Dong11),0,IF(MID(OFFSET(TH!D$1,SMALL(Dong11,ROWS($1:59)),),4,1)="N",OFFSET(TH!I$1,SMALL(Dong11,ROWS($1:59)),),0))</f>
        <v>0</v>
      </c>
      <c r="H72" s="358">
        <f t="shared" ca="1" si="16"/>
        <v>0</v>
      </c>
      <c r="I72" s="357">
        <f ca="1">IF(ROWS($1:59)&gt;COUNT(Dong11),0,IF(MID(OFFSET(TH!D$1,SMALL(Dong11,ROWS($1:59)),),4,1)="X",OFFSET(TH!I$1,SMALL(Dong11,ROWS($1:59)),),0))</f>
        <v>0</v>
      </c>
      <c r="J72" s="358">
        <f t="shared" ca="1" si="17"/>
        <v>0</v>
      </c>
      <c r="K72" s="358">
        <f t="shared" ca="1" si="18"/>
        <v>0</v>
      </c>
      <c r="L72" s="358">
        <f t="shared" ca="1" si="19"/>
        <v>0</v>
      </c>
      <c r="M72" s="358"/>
      <c r="N72" s="348"/>
    </row>
    <row r="73" spans="1:14">
      <c r="A73" s="319" t="str">
        <f>IF(B73="","",#REF!+1)</f>
        <v/>
      </c>
      <c r="B73" s="361"/>
      <c r="C73" s="362"/>
      <c r="D73" s="356"/>
      <c r="E73" s="363"/>
      <c r="F73" s="364"/>
      <c r="G73" s="350"/>
      <c r="H73" s="350"/>
      <c r="I73" s="350"/>
      <c r="J73" s="350"/>
      <c r="K73" s="350"/>
      <c r="L73" s="350"/>
      <c r="M73" s="365"/>
      <c r="N73" s="348"/>
    </row>
    <row r="74" spans="1:14">
      <c r="A74" s="366"/>
      <c r="B74" s="366"/>
      <c r="C74" s="366"/>
      <c r="D74" s="366" t="s">
        <v>225</v>
      </c>
      <c r="E74" s="346" t="s">
        <v>19</v>
      </c>
      <c r="F74" s="346" t="s">
        <v>19</v>
      </c>
      <c r="G74" s="367">
        <f ca="1">SUM(G14:G73)</f>
        <v>2300</v>
      </c>
      <c r="H74" s="367">
        <f ca="1">SUM(H14:H73)</f>
        <v>19550000</v>
      </c>
      <c r="I74" s="367">
        <f ca="1">SUM(I14:I73)</f>
        <v>0</v>
      </c>
      <c r="J74" s="367">
        <f ca="1">SUM(J14:J73)</f>
        <v>0</v>
      </c>
      <c r="K74" s="367">
        <f ca="1">K13+G74-I74</f>
        <v>2300</v>
      </c>
      <c r="L74" s="367">
        <f ca="1">L13+H74-J74</f>
        <v>19550000</v>
      </c>
      <c r="M74" s="366"/>
      <c r="N74" s="348"/>
    </row>
    <row r="75" spans="1:14">
      <c r="B75" s="368" t="s">
        <v>226</v>
      </c>
      <c r="G75" s="360"/>
      <c r="N75" s="348"/>
    </row>
    <row r="76" spans="1:14">
      <c r="B76" s="369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12 tháng 10 năm 2013</v>
      </c>
      <c r="G76" s="360"/>
      <c r="I76" s="360"/>
      <c r="N76" s="348"/>
    </row>
    <row r="77" spans="1:14">
      <c r="B77" s="335"/>
      <c r="C77" s="335"/>
      <c r="D77" s="335"/>
      <c r="F77" s="335"/>
      <c r="G77" s="370"/>
      <c r="H77" s="336"/>
      <c r="I77" s="371"/>
      <c r="J77" s="1053" t="str">
        <f ca="1">"Ngày 31 tháng  12  năm  "&amp;YEAR($A$14)</f>
        <v>Ngày 31 tháng  12  năm  1900</v>
      </c>
      <c r="K77" s="1053"/>
      <c r="L77" s="1053"/>
      <c r="M77" s="1053"/>
      <c r="N77" s="348"/>
    </row>
    <row r="78" spans="1:14">
      <c r="C78" s="335"/>
      <c r="D78" s="560" t="s">
        <v>11</v>
      </c>
      <c r="E78" s="1053" t="s">
        <v>12</v>
      </c>
      <c r="F78" s="1053"/>
      <c r="G78" s="1053"/>
      <c r="H78" s="1053"/>
      <c r="I78" s="1053"/>
      <c r="J78" s="1053" t="s">
        <v>109</v>
      </c>
      <c r="K78" s="1053"/>
      <c r="L78" s="1053"/>
      <c r="M78" s="1053"/>
      <c r="N78" s="348"/>
    </row>
    <row r="79" spans="1:14">
      <c r="C79" s="335"/>
      <c r="D79" s="560" t="s">
        <v>13</v>
      </c>
      <c r="E79" s="1053" t="s">
        <v>13</v>
      </c>
      <c r="F79" s="1053"/>
      <c r="G79" s="1053"/>
      <c r="H79" s="1053" t="s">
        <v>136</v>
      </c>
      <c r="I79" s="1053"/>
      <c r="J79" s="1053" t="s">
        <v>136</v>
      </c>
      <c r="K79" s="1053"/>
      <c r="L79" s="1053"/>
      <c r="M79" s="1053"/>
      <c r="N79" s="348"/>
    </row>
    <row r="80" spans="1:14">
      <c r="N80" s="372"/>
    </row>
    <row r="81" spans="4:14">
      <c r="E81" s="323"/>
    </row>
    <row r="83" spans="4:14" customFormat="1" ht="12.75">
      <c r="E83" s="373"/>
    </row>
    <row r="88" spans="4:14">
      <c r="D88" s="587" t="s">
        <v>151</v>
      </c>
      <c r="E88" s="587"/>
      <c r="J88" s="1049" t="s">
        <v>103</v>
      </c>
      <c r="K88" s="1049"/>
      <c r="L88" s="1049"/>
      <c r="M88" s="1049"/>
      <c r="N88" s="588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77" customWidth="1"/>
    <col min="2" max="2" width="9.140625" style="377"/>
    <col min="3" max="3" width="9.140625" style="436" customWidth="1"/>
    <col min="4" max="4" width="10.85546875" style="436" customWidth="1"/>
    <col min="5" max="5" width="39.42578125" style="437" customWidth="1"/>
    <col min="6" max="6" width="10.85546875" style="438" customWidth="1"/>
    <col min="7" max="7" width="9" style="439" customWidth="1"/>
    <col min="8" max="8" width="9.5703125" style="439" customWidth="1"/>
    <col min="9" max="9" width="10" style="439" customWidth="1"/>
    <col min="10" max="10" width="8" style="377" customWidth="1"/>
    <col min="11" max="11" width="2.42578125" style="377" customWidth="1"/>
    <col min="12" max="12" width="6.5703125" style="377" customWidth="1"/>
    <col min="13" max="16384" width="9.140625" style="377"/>
  </cols>
  <sheetData>
    <row r="1" spans="1:12" ht="15" customHeight="1">
      <c r="A1" s="374" t="str">
        <f>TH!A1</f>
        <v>Đơn vị: CÔNG TY TNHH SX TM KIM DUNG PHÁT</v>
      </c>
      <c r="B1" s="375"/>
      <c r="C1" s="375"/>
      <c r="D1" s="375"/>
      <c r="E1" s="376"/>
      <c r="F1" s="1062" t="s">
        <v>227</v>
      </c>
      <c r="G1" s="1062"/>
      <c r="H1" s="1062"/>
      <c r="I1" s="1062"/>
      <c r="J1" s="1062"/>
      <c r="K1" s="378"/>
      <c r="L1" s="379"/>
    </row>
    <row r="2" spans="1:12" ht="15" customHeight="1">
      <c r="A2" s="621" t="str">
        <f>TH!A2</f>
        <v>Địa chỉ: 1A227/1 Ấp 1, Phạm Văn Hai, Bình Chánh, TPHCM</v>
      </c>
      <c r="B2" s="380"/>
      <c r="C2" s="380"/>
      <c r="D2" s="380"/>
      <c r="E2" s="381"/>
      <c r="F2" s="1061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1"/>
      <c r="H2" s="1061"/>
      <c r="I2" s="1061"/>
      <c r="J2" s="1061"/>
      <c r="K2" s="378"/>
    </row>
    <row r="3" spans="1:12" ht="15">
      <c r="A3" s="380"/>
      <c r="B3" s="380"/>
      <c r="C3" s="380"/>
      <c r="D3" s="380"/>
      <c r="E3" s="381"/>
      <c r="F3" s="1061"/>
      <c r="G3" s="1061"/>
      <c r="H3" s="1061"/>
      <c r="I3" s="1061"/>
      <c r="J3" s="1061"/>
      <c r="K3" s="378"/>
    </row>
    <row r="4" spans="1:12" ht="18.75" customHeight="1">
      <c r="A4" s="383"/>
      <c r="B4" s="383"/>
      <c r="C4" s="383"/>
      <c r="D4" s="383"/>
      <c r="E4" s="384" t="s">
        <v>228</v>
      </c>
      <c r="F4" s="383"/>
      <c r="G4" s="383"/>
      <c r="H4" s="383"/>
      <c r="I4" s="383"/>
      <c r="J4" s="378"/>
      <c r="K4" s="378"/>
    </row>
    <row r="5" spans="1:12" ht="15">
      <c r="A5" s="385"/>
      <c r="B5" s="385"/>
      <c r="C5" s="385"/>
      <c r="D5" s="385"/>
      <c r="E5" s="386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5"/>
      <c r="G5" s="385"/>
      <c r="H5" s="385"/>
      <c r="I5" s="385"/>
      <c r="J5" s="378"/>
      <c r="K5" s="378"/>
    </row>
    <row r="6" spans="1:12" ht="15">
      <c r="A6" s="385"/>
      <c r="B6" s="385"/>
      <c r="C6" s="385"/>
      <c r="D6" s="385"/>
      <c r="E6" s="386" t="s">
        <v>229</v>
      </c>
      <c r="F6" s="385"/>
      <c r="G6" s="385"/>
      <c r="H6" s="385"/>
      <c r="I6" s="385"/>
      <c r="J6" s="378"/>
      <c r="K6" s="378"/>
    </row>
    <row r="7" spans="1:12" ht="15">
      <c r="A7" s="369" t="s">
        <v>230</v>
      </c>
      <c r="B7" s="369"/>
      <c r="C7" s="387"/>
      <c r="D7" s="387"/>
      <c r="E7" s="388" t="s">
        <v>373</v>
      </c>
      <c r="F7" s="382"/>
      <c r="G7" s="389"/>
      <c r="H7" s="389"/>
      <c r="I7" s="389"/>
      <c r="J7" s="378"/>
      <c r="K7" s="378"/>
    </row>
    <row r="8" spans="1:12" ht="15">
      <c r="A8" s="369" t="s">
        <v>231</v>
      </c>
      <c r="B8" s="369"/>
      <c r="C8" s="378" t="str">
        <f>VLOOKUP($E$7,NXT!$C$12:$L$381,2,0)</f>
        <v>kg</v>
      </c>
      <c r="D8" s="369"/>
      <c r="E8" s="388"/>
      <c r="F8" s="382"/>
      <c r="G8" s="389"/>
      <c r="H8" s="389"/>
      <c r="I8" s="389"/>
      <c r="J8" s="378"/>
      <c r="K8" s="378"/>
    </row>
    <row r="9" spans="1:12" ht="15">
      <c r="A9" s="1063" t="s">
        <v>232</v>
      </c>
      <c r="B9" s="1064"/>
      <c r="C9" s="1064"/>
      <c r="D9" s="1064"/>
      <c r="E9" s="388"/>
      <c r="F9" s="382"/>
      <c r="G9" s="389"/>
      <c r="H9" s="389"/>
      <c r="I9" s="389"/>
      <c r="J9" s="390"/>
      <c r="K9" s="390"/>
    </row>
    <row r="10" spans="1:12" ht="19.5" customHeight="1">
      <c r="A10" s="1065" t="s">
        <v>233</v>
      </c>
      <c r="B10" s="1066" t="s">
        <v>234</v>
      </c>
      <c r="C10" s="1068" t="s">
        <v>15</v>
      </c>
      <c r="D10" s="1069"/>
      <c r="E10" s="1070" t="s">
        <v>0</v>
      </c>
      <c r="F10" s="1079" t="s">
        <v>235</v>
      </c>
      <c r="G10" s="1073" t="s">
        <v>204</v>
      </c>
      <c r="H10" s="1073"/>
      <c r="I10" s="1069"/>
      <c r="J10" s="1074" t="s">
        <v>236</v>
      </c>
      <c r="K10" s="391"/>
      <c r="L10" s="392" t="s">
        <v>221</v>
      </c>
    </row>
    <row r="11" spans="1:12" ht="19.5" customHeight="1">
      <c r="A11" s="1065"/>
      <c r="B11" s="1067"/>
      <c r="C11" s="393" t="s">
        <v>218</v>
      </c>
      <c r="D11" s="393" t="s">
        <v>219</v>
      </c>
      <c r="E11" s="1071"/>
      <c r="F11" s="1080"/>
      <c r="G11" s="394" t="s">
        <v>218</v>
      </c>
      <c r="H11" s="394" t="s">
        <v>219</v>
      </c>
      <c r="I11" s="394" t="s">
        <v>220</v>
      </c>
      <c r="J11" s="1075"/>
      <c r="K11" s="391"/>
    </row>
    <row r="12" spans="1:12" ht="15">
      <c r="A12" s="395" t="s">
        <v>2</v>
      </c>
      <c r="B12" s="396" t="s">
        <v>3</v>
      </c>
      <c r="C12" s="397" t="s">
        <v>4</v>
      </c>
      <c r="D12" s="397" t="s">
        <v>5</v>
      </c>
      <c r="E12" s="398" t="s">
        <v>6</v>
      </c>
      <c r="F12" s="396" t="s">
        <v>130</v>
      </c>
      <c r="G12" s="399">
        <v>1</v>
      </c>
      <c r="H12" s="399">
        <v>2</v>
      </c>
      <c r="I12" s="399">
        <v>3</v>
      </c>
      <c r="J12" s="397" t="s">
        <v>131</v>
      </c>
      <c r="K12" s="400"/>
    </row>
    <row r="13" spans="1:12" ht="16.5" customHeight="1">
      <c r="A13" s="401"/>
      <c r="B13" s="402"/>
      <c r="C13" s="403"/>
      <c r="D13" s="403"/>
      <c r="E13" s="404" t="s">
        <v>195</v>
      </c>
      <c r="F13" s="402"/>
      <c r="G13" s="405"/>
      <c r="H13" s="405"/>
      <c r="I13" s="406">
        <f>VLOOKUP($E$7,NXT!$C$12:$L$381,3,0)</f>
        <v>50</v>
      </c>
      <c r="J13" s="401"/>
      <c r="K13" s="407"/>
    </row>
    <row r="14" spans="1:12" ht="16.5" customHeight="1">
      <c r="A14" s="408">
        <f ca="1">IF(B14&lt;&gt;"",ROW()-(ROW()-1),"")</f>
        <v>1</v>
      </c>
      <c r="B14" s="409">
        <f ca="1">IF(ROWS($1:1)&gt;COUNT(Dong12),"",OFFSET(TH!E$1,SMALL(Dong12,ROWS($1:1)),))</f>
        <v>41281</v>
      </c>
      <c r="C14" s="464" t="str">
        <f ca="1">IF(ROWS($1:1)&gt;COUNT(Dong12),"",IF(MID(OFFSET(TH!D$1,SMALL(Dong12,ROWS($1:1)),),4,1)="N",OFFSET(TH!D$1,SMALL(Dong12,ROWS($1:1)),),""))</f>
        <v>VL/N02</v>
      </c>
      <c r="D14" s="409" t="str">
        <f ca="1">IF(ROWS($1:1)&gt;COUNT(Dong12),"",IF(MID(OFFSET(TH!D$1,SMALL(Dong12,ROWS($1:1)),),4,1)="X",OFFSET(TH!D$1,SMALL(Dong12,ROWS($1:1)),),""))</f>
        <v/>
      </c>
      <c r="E14" s="667" t="str">
        <f ca="1">IF(ROWS($1:1)&gt;COUNT(Dong12),"",OFFSET(TH!H$1,SMALL(Dong12,ROWS($1:1)),))</f>
        <v>Cty TNHH Thành Thành Dũng</v>
      </c>
      <c r="F14" s="409">
        <f ca="1">B14</f>
        <v>41281</v>
      </c>
      <c r="G14" s="410">
        <f ca="1">IF(ROWS($1:1)&gt;COUNT(Dong12),0,IF(MID(OFFSET(TH!D$1,SMALL(Dong12,ROWS($1:1)),),4,1)="N",OFFSET(TH!I$1,SMALL(Dong12,ROWS($1:1)),),0))</f>
        <v>50</v>
      </c>
      <c r="H14" s="410">
        <f ca="1">IF(ROWS($1:1)&gt;COUNT(Dong12),0,IF(MID(OFFSET(TH!D$1,SMALL(Dong12,ROWS($1:1)),),4,1)="X",OFFSET(TH!I$1,SMALL(Dong12,ROWS($1:1)),),0))</f>
        <v>0</v>
      </c>
      <c r="I14" s="411">
        <f ca="1">IF(E14&lt;&gt;"",I13+G14-H14,0)</f>
        <v>100</v>
      </c>
      <c r="J14" s="412"/>
      <c r="K14" s="413"/>
    </row>
    <row r="15" spans="1:12" ht="16.5" customHeight="1">
      <c r="A15" s="414">
        <f ca="1">IF(B15&lt;&gt;"",A14+1,"")</f>
        <v>2</v>
      </c>
      <c r="B15" s="409">
        <f ca="1">IF(ROWS($1:2)&gt;COUNT(Dong12),"",OFFSET(TH!E$1,SMALL(Dong12,ROWS($1:2)),))</f>
        <v>41276</v>
      </c>
      <c r="C15" s="464" t="str">
        <f ca="1">IF(ROWS($1:2)&gt;COUNT(Dong12),"",IF(MID(OFFSET(TH!D$1,SMALL(Dong12,ROWS($1:2)),),4,1)="N",OFFSET(TH!D$1,SMALL(Dong12,ROWS($1:2)),),""))</f>
        <v/>
      </c>
      <c r="D15" s="409" t="str">
        <f ca="1">IF(ROWS($1:2)&gt;COUNT(Dong12),"",IF(MID(OFFSET(TH!D$1,SMALL(Dong12,ROWS($1:2)),),4,1)="X",OFFSET(TH!D$1,SMALL(Dong12,ROWS($1:2)),),""))</f>
        <v>VL/X01</v>
      </c>
      <c r="E15" s="667" t="str">
        <f ca="1">IF(ROWS($1:2)&gt;COUNT(Dong12),"",OFFSET(TH!H$1,SMALL(Dong12,ROWS($1:2)),))</f>
        <v>Xuất sản xuất</v>
      </c>
      <c r="F15" s="409">
        <f t="shared" ref="F15:F30" ca="1" si="0">B15</f>
        <v>41276</v>
      </c>
      <c r="G15" s="410">
        <f ca="1">IF(ROWS($1:2)&gt;COUNT(Dong12),0,IF(MID(OFFSET(TH!D$1,SMALL(Dong12,ROWS($1:2)),),4,1)="N",OFFSET(TH!I$1,SMALL(Dong12,ROWS($1:2)),),0))</f>
        <v>0</v>
      </c>
      <c r="H15" s="410">
        <f ca="1">IF(ROWS($1:2)&gt;COUNT(Dong12),0,IF(MID(OFFSET(TH!D$1,SMALL(Dong12,ROWS($1:2)),),4,1)="X",OFFSET(TH!I$1,SMALL(Dong12,ROWS($1:2)),),0))</f>
        <v>25</v>
      </c>
      <c r="I15" s="411">
        <f t="shared" ref="I15:I30" ca="1" si="1">IF(E15&lt;&gt;"",I14+G15-H15,0)</f>
        <v>75</v>
      </c>
      <c r="J15" s="412"/>
      <c r="K15" s="413"/>
    </row>
    <row r="16" spans="1:12" ht="16.5" customHeight="1">
      <c r="A16" s="414">
        <f t="shared" ref="A16:A30" ca="1" si="2">IF(B16&lt;&gt;"",A15+1,"")</f>
        <v>3</v>
      </c>
      <c r="B16" s="409">
        <f ca="1">IF(ROWS($1:3)&gt;COUNT(Dong12),"",OFFSET(TH!E$1,SMALL(Dong12,ROWS($1:3)),))</f>
        <v>41365</v>
      </c>
      <c r="C16" s="464" t="str">
        <f ca="1">IF(ROWS($1:3)&gt;COUNT(Dong12),"",IF(MID(OFFSET(TH!D$1,SMALL(Dong12,ROWS($1:3)),),4,1)="N",OFFSET(TH!D$1,SMALL(Dong12,ROWS($1:3)),),""))</f>
        <v/>
      </c>
      <c r="D16" s="409" t="str">
        <f ca="1">IF(ROWS($1:3)&gt;COUNT(Dong12),"",IF(MID(OFFSET(TH!D$1,SMALL(Dong12,ROWS($1:3)),),4,1)="X",OFFSET(TH!D$1,SMALL(Dong12,ROWS($1:3)),),""))</f>
        <v>VL/X01</v>
      </c>
      <c r="E16" s="667" t="str">
        <f ca="1">IF(ROWS($1:3)&gt;COUNT(Dong12),"",OFFSET(TH!H$1,SMALL(Dong12,ROWS($1:3)),))</f>
        <v>Xuất sản xuất</v>
      </c>
      <c r="F16" s="409">
        <f t="shared" ca="1" si="0"/>
        <v>41365</v>
      </c>
      <c r="G16" s="410">
        <f ca="1">IF(ROWS($1:3)&gt;COUNT(Dong12),0,IF(MID(OFFSET(TH!D$1,SMALL(Dong12,ROWS($1:3)),),4,1)="N",OFFSET(TH!I$1,SMALL(Dong12,ROWS($1:3)),),0))</f>
        <v>0</v>
      </c>
      <c r="H16" s="410">
        <f ca="1">IF(ROWS($1:3)&gt;COUNT(Dong12),0,IF(MID(OFFSET(TH!D$1,SMALL(Dong12,ROWS($1:3)),),4,1)="X",OFFSET(TH!I$1,SMALL(Dong12,ROWS($1:3)),),0))</f>
        <v>25</v>
      </c>
      <c r="I16" s="411">
        <f t="shared" ca="1" si="1"/>
        <v>50</v>
      </c>
      <c r="J16" s="412"/>
      <c r="K16" s="413"/>
    </row>
    <row r="17" spans="1:11" ht="16.5" customHeight="1">
      <c r="A17" s="414">
        <f t="shared" ca="1" si="2"/>
        <v>4</v>
      </c>
      <c r="B17" s="409">
        <f ca="1">IF(ROWS($1:4)&gt;COUNT(Dong12),"",OFFSET(TH!E$1,SMALL(Dong12,ROWS($1:4)),))</f>
        <v>41456</v>
      </c>
      <c r="C17" s="464" t="str">
        <f ca="1">IF(ROWS($1:4)&gt;COUNT(Dong12),"",IF(MID(OFFSET(TH!D$1,SMALL(Dong12,ROWS($1:4)),),4,1)="N",OFFSET(TH!D$1,SMALL(Dong12,ROWS($1:4)),),""))</f>
        <v/>
      </c>
      <c r="D17" s="409" t="str">
        <f ca="1">IF(ROWS($1:4)&gt;COUNT(Dong12),"",IF(MID(OFFSET(TH!D$1,SMALL(Dong12,ROWS($1:4)),),4,1)="X",OFFSET(TH!D$1,SMALL(Dong12,ROWS($1:4)),),""))</f>
        <v>VL/X01</v>
      </c>
      <c r="E17" s="667" t="str">
        <f ca="1">IF(ROWS($1:4)&gt;COUNT(Dong12),"",OFFSET(TH!H$1,SMALL(Dong12,ROWS($1:4)),))</f>
        <v>Xuất sản xuất</v>
      </c>
      <c r="F17" s="409">
        <f t="shared" ca="1" si="0"/>
        <v>41456</v>
      </c>
      <c r="G17" s="410">
        <f ca="1">IF(ROWS($1:4)&gt;COUNT(Dong12),0,IF(MID(OFFSET(TH!D$1,SMALL(Dong12,ROWS($1:4)),),4,1)="N",OFFSET(TH!I$1,SMALL(Dong12,ROWS($1:4)),),0))</f>
        <v>0</v>
      </c>
      <c r="H17" s="410">
        <f ca="1">IF(ROWS($1:4)&gt;COUNT(Dong12),0,IF(MID(OFFSET(TH!D$1,SMALL(Dong12,ROWS($1:4)),),4,1)="X",OFFSET(TH!I$1,SMALL(Dong12,ROWS($1:4)),),0))</f>
        <v>25</v>
      </c>
      <c r="I17" s="411">
        <f t="shared" ca="1" si="1"/>
        <v>25</v>
      </c>
      <c r="J17" s="412"/>
      <c r="K17" s="413"/>
    </row>
    <row r="18" spans="1:11" ht="16.5" customHeight="1">
      <c r="A18" s="414">
        <f t="shared" ca="1" si="2"/>
        <v>5</v>
      </c>
      <c r="B18" s="409">
        <f ca="1">IF(ROWS($1:5)&gt;COUNT(Dong12),"",OFFSET(TH!E$1,SMALL(Dong12,ROWS($1:5)),))</f>
        <v>41548</v>
      </c>
      <c r="C18" s="464" t="str">
        <f ca="1">IF(ROWS($1:5)&gt;COUNT(Dong12),"",IF(MID(OFFSET(TH!D$1,SMALL(Dong12,ROWS($1:5)),),4,1)="N",OFFSET(TH!D$1,SMALL(Dong12,ROWS($1:5)),),""))</f>
        <v/>
      </c>
      <c r="D18" s="409" t="str">
        <f ca="1">IF(ROWS($1:5)&gt;COUNT(Dong12),"",IF(MID(OFFSET(TH!D$1,SMALL(Dong12,ROWS($1:5)),),4,1)="X",OFFSET(TH!D$1,SMALL(Dong12,ROWS($1:5)),),""))</f>
        <v>VL/X01</v>
      </c>
      <c r="E18" s="667" t="str">
        <f ca="1">IF(ROWS($1:5)&gt;COUNT(Dong12),"",OFFSET(TH!H$1,SMALL(Dong12,ROWS($1:5)),))</f>
        <v>Xuất sản xuất</v>
      </c>
      <c r="F18" s="409">
        <f t="shared" ca="1" si="0"/>
        <v>41548</v>
      </c>
      <c r="G18" s="410">
        <f ca="1">IF(ROWS($1:5)&gt;COUNT(Dong12),0,IF(MID(OFFSET(TH!D$1,SMALL(Dong12,ROWS($1:5)),),4,1)="N",OFFSET(TH!I$1,SMALL(Dong12,ROWS($1:5)),),0))</f>
        <v>0</v>
      </c>
      <c r="H18" s="410">
        <f ca="1">IF(ROWS($1:5)&gt;COUNT(Dong12),0,IF(MID(OFFSET(TH!D$1,SMALL(Dong12,ROWS($1:5)),),4,1)="X",OFFSET(TH!I$1,SMALL(Dong12,ROWS($1:5)),),0))</f>
        <v>25</v>
      </c>
      <c r="I18" s="411">
        <f t="shared" ca="1" si="1"/>
        <v>0</v>
      </c>
      <c r="J18" s="412"/>
      <c r="K18" s="413"/>
    </row>
    <row r="19" spans="1:11" ht="16.5" customHeight="1">
      <c r="A19" s="414" t="str">
        <f t="shared" ca="1" si="2"/>
        <v/>
      </c>
      <c r="B19" s="409" t="str">
        <f ca="1">IF(ROWS($1:6)&gt;COUNT(Dong12),"",OFFSET(TH!E$1,SMALL(Dong12,ROWS($1:6)),))</f>
        <v/>
      </c>
      <c r="C19" s="464" t="str">
        <f ca="1">IF(ROWS($1:6)&gt;COUNT(Dong12),"",IF(MID(OFFSET(TH!D$1,SMALL(Dong12,ROWS($1:6)),),4,1)="N",OFFSET(TH!D$1,SMALL(Dong12,ROWS($1:6)),),""))</f>
        <v/>
      </c>
      <c r="D19" s="409" t="str">
        <f ca="1">IF(ROWS($1:6)&gt;COUNT(Dong12),"",IF(MID(OFFSET(TH!D$1,SMALL(Dong12,ROWS($1:6)),),4,1)="X",OFFSET(TH!D$1,SMALL(Dong12,ROWS($1:6)),),""))</f>
        <v/>
      </c>
      <c r="E19" s="667" t="str">
        <f ca="1">IF(ROWS($1:6)&gt;COUNT(Dong12),"",OFFSET(TH!H$1,SMALL(Dong12,ROWS($1:6)),))</f>
        <v/>
      </c>
      <c r="F19" s="409" t="str">
        <f t="shared" ca="1" si="0"/>
        <v/>
      </c>
      <c r="G19" s="410">
        <f ca="1">IF(ROWS($1:6)&gt;COUNT(Dong12),0,IF(MID(OFFSET(TH!D$1,SMALL(Dong12,ROWS($1:6)),),4,1)="N",OFFSET(TH!I$1,SMALL(Dong12,ROWS($1:6)),),0))</f>
        <v>0</v>
      </c>
      <c r="H19" s="410">
        <f ca="1">IF(ROWS($1:6)&gt;COUNT(Dong12),0,IF(MID(OFFSET(TH!D$1,SMALL(Dong12,ROWS($1:6)),),4,1)="X",OFFSET(TH!I$1,SMALL(Dong12,ROWS($1:6)),),0))</f>
        <v>0</v>
      </c>
      <c r="I19" s="411">
        <f t="shared" ca="1" si="1"/>
        <v>0</v>
      </c>
      <c r="J19" s="412"/>
      <c r="K19" s="413"/>
    </row>
    <row r="20" spans="1:11" ht="16.5" customHeight="1">
      <c r="A20" s="414" t="str">
        <f t="shared" ca="1" si="2"/>
        <v/>
      </c>
      <c r="B20" s="409" t="str">
        <f ca="1">IF(ROWS($1:7)&gt;COUNT(Dong12),"",OFFSET(TH!E$1,SMALL(Dong12,ROWS($1:7)),))</f>
        <v/>
      </c>
      <c r="C20" s="464" t="str">
        <f ca="1">IF(ROWS($1:7)&gt;COUNT(Dong12),"",IF(MID(OFFSET(TH!D$1,SMALL(Dong12,ROWS($1:7)),),4,1)="N",OFFSET(TH!D$1,SMALL(Dong12,ROWS($1:7)),),""))</f>
        <v/>
      </c>
      <c r="D20" s="409" t="str">
        <f ca="1">IF(ROWS($1:7)&gt;COUNT(Dong12),"",IF(MID(OFFSET(TH!D$1,SMALL(Dong12,ROWS($1:7)),),4,1)="X",OFFSET(TH!D$1,SMALL(Dong12,ROWS($1:7)),),""))</f>
        <v/>
      </c>
      <c r="E20" s="667" t="str">
        <f ca="1">IF(ROWS($1:7)&gt;COUNT(Dong12),"",OFFSET(TH!H$1,SMALL(Dong12,ROWS($1:7)),))</f>
        <v/>
      </c>
      <c r="F20" s="409" t="str">
        <f t="shared" ca="1" si="0"/>
        <v/>
      </c>
      <c r="G20" s="410">
        <f ca="1">IF(ROWS($1:7)&gt;COUNT(Dong12),0,IF(MID(OFFSET(TH!D$1,SMALL(Dong12,ROWS($1:7)),),4,1)="N",OFFSET(TH!I$1,SMALL(Dong12,ROWS($1:7)),),0))</f>
        <v>0</v>
      </c>
      <c r="H20" s="410">
        <f ca="1">IF(ROWS($1:7)&gt;COUNT(Dong12),0,IF(MID(OFFSET(TH!D$1,SMALL(Dong12,ROWS($1:7)),),4,1)="X",OFFSET(TH!I$1,SMALL(Dong12,ROWS($1:7)),),0))</f>
        <v>0</v>
      </c>
      <c r="I20" s="411">
        <f t="shared" ca="1" si="1"/>
        <v>0</v>
      </c>
      <c r="J20" s="412"/>
      <c r="K20" s="413"/>
    </row>
    <row r="21" spans="1:11" ht="16.5" customHeight="1">
      <c r="A21" s="414" t="str">
        <f t="shared" ca="1" si="2"/>
        <v/>
      </c>
      <c r="B21" s="409" t="str">
        <f ca="1">IF(ROWS($1:8)&gt;COUNT(Dong12),"",OFFSET(TH!E$1,SMALL(Dong12,ROWS($1:8)),))</f>
        <v/>
      </c>
      <c r="C21" s="464" t="str">
        <f ca="1">IF(ROWS($1:8)&gt;COUNT(Dong12),"",IF(MID(OFFSET(TH!D$1,SMALL(Dong12,ROWS($1:8)),),4,1)="N",OFFSET(TH!D$1,SMALL(Dong12,ROWS($1:8)),),""))</f>
        <v/>
      </c>
      <c r="D21" s="409" t="str">
        <f ca="1">IF(ROWS($1:8)&gt;COUNT(Dong12),"",IF(MID(OFFSET(TH!D$1,SMALL(Dong12,ROWS($1:8)),),4,1)="X",OFFSET(TH!D$1,SMALL(Dong12,ROWS($1:8)),),""))</f>
        <v/>
      </c>
      <c r="E21" s="667" t="str">
        <f ca="1">IF(ROWS($1:8)&gt;COUNT(Dong12),"",OFFSET(TH!H$1,SMALL(Dong12,ROWS($1:8)),))</f>
        <v/>
      </c>
      <c r="F21" s="409" t="str">
        <f t="shared" ca="1" si="0"/>
        <v/>
      </c>
      <c r="G21" s="410">
        <f ca="1">IF(ROWS($1:8)&gt;COUNT(Dong12),0,IF(MID(OFFSET(TH!D$1,SMALL(Dong12,ROWS($1:8)),),4,1)="N",OFFSET(TH!I$1,SMALL(Dong12,ROWS($1:8)),),0))</f>
        <v>0</v>
      </c>
      <c r="H21" s="410">
        <f ca="1">IF(ROWS($1:8)&gt;COUNT(Dong12),0,IF(MID(OFFSET(TH!D$1,SMALL(Dong12,ROWS($1:8)),),4,1)="X",OFFSET(TH!I$1,SMALL(Dong12,ROWS($1:8)),),0))</f>
        <v>0</v>
      </c>
      <c r="I21" s="411">
        <f t="shared" ca="1" si="1"/>
        <v>0</v>
      </c>
      <c r="J21" s="412"/>
      <c r="K21" s="413"/>
    </row>
    <row r="22" spans="1:11" ht="16.5" customHeight="1">
      <c r="A22" s="414" t="str">
        <f t="shared" ca="1" si="2"/>
        <v/>
      </c>
      <c r="B22" s="409" t="str">
        <f ca="1">IF(ROWS($1:9)&gt;COUNT(Dong12),"",OFFSET(TH!E$1,SMALL(Dong12,ROWS($1:9)),))</f>
        <v/>
      </c>
      <c r="C22" s="464" t="str">
        <f ca="1">IF(ROWS($1:9)&gt;COUNT(Dong12),"",IF(MID(OFFSET(TH!D$1,SMALL(Dong12,ROWS($1:9)),),4,1)="N",OFFSET(TH!D$1,SMALL(Dong12,ROWS($1:9)),),""))</f>
        <v/>
      </c>
      <c r="D22" s="409" t="str">
        <f ca="1">IF(ROWS($1:9)&gt;COUNT(Dong12),"",IF(MID(OFFSET(TH!D$1,SMALL(Dong12,ROWS($1:9)),),4,1)="X",OFFSET(TH!D$1,SMALL(Dong12,ROWS($1:9)),),""))</f>
        <v/>
      </c>
      <c r="E22" s="667" t="str">
        <f ca="1">IF(ROWS($1:9)&gt;COUNT(Dong12),"",OFFSET(TH!H$1,SMALL(Dong12,ROWS($1:9)),))</f>
        <v/>
      </c>
      <c r="F22" s="409" t="str">
        <f t="shared" ca="1" si="0"/>
        <v/>
      </c>
      <c r="G22" s="410">
        <f ca="1">IF(ROWS($1:9)&gt;COUNT(Dong12),0,IF(MID(OFFSET(TH!D$1,SMALL(Dong12,ROWS($1:9)),),4,1)="N",OFFSET(TH!I$1,SMALL(Dong12,ROWS($1:9)),),0))</f>
        <v>0</v>
      </c>
      <c r="H22" s="410">
        <f ca="1">IF(ROWS($1:9)&gt;COUNT(Dong12),0,IF(MID(OFFSET(TH!D$1,SMALL(Dong12,ROWS($1:9)),),4,1)="X",OFFSET(TH!I$1,SMALL(Dong12,ROWS($1:9)),),0))</f>
        <v>0</v>
      </c>
      <c r="I22" s="411">
        <f t="shared" ca="1" si="1"/>
        <v>0</v>
      </c>
      <c r="J22" s="412"/>
      <c r="K22" s="413"/>
    </row>
    <row r="23" spans="1:11" ht="16.5" customHeight="1">
      <c r="A23" s="414" t="str">
        <f t="shared" ca="1" si="2"/>
        <v/>
      </c>
      <c r="B23" s="409" t="str">
        <f ca="1">IF(ROWS($1:10)&gt;COUNT(Dong12),"",OFFSET(TH!E$1,SMALL(Dong12,ROWS($1:10)),))</f>
        <v/>
      </c>
      <c r="C23" s="464" t="str">
        <f ca="1">IF(ROWS($1:10)&gt;COUNT(Dong12),"",IF(MID(OFFSET(TH!D$1,SMALL(Dong12,ROWS($1:10)),),4,1)="N",OFFSET(TH!D$1,SMALL(Dong12,ROWS($1:10)),),""))</f>
        <v/>
      </c>
      <c r="D23" s="409" t="str">
        <f ca="1">IF(ROWS($1:10)&gt;COUNT(Dong12),"",IF(MID(OFFSET(TH!D$1,SMALL(Dong12,ROWS($1:10)),),4,1)="X",OFFSET(TH!D$1,SMALL(Dong12,ROWS($1:10)),),""))</f>
        <v/>
      </c>
      <c r="E23" s="667" t="str">
        <f ca="1">IF(ROWS($1:10)&gt;COUNT(Dong12),"",OFFSET(TH!H$1,SMALL(Dong12,ROWS($1:10)),))</f>
        <v/>
      </c>
      <c r="F23" s="409" t="str">
        <f t="shared" ca="1" si="0"/>
        <v/>
      </c>
      <c r="G23" s="410">
        <f ca="1">IF(ROWS($1:10)&gt;COUNT(Dong12),0,IF(MID(OFFSET(TH!D$1,SMALL(Dong12,ROWS($1:10)),),4,1)="N",OFFSET(TH!I$1,SMALL(Dong12,ROWS($1:10)),),0))</f>
        <v>0</v>
      </c>
      <c r="H23" s="410">
        <f ca="1">IF(ROWS($1:10)&gt;COUNT(Dong12),0,IF(MID(OFFSET(TH!D$1,SMALL(Dong12,ROWS($1:10)),),4,1)="X",OFFSET(TH!I$1,SMALL(Dong12,ROWS($1:10)),),0))</f>
        <v>0</v>
      </c>
      <c r="I23" s="411">
        <f t="shared" ca="1" si="1"/>
        <v>0</v>
      </c>
      <c r="J23" s="412"/>
      <c r="K23" s="413"/>
    </row>
    <row r="24" spans="1:11" ht="16.5" customHeight="1">
      <c r="A24" s="414" t="str">
        <f t="shared" ca="1" si="2"/>
        <v/>
      </c>
      <c r="B24" s="409" t="str">
        <f ca="1">IF(ROWS($1:11)&gt;COUNT(Dong12),"",OFFSET(TH!E$1,SMALL(Dong12,ROWS($1:11)),))</f>
        <v/>
      </c>
      <c r="C24" s="464" t="str">
        <f ca="1">IF(ROWS($1:11)&gt;COUNT(Dong12),"",IF(MID(OFFSET(TH!D$1,SMALL(Dong12,ROWS($1:11)),),4,1)="N",OFFSET(TH!D$1,SMALL(Dong12,ROWS($1:11)),),""))</f>
        <v/>
      </c>
      <c r="D24" s="409" t="str">
        <f ca="1">IF(ROWS($1:11)&gt;COUNT(Dong12),"",IF(MID(OFFSET(TH!D$1,SMALL(Dong12,ROWS($1:11)),),4,1)="X",OFFSET(TH!D$1,SMALL(Dong12,ROWS($1:11)),),""))</f>
        <v/>
      </c>
      <c r="E24" s="667" t="str">
        <f ca="1">IF(ROWS($1:11)&gt;COUNT(Dong12),"",OFFSET(TH!H$1,SMALL(Dong12,ROWS($1:11)),))</f>
        <v/>
      </c>
      <c r="F24" s="409" t="str">
        <f t="shared" ca="1" si="0"/>
        <v/>
      </c>
      <c r="G24" s="410">
        <f ca="1">IF(ROWS($1:11)&gt;COUNT(Dong12),0,IF(MID(OFFSET(TH!D$1,SMALL(Dong12,ROWS($1:11)),),4,1)="N",OFFSET(TH!I$1,SMALL(Dong12,ROWS($1:11)),),0))</f>
        <v>0</v>
      </c>
      <c r="H24" s="410">
        <f ca="1">IF(ROWS($1:11)&gt;COUNT(Dong12),0,IF(MID(OFFSET(TH!D$1,SMALL(Dong12,ROWS($1:11)),),4,1)="X",OFFSET(TH!I$1,SMALL(Dong12,ROWS($1:11)),),0))</f>
        <v>0</v>
      </c>
      <c r="I24" s="411">
        <f t="shared" ca="1" si="1"/>
        <v>0</v>
      </c>
      <c r="J24" s="412"/>
      <c r="K24" s="413"/>
    </row>
    <row r="25" spans="1:11" ht="16.5" customHeight="1">
      <c r="A25" s="414" t="str">
        <f t="shared" ca="1" si="2"/>
        <v/>
      </c>
      <c r="B25" s="409" t="str">
        <f ca="1">IF(ROWS($1:12)&gt;COUNT(Dong12),"",OFFSET(TH!E$1,SMALL(Dong12,ROWS($1:12)),))</f>
        <v/>
      </c>
      <c r="C25" s="464" t="str">
        <f ca="1">IF(ROWS($1:12)&gt;COUNT(Dong12),"",IF(MID(OFFSET(TH!D$1,SMALL(Dong12,ROWS($1:12)),),4,1)="N",OFFSET(TH!D$1,SMALL(Dong12,ROWS($1:12)),),""))</f>
        <v/>
      </c>
      <c r="D25" s="409" t="str">
        <f ca="1">IF(ROWS($1:12)&gt;COUNT(Dong12),"",IF(MID(OFFSET(TH!D$1,SMALL(Dong12,ROWS($1:12)),),4,1)="X",OFFSET(TH!D$1,SMALL(Dong12,ROWS($1:12)),),""))</f>
        <v/>
      </c>
      <c r="E25" s="667" t="str">
        <f ca="1">IF(ROWS($1:12)&gt;COUNT(Dong12),"",OFFSET(TH!H$1,SMALL(Dong12,ROWS($1:12)),))</f>
        <v/>
      </c>
      <c r="F25" s="409" t="str">
        <f t="shared" ca="1" si="0"/>
        <v/>
      </c>
      <c r="G25" s="410">
        <f ca="1">IF(ROWS($1:12)&gt;COUNT(Dong12),0,IF(MID(OFFSET(TH!D$1,SMALL(Dong12,ROWS($1:12)),),4,1)="N",OFFSET(TH!I$1,SMALL(Dong12,ROWS($1:12)),),0))</f>
        <v>0</v>
      </c>
      <c r="H25" s="410">
        <f ca="1">IF(ROWS($1:12)&gt;COUNT(Dong12),0,IF(MID(OFFSET(TH!D$1,SMALL(Dong12,ROWS($1:12)),),4,1)="X",OFFSET(TH!I$1,SMALL(Dong12,ROWS($1:12)),),0))</f>
        <v>0</v>
      </c>
      <c r="I25" s="411">
        <f t="shared" ca="1" si="1"/>
        <v>0</v>
      </c>
      <c r="J25" s="412"/>
      <c r="K25" s="413"/>
    </row>
    <row r="26" spans="1:11" ht="16.5" customHeight="1">
      <c r="A26" s="414" t="str">
        <f t="shared" ca="1" si="2"/>
        <v/>
      </c>
      <c r="B26" s="409" t="str">
        <f ca="1">IF(ROWS($1:13)&gt;COUNT(Dong12),"",OFFSET(TH!E$1,SMALL(Dong12,ROWS($1:13)),))</f>
        <v/>
      </c>
      <c r="C26" s="464" t="str">
        <f ca="1">IF(ROWS($1:13)&gt;COUNT(Dong12),"",IF(MID(OFFSET(TH!D$1,SMALL(Dong12,ROWS($1:13)),),4,1)="N",OFFSET(TH!D$1,SMALL(Dong12,ROWS($1:13)),),""))</f>
        <v/>
      </c>
      <c r="D26" s="409" t="str">
        <f ca="1">IF(ROWS($1:13)&gt;COUNT(Dong12),"",IF(MID(OFFSET(TH!D$1,SMALL(Dong12,ROWS($1:13)),),4,1)="X",OFFSET(TH!D$1,SMALL(Dong12,ROWS($1:13)),),""))</f>
        <v/>
      </c>
      <c r="E26" s="667" t="str">
        <f ca="1">IF(ROWS($1:13)&gt;COUNT(Dong12),"",OFFSET(TH!H$1,SMALL(Dong12,ROWS($1:13)),))</f>
        <v/>
      </c>
      <c r="F26" s="409" t="str">
        <f t="shared" ca="1" si="0"/>
        <v/>
      </c>
      <c r="G26" s="410">
        <f ca="1">IF(ROWS($1:13)&gt;COUNT(Dong12),0,IF(MID(OFFSET(TH!D$1,SMALL(Dong12,ROWS($1:13)),),4,1)="N",OFFSET(TH!I$1,SMALL(Dong12,ROWS($1:13)),),0))</f>
        <v>0</v>
      </c>
      <c r="H26" s="410">
        <f ca="1">IF(ROWS($1:13)&gt;COUNT(Dong12),0,IF(MID(OFFSET(TH!D$1,SMALL(Dong12,ROWS($1:13)),),4,1)="X",OFFSET(TH!I$1,SMALL(Dong12,ROWS($1:13)),),0))</f>
        <v>0</v>
      </c>
      <c r="I26" s="411">
        <f t="shared" ca="1" si="1"/>
        <v>0</v>
      </c>
      <c r="J26" s="412"/>
      <c r="K26" s="413"/>
    </row>
    <row r="27" spans="1:11" ht="16.5" customHeight="1">
      <c r="A27" s="414" t="str">
        <f t="shared" ca="1" si="2"/>
        <v/>
      </c>
      <c r="B27" s="409" t="str">
        <f ca="1">IF(ROWS($1:14)&gt;COUNT(Dong12),"",OFFSET(TH!E$1,SMALL(Dong12,ROWS($1:14)),))</f>
        <v/>
      </c>
      <c r="C27" s="464" t="str">
        <f ca="1">IF(ROWS($1:14)&gt;COUNT(Dong12),"",IF(MID(OFFSET(TH!D$1,SMALL(Dong12,ROWS($1:14)),),4,1)="N",OFFSET(TH!D$1,SMALL(Dong12,ROWS($1:14)),),""))</f>
        <v/>
      </c>
      <c r="D27" s="409" t="str">
        <f ca="1">IF(ROWS($1:14)&gt;COUNT(Dong12),"",IF(MID(OFFSET(TH!D$1,SMALL(Dong12,ROWS($1:14)),),4,1)="X",OFFSET(TH!D$1,SMALL(Dong12,ROWS($1:14)),),""))</f>
        <v/>
      </c>
      <c r="E27" s="667" t="str">
        <f ca="1">IF(ROWS($1:14)&gt;COUNT(Dong12),"",OFFSET(TH!H$1,SMALL(Dong12,ROWS($1:14)),))</f>
        <v/>
      </c>
      <c r="F27" s="409" t="str">
        <f t="shared" ca="1" si="0"/>
        <v/>
      </c>
      <c r="G27" s="410">
        <f ca="1">IF(ROWS($1:14)&gt;COUNT(Dong12),0,IF(MID(OFFSET(TH!D$1,SMALL(Dong12,ROWS($1:14)),),4,1)="N",OFFSET(TH!I$1,SMALL(Dong12,ROWS($1:14)),),0))</f>
        <v>0</v>
      </c>
      <c r="H27" s="410">
        <f ca="1">IF(ROWS($1:14)&gt;COUNT(Dong12),0,IF(MID(OFFSET(TH!D$1,SMALL(Dong12,ROWS($1:14)),),4,1)="X",OFFSET(TH!I$1,SMALL(Dong12,ROWS($1:14)),),0))</f>
        <v>0</v>
      </c>
      <c r="I27" s="411">
        <f t="shared" ca="1" si="1"/>
        <v>0</v>
      </c>
      <c r="J27" s="412"/>
      <c r="K27" s="413"/>
    </row>
    <row r="28" spans="1:11" ht="16.5" customHeight="1">
      <c r="A28" s="414" t="str">
        <f t="shared" ca="1" si="2"/>
        <v/>
      </c>
      <c r="B28" s="409" t="str">
        <f ca="1">IF(ROWS($1:15)&gt;COUNT(Dong12),"",OFFSET(TH!E$1,SMALL(Dong12,ROWS($1:15)),))</f>
        <v/>
      </c>
      <c r="C28" s="464" t="str">
        <f ca="1">IF(ROWS($1:15)&gt;COUNT(Dong12),"",IF(MID(OFFSET(TH!D$1,SMALL(Dong12,ROWS($1:15)),),4,1)="N",OFFSET(TH!D$1,SMALL(Dong12,ROWS($1:15)),),""))</f>
        <v/>
      </c>
      <c r="D28" s="409" t="str">
        <f ca="1">IF(ROWS($1:15)&gt;COUNT(Dong12),"",IF(MID(OFFSET(TH!D$1,SMALL(Dong12,ROWS($1:15)),),4,1)="X",OFFSET(TH!D$1,SMALL(Dong12,ROWS($1:15)),),""))</f>
        <v/>
      </c>
      <c r="E28" s="667" t="str">
        <f ca="1">IF(ROWS($1:15)&gt;COUNT(Dong12),"",OFFSET(TH!H$1,SMALL(Dong12,ROWS($1:15)),))</f>
        <v/>
      </c>
      <c r="F28" s="409" t="str">
        <f t="shared" ca="1" si="0"/>
        <v/>
      </c>
      <c r="G28" s="410">
        <f ca="1">IF(ROWS($1:15)&gt;COUNT(Dong12),0,IF(MID(OFFSET(TH!D$1,SMALL(Dong12,ROWS($1:15)),),4,1)="N",OFFSET(TH!I$1,SMALL(Dong12,ROWS($1:15)),),0))</f>
        <v>0</v>
      </c>
      <c r="H28" s="410">
        <f ca="1">IF(ROWS($1:15)&gt;COUNT(Dong12),0,IF(MID(OFFSET(TH!D$1,SMALL(Dong12,ROWS($1:15)),),4,1)="X",OFFSET(TH!I$1,SMALL(Dong12,ROWS($1:15)),),0))</f>
        <v>0</v>
      </c>
      <c r="I28" s="411">
        <f t="shared" ca="1" si="1"/>
        <v>0</v>
      </c>
      <c r="J28" s="412"/>
      <c r="K28" s="413"/>
    </row>
    <row r="29" spans="1:11" ht="16.5" customHeight="1">
      <c r="A29" s="414" t="str">
        <f t="shared" ca="1" si="2"/>
        <v/>
      </c>
      <c r="B29" s="409" t="str">
        <f ca="1">IF(ROWS($1:16)&gt;COUNT(Dong12),"",OFFSET(TH!E$1,SMALL(Dong12,ROWS($1:16)),))</f>
        <v/>
      </c>
      <c r="C29" s="464" t="str">
        <f ca="1">IF(ROWS($1:16)&gt;COUNT(Dong12),"",IF(MID(OFFSET(TH!D$1,SMALL(Dong12,ROWS($1:16)),),4,1)="N",OFFSET(TH!D$1,SMALL(Dong12,ROWS($1:16)),),""))</f>
        <v/>
      </c>
      <c r="D29" s="409" t="str">
        <f ca="1">IF(ROWS($1:16)&gt;COUNT(Dong12),"",IF(MID(OFFSET(TH!D$1,SMALL(Dong12,ROWS($1:16)),),4,1)="X",OFFSET(TH!D$1,SMALL(Dong12,ROWS($1:16)),),""))</f>
        <v/>
      </c>
      <c r="E29" s="667" t="str">
        <f ca="1">IF(ROWS($1:16)&gt;COUNT(Dong12),"",OFFSET(TH!H$1,SMALL(Dong12,ROWS($1:16)),))</f>
        <v/>
      </c>
      <c r="F29" s="409" t="str">
        <f t="shared" ca="1" si="0"/>
        <v/>
      </c>
      <c r="G29" s="410">
        <f ca="1">IF(ROWS($1:16)&gt;COUNT(Dong12),0,IF(MID(OFFSET(TH!D$1,SMALL(Dong12,ROWS($1:16)),),4,1)="N",OFFSET(TH!I$1,SMALL(Dong12,ROWS($1:16)),),0))</f>
        <v>0</v>
      </c>
      <c r="H29" s="410">
        <f ca="1">IF(ROWS($1:16)&gt;COUNT(Dong12),0,IF(MID(OFFSET(TH!D$1,SMALL(Dong12,ROWS($1:16)),),4,1)="X",OFFSET(TH!I$1,SMALL(Dong12,ROWS($1:16)),),0))</f>
        <v>0</v>
      </c>
      <c r="I29" s="411">
        <f t="shared" ca="1" si="1"/>
        <v>0</v>
      </c>
      <c r="J29" s="412"/>
      <c r="K29" s="413"/>
    </row>
    <row r="30" spans="1:11" ht="16.5" customHeight="1">
      <c r="A30" s="414" t="str">
        <f t="shared" ca="1" si="2"/>
        <v/>
      </c>
      <c r="B30" s="409" t="str">
        <f ca="1">IF(ROWS($1:17)&gt;COUNT(Dong12),"",OFFSET(TH!E$1,SMALL(Dong12,ROWS($1:17)),))</f>
        <v/>
      </c>
      <c r="C30" s="464" t="str">
        <f ca="1">IF(ROWS($1:17)&gt;COUNT(Dong12),"",IF(MID(OFFSET(TH!D$1,SMALL(Dong12,ROWS($1:17)),),4,1)="N",OFFSET(TH!D$1,SMALL(Dong12,ROWS($1:17)),),""))</f>
        <v/>
      </c>
      <c r="D30" s="409" t="str">
        <f ca="1">IF(ROWS($1:17)&gt;COUNT(Dong12),"",IF(MID(OFFSET(TH!D$1,SMALL(Dong12,ROWS($1:17)),),4,1)="X",OFFSET(TH!D$1,SMALL(Dong12,ROWS($1:17)),),""))</f>
        <v/>
      </c>
      <c r="E30" s="667" t="str">
        <f ca="1">IF(ROWS($1:17)&gt;COUNT(Dong12),"",OFFSET(TH!H$1,SMALL(Dong12,ROWS($1:17)),))</f>
        <v/>
      </c>
      <c r="F30" s="409" t="str">
        <f t="shared" ca="1" si="0"/>
        <v/>
      </c>
      <c r="G30" s="410">
        <f ca="1">IF(ROWS($1:17)&gt;COUNT(Dong12),0,IF(MID(OFFSET(TH!D$1,SMALL(Dong12,ROWS($1:17)),),4,1)="N",OFFSET(TH!I$1,SMALL(Dong12,ROWS($1:17)),),0))</f>
        <v>0</v>
      </c>
      <c r="H30" s="410">
        <f ca="1">IF(ROWS($1:17)&gt;COUNT(Dong12),0,IF(MID(OFFSET(TH!D$1,SMALL(Dong12,ROWS($1:17)),),4,1)="X",OFFSET(TH!I$1,SMALL(Dong12,ROWS($1:17)),),0))</f>
        <v>0</v>
      </c>
      <c r="I30" s="411">
        <f t="shared" ca="1" si="1"/>
        <v>0</v>
      </c>
      <c r="J30" s="412"/>
      <c r="K30" s="413"/>
    </row>
    <row r="31" spans="1:11" ht="16.5" customHeight="1">
      <c r="A31" s="415" t="str">
        <f>IF(D31&lt;&gt;"",A21+1,"")</f>
        <v/>
      </c>
      <c r="B31" s="416"/>
      <c r="C31" s="417"/>
      <c r="D31" s="417"/>
      <c r="E31" s="668"/>
      <c r="F31" s="416"/>
      <c r="G31" s="418"/>
      <c r="H31" s="418"/>
      <c r="I31" s="418"/>
      <c r="J31" s="419"/>
      <c r="K31" s="413"/>
    </row>
    <row r="32" spans="1:11" ht="16.5" customHeight="1">
      <c r="A32" s="403"/>
      <c r="B32" s="420"/>
      <c r="C32" s="403"/>
      <c r="D32" s="403"/>
      <c r="E32" s="404" t="s">
        <v>237</v>
      </c>
      <c r="F32" s="421" t="s">
        <v>19</v>
      </c>
      <c r="G32" s="422">
        <f ca="1">SUM(G14:G31)</f>
        <v>50</v>
      </c>
      <c r="H32" s="422">
        <f ca="1">SUM(H14:H31)</f>
        <v>100</v>
      </c>
      <c r="I32" s="422">
        <f ca="1">I13+G32-H32</f>
        <v>0</v>
      </c>
      <c r="J32" s="403" t="s">
        <v>19</v>
      </c>
      <c r="K32" s="423"/>
    </row>
    <row r="33" spans="1:11" ht="12.75" customHeight="1">
      <c r="A33" s="424"/>
      <c r="B33" s="382"/>
      <c r="C33" s="424"/>
      <c r="D33" s="424"/>
      <c r="E33" s="388"/>
      <c r="F33" s="382"/>
      <c r="G33" s="389"/>
      <c r="H33" s="389"/>
      <c r="I33" s="389"/>
      <c r="J33" s="378"/>
      <c r="K33" s="378"/>
    </row>
    <row r="34" spans="1:11" ht="15">
      <c r="A34" s="425" t="s">
        <v>238</v>
      </c>
      <c r="B34" s="425"/>
      <c r="C34" s="426"/>
      <c r="D34" s="426"/>
      <c r="E34" s="388"/>
      <c r="F34" s="382"/>
      <c r="G34" s="389"/>
      <c r="H34" s="389"/>
      <c r="I34" s="389"/>
      <c r="J34" s="378"/>
      <c r="K34" s="378"/>
    </row>
    <row r="35" spans="1:11" ht="15">
      <c r="A35" s="1076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77"/>
      <c r="C35" s="1077"/>
      <c r="D35" s="1077"/>
      <c r="E35" s="1077"/>
      <c r="F35" s="382"/>
      <c r="G35" s="389"/>
      <c r="H35" s="389"/>
      <c r="I35" s="389"/>
      <c r="J35" s="378"/>
      <c r="K35" s="378"/>
    </row>
    <row r="36" spans="1:11" ht="15">
      <c r="A36" s="427"/>
      <c r="B36" s="428"/>
      <c r="C36" s="429"/>
      <c r="D36" s="424"/>
      <c r="E36" s="388"/>
      <c r="F36" s="382"/>
      <c r="H36" s="310"/>
      <c r="I36" s="559" t="str">
        <f ca="1">"Ngày 31 tháng  12  năm  "&amp;YEAR($B$14)</f>
        <v>Ngày 31 tháng  12  năm  2013</v>
      </c>
      <c r="J36" s="310"/>
      <c r="K36" s="311"/>
    </row>
    <row r="37" spans="1:11" ht="15" customHeight="1">
      <c r="A37" s="427"/>
      <c r="C37" s="430" t="s">
        <v>239</v>
      </c>
      <c r="D37" s="424"/>
      <c r="E37" s="1078" t="s">
        <v>12</v>
      </c>
      <c r="F37" s="1078"/>
      <c r="G37" s="389"/>
      <c r="I37" s="591" t="s">
        <v>109</v>
      </c>
      <c r="J37" s="380"/>
      <c r="K37" s="427"/>
    </row>
    <row r="38" spans="1:11" ht="15" customHeight="1">
      <c r="A38" s="431"/>
      <c r="C38" s="432" t="s">
        <v>13</v>
      </c>
      <c r="D38" s="433"/>
      <c r="E38" s="1072" t="s">
        <v>13</v>
      </c>
      <c r="F38" s="1072"/>
      <c r="G38" s="389"/>
      <c r="I38" s="592" t="s">
        <v>136</v>
      </c>
      <c r="J38" s="590"/>
      <c r="K38" s="431"/>
    </row>
    <row r="39" spans="1:11" ht="15">
      <c r="A39" s="431"/>
      <c r="C39" s="432"/>
      <c r="D39" s="424"/>
      <c r="E39" s="434"/>
      <c r="F39" s="435"/>
      <c r="G39" s="389"/>
      <c r="H39" s="431"/>
      <c r="I39" s="431"/>
      <c r="J39" s="431"/>
      <c r="K39" s="431"/>
    </row>
    <row r="40" spans="1:11" ht="15">
      <c r="A40" s="431"/>
      <c r="B40" s="432"/>
      <c r="C40" s="431"/>
      <c r="D40" s="424"/>
      <c r="E40" s="434"/>
      <c r="F40" s="435"/>
      <c r="G40" s="389"/>
      <c r="H40" s="431"/>
      <c r="I40" s="431"/>
      <c r="J40" s="431"/>
      <c r="K40" s="431"/>
    </row>
    <row r="41" spans="1:11" ht="15">
      <c r="A41" s="431"/>
      <c r="B41" s="432"/>
      <c r="C41" s="431"/>
      <c r="D41" s="424"/>
      <c r="E41" s="434"/>
      <c r="F41" s="435"/>
      <c r="G41" s="389"/>
      <c r="H41" s="431"/>
      <c r="I41" s="431"/>
      <c r="J41" s="431"/>
      <c r="K41" s="431"/>
    </row>
    <row r="46" spans="1:11" ht="15">
      <c r="C46" s="593" t="s">
        <v>331</v>
      </c>
      <c r="H46" s="589"/>
      <c r="I46" s="588" t="s">
        <v>103</v>
      </c>
      <c r="J46" s="589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372"/>
  <sheetViews>
    <sheetView topLeftCell="A249" workbookViewId="0">
      <pane ySplit="1" topLeftCell="A280" activePane="bottomLeft" state="frozen"/>
      <selection activeCell="A249" sqref="A249"/>
      <selection pane="bottomLeft" activeCell="K249" sqref="K1:K1048576"/>
    </sheetView>
  </sheetViews>
  <sheetFormatPr defaultColWidth="10.28515625" defaultRowHeight="12.75"/>
  <cols>
    <col min="1" max="1" width="4.7109375" style="754" customWidth="1"/>
    <col min="2" max="2" width="23.140625" style="754" customWidth="1"/>
    <col min="3" max="3" width="12.140625" style="754" customWidth="1"/>
    <col min="4" max="4" width="11" style="754" customWidth="1"/>
    <col min="5" max="5" width="9.7109375" style="754" customWidth="1"/>
    <col min="6" max="6" width="11.140625" style="754" customWidth="1"/>
    <col min="7" max="7" width="10.85546875" style="754" customWidth="1"/>
    <col min="8" max="8" width="12" style="754" customWidth="1"/>
    <col min="9" max="10" width="7.42578125" style="754" customWidth="1"/>
    <col min="11" max="11" width="2.42578125" style="765" customWidth="1"/>
    <col min="12" max="12" width="23" style="754" customWidth="1"/>
    <col min="13" max="13" width="10.140625" style="766" customWidth="1"/>
    <col min="14" max="14" width="7.7109375" style="766" customWidth="1"/>
    <col min="15" max="15" width="7.7109375" style="767" customWidth="1"/>
    <col min="16" max="16" width="7" style="815" customWidth="1"/>
    <col min="17" max="17" width="7.5703125" style="293" customWidth="1"/>
    <col min="18" max="18" width="12.42578125" style="754" customWidth="1"/>
    <col min="19" max="19" width="15.85546875" style="754" customWidth="1"/>
    <col min="20" max="20" width="8.28515625" style="766" customWidth="1"/>
    <col min="21" max="21" width="7.5703125" style="293" customWidth="1"/>
    <col min="22" max="22" width="9" style="293" customWidth="1"/>
    <col min="23" max="23" width="9.7109375" style="754" customWidth="1"/>
    <col min="24" max="24" width="10.28515625" style="754" customWidth="1"/>
    <col min="25" max="16384" width="10.28515625" style="754"/>
  </cols>
  <sheetData>
    <row r="1" spans="1:25">
      <c r="B1" s="754">
        <v>1</v>
      </c>
      <c r="C1" s="754">
        <v>5</v>
      </c>
      <c r="D1" s="754">
        <v>6</v>
      </c>
      <c r="E1" s="754">
        <v>7</v>
      </c>
      <c r="F1" s="754">
        <v>8</v>
      </c>
      <c r="G1" s="754">
        <v>10</v>
      </c>
      <c r="H1" s="754">
        <v>13</v>
      </c>
      <c r="I1" s="754">
        <v>14</v>
      </c>
      <c r="J1" s="754">
        <v>15</v>
      </c>
    </row>
    <row r="2" spans="1:25" ht="18" hidden="1" customHeight="1">
      <c r="A2" s="572" t="str">
        <f>TH!$A$1</f>
        <v>Đơn vị: CÔNG TY TNHH SX TM KIM DUNG PHÁT</v>
      </c>
      <c r="B2" s="755"/>
      <c r="C2" s="293"/>
      <c r="D2" s="293"/>
      <c r="E2" s="293"/>
      <c r="F2" s="293"/>
      <c r="G2" s="293"/>
      <c r="H2" s="293"/>
      <c r="I2" s="600"/>
      <c r="J2" s="293"/>
      <c r="K2" s="768"/>
      <c r="L2" s="293"/>
      <c r="M2" s="749"/>
      <c r="N2" s="749"/>
      <c r="S2" s="293"/>
      <c r="T2" s="749"/>
    </row>
    <row r="3" spans="1:25" ht="18.75" customHeight="1">
      <c r="A3" s="756" t="s">
        <v>1164</v>
      </c>
      <c r="B3" s="756"/>
      <c r="C3" s="756"/>
      <c r="D3" s="756"/>
      <c r="E3" s="756"/>
      <c r="F3" s="756"/>
      <c r="G3" s="756"/>
      <c r="H3" s="756"/>
      <c r="I3" s="756"/>
      <c r="J3" s="756"/>
      <c r="K3" s="768"/>
      <c r="L3" s="293"/>
      <c r="M3" s="749"/>
      <c r="N3" s="749"/>
      <c r="S3" s="293"/>
      <c r="T3" s="749"/>
    </row>
    <row r="4" spans="1:25" ht="12.75" customHeight="1">
      <c r="A4" s="807"/>
      <c r="B4" s="799"/>
      <c r="C4" s="799"/>
      <c r="D4" s="799"/>
      <c r="E4" s="799"/>
      <c r="F4" s="799"/>
      <c r="G4" s="799"/>
      <c r="H4" s="799"/>
      <c r="I4" s="769"/>
      <c r="J4" s="799"/>
      <c r="K4" s="768"/>
      <c r="L4" s="763"/>
      <c r="M4" s="807"/>
      <c r="N4" s="807"/>
      <c r="O4" s="807"/>
      <c r="P4" s="816"/>
      <c r="Q4" s="770"/>
      <c r="R4" s="807"/>
      <c r="S4" s="807"/>
      <c r="T4" s="807"/>
      <c r="U4" s="807"/>
      <c r="V4" s="807"/>
      <c r="W4" s="807"/>
      <c r="X4" s="763"/>
      <c r="Y4" s="763"/>
    </row>
    <row r="5" spans="1:25" s="447" customFormat="1" ht="30.75" customHeight="1">
      <c r="A5" s="826" t="s">
        <v>35</v>
      </c>
      <c r="B5" s="442" t="s">
        <v>240</v>
      </c>
      <c r="C5" s="443" t="s">
        <v>243</v>
      </c>
      <c r="D5" s="443" t="s">
        <v>440</v>
      </c>
      <c r="E5" s="443" t="s">
        <v>244</v>
      </c>
      <c r="F5" s="443" t="s">
        <v>433</v>
      </c>
      <c r="G5" s="444" t="s">
        <v>245</v>
      </c>
      <c r="H5" s="443" t="s">
        <v>246</v>
      </c>
      <c r="I5" s="445" t="s">
        <v>241</v>
      </c>
      <c r="J5" s="443" t="s">
        <v>247</v>
      </c>
      <c r="K5" s="446"/>
      <c r="L5" s="442" t="s">
        <v>240</v>
      </c>
      <c r="M5" s="443" t="s">
        <v>234</v>
      </c>
      <c r="N5" s="443"/>
      <c r="O5" s="443"/>
      <c r="P5" s="817" t="s">
        <v>199</v>
      </c>
      <c r="Q5" s="443" t="s">
        <v>242</v>
      </c>
      <c r="R5" s="443" t="s">
        <v>248</v>
      </c>
      <c r="S5" s="442" t="s">
        <v>240</v>
      </c>
      <c r="T5" s="443" t="s">
        <v>234</v>
      </c>
      <c r="U5" s="443" t="s">
        <v>199</v>
      </c>
      <c r="V5" s="443" t="s">
        <v>242</v>
      </c>
      <c r="W5" s="442" t="s">
        <v>248</v>
      </c>
    </row>
    <row r="6" spans="1:25" ht="12.75" customHeight="1">
      <c r="A6" s="757">
        <f>IF(B6&lt;&gt;"",ROW()-5,"")</f>
        <v>1</v>
      </c>
      <c r="B6" s="297" t="s">
        <v>721</v>
      </c>
      <c r="C6" s="25">
        <f>R6</f>
        <v>3376750</v>
      </c>
      <c r="D6" s="758">
        <f t="shared" ref="D6:G25" si="0">IF($I$56&lt;&gt;0,D$56/$I$56*$I6,0)</f>
        <v>709456.76855895191</v>
      </c>
      <c r="E6" s="758">
        <f t="shared" si="0"/>
        <v>51628.471615720518</v>
      </c>
      <c r="F6" s="758">
        <f t="shared" si="0"/>
        <v>304775.54585152841</v>
      </c>
      <c r="G6" s="758">
        <f t="shared" si="0"/>
        <v>576986.8995633187</v>
      </c>
      <c r="H6" s="25">
        <f t="shared" ref="H6:H37" si="1">SUM(C6:G6)</f>
        <v>5019597.6855895203</v>
      </c>
      <c r="I6" s="758">
        <v>905</v>
      </c>
      <c r="J6" s="758">
        <f>IF(I6&lt;&gt;"",H6/I6,"")</f>
        <v>5546.5167796569285</v>
      </c>
      <c r="K6" s="666"/>
      <c r="L6" s="843" t="s">
        <v>1185</v>
      </c>
      <c r="M6" s="771">
        <f>N6-1</f>
        <v>41275</v>
      </c>
      <c r="N6" s="771">
        <v>41276</v>
      </c>
      <c r="O6" s="772" t="s">
        <v>722</v>
      </c>
      <c r="P6" s="305">
        <v>250</v>
      </c>
      <c r="Q6" s="803">
        <v>13507</v>
      </c>
      <c r="R6" s="25">
        <f>ROUND(P6*Q6,0)</f>
        <v>3376750</v>
      </c>
      <c r="S6" s="448" t="s">
        <v>373</v>
      </c>
      <c r="T6" s="771">
        <v>41276</v>
      </c>
      <c r="U6" s="803">
        <v>25</v>
      </c>
      <c r="V6" s="803">
        <v>25000</v>
      </c>
      <c r="W6" s="25">
        <f>U6*V6</f>
        <v>625000</v>
      </c>
    </row>
    <row r="7" spans="1:25" ht="12.75" customHeight="1">
      <c r="A7" s="757">
        <f t="shared" ref="A7:A54" si="2">IF(B7&lt;&gt;"",ROW()-5,"")</f>
        <v>2</v>
      </c>
      <c r="B7" s="297" t="s">
        <v>723</v>
      </c>
      <c r="C7" s="25">
        <f t="shared" ref="C7:C49" si="3">R7</f>
        <v>1080560</v>
      </c>
      <c r="D7" s="758">
        <f t="shared" si="0"/>
        <v>239098.68995633186</v>
      </c>
      <c r="E7" s="758">
        <f t="shared" si="0"/>
        <v>17399.650655021833</v>
      </c>
      <c r="F7" s="758">
        <f t="shared" si="0"/>
        <v>102714.41048034935</v>
      </c>
      <c r="G7" s="758">
        <f t="shared" si="0"/>
        <v>194454.14847161571</v>
      </c>
      <c r="H7" s="25">
        <f t="shared" si="1"/>
        <v>1634226.8995633188</v>
      </c>
      <c r="I7" s="758">
        <v>305</v>
      </c>
      <c r="J7" s="758">
        <f t="shared" ref="J7:J49" si="4">IF(I7&lt;&gt;"",H7/I7,"")</f>
        <v>5358.1209821748162</v>
      </c>
      <c r="K7" s="666"/>
      <c r="L7" s="843" t="s">
        <v>1185</v>
      </c>
      <c r="M7" s="771">
        <f>N7-1</f>
        <v>41275</v>
      </c>
      <c r="N7" s="773">
        <v>41276</v>
      </c>
      <c r="O7" s="774" t="s">
        <v>722</v>
      </c>
      <c r="P7" s="305">
        <v>80</v>
      </c>
      <c r="Q7" s="803">
        <v>13507</v>
      </c>
      <c r="R7" s="8">
        <f t="shared" ref="R7:R54" si="5">ROUND(P7*Q7,0)</f>
        <v>1080560</v>
      </c>
      <c r="S7" s="449" t="s">
        <v>346</v>
      </c>
      <c r="T7" s="771">
        <v>41276</v>
      </c>
      <c r="U7" s="801">
        <v>24</v>
      </c>
      <c r="V7" s="801">
        <v>42000</v>
      </c>
      <c r="W7" s="8">
        <f t="shared" ref="W7" si="6">U7*V7</f>
        <v>1008000</v>
      </c>
    </row>
    <row r="8" spans="1:25" ht="12.75" customHeight="1">
      <c r="A8" s="757">
        <f t="shared" si="2"/>
        <v>3</v>
      </c>
      <c r="B8" s="297" t="s">
        <v>725</v>
      </c>
      <c r="C8" s="25">
        <f t="shared" si="3"/>
        <v>4337550</v>
      </c>
      <c r="D8" s="758">
        <f t="shared" si="0"/>
        <v>376286.46288209606</v>
      </c>
      <c r="E8" s="758">
        <f t="shared" si="0"/>
        <v>27383.056768558952</v>
      </c>
      <c r="F8" s="758">
        <f t="shared" si="0"/>
        <v>161648.90829694323</v>
      </c>
      <c r="G8" s="758">
        <f t="shared" si="0"/>
        <v>306026.20087336242</v>
      </c>
      <c r="H8" s="25">
        <f t="shared" si="1"/>
        <v>5208894.6288209613</v>
      </c>
      <c r="I8" s="758">
        <v>480</v>
      </c>
      <c r="J8" s="758">
        <f t="shared" si="4"/>
        <v>10851.863810043669</v>
      </c>
      <c r="K8" s="666"/>
      <c r="L8" s="843" t="s">
        <v>1186</v>
      </c>
      <c r="M8" s="773">
        <f>N8-3</f>
        <v>41279</v>
      </c>
      <c r="N8" s="889">
        <v>41282</v>
      </c>
      <c r="O8" s="776" t="s">
        <v>726</v>
      </c>
      <c r="P8" s="818">
        <v>510</v>
      </c>
      <c r="Q8" s="802">
        <v>8505</v>
      </c>
      <c r="R8" s="8">
        <f t="shared" si="5"/>
        <v>4337550</v>
      </c>
      <c r="S8" s="509"/>
      <c r="T8" s="773"/>
      <c r="U8" s="802"/>
      <c r="V8" s="802"/>
      <c r="W8" s="8"/>
    </row>
    <row r="9" spans="1:25" ht="12.75" customHeight="1">
      <c r="A9" s="757">
        <f t="shared" si="2"/>
        <v>4</v>
      </c>
      <c r="B9" s="297" t="s">
        <v>728</v>
      </c>
      <c r="C9" s="25">
        <f t="shared" si="3"/>
        <v>1018000</v>
      </c>
      <c r="D9" s="758">
        <f t="shared" si="0"/>
        <v>156002.096069869</v>
      </c>
      <c r="E9" s="758">
        <f t="shared" si="0"/>
        <v>11352.558951965066</v>
      </c>
      <c r="F9" s="758">
        <f t="shared" si="0"/>
        <v>67016.943231441051</v>
      </c>
      <c r="G9" s="758">
        <f t="shared" si="0"/>
        <v>126873.36244541484</v>
      </c>
      <c r="H9" s="25">
        <f t="shared" si="1"/>
        <v>1379244.96069869</v>
      </c>
      <c r="I9" s="758">
        <v>199</v>
      </c>
      <c r="J9" s="758">
        <f t="shared" si="4"/>
        <v>6930.8791994909043</v>
      </c>
      <c r="K9" s="666"/>
      <c r="L9" s="843" t="s">
        <v>1276</v>
      </c>
      <c r="M9" s="773">
        <f t="shared" ref="M9:M54" si="7">N9-3</f>
        <v>41279</v>
      </c>
      <c r="N9" s="889">
        <v>41282</v>
      </c>
      <c r="O9" s="776" t="s">
        <v>726</v>
      </c>
      <c r="P9" s="818">
        <v>100</v>
      </c>
      <c r="Q9" s="802">
        <v>10180</v>
      </c>
      <c r="R9" s="8">
        <f t="shared" si="5"/>
        <v>1018000</v>
      </c>
      <c r="S9" s="509"/>
      <c r="T9" s="773"/>
      <c r="U9" s="802"/>
      <c r="V9" s="802"/>
      <c r="W9" s="8"/>
    </row>
    <row r="10" spans="1:25" ht="12.75" customHeight="1">
      <c r="A10" s="757">
        <f t="shared" si="2"/>
        <v>5</v>
      </c>
      <c r="B10" s="297" t="s">
        <v>729</v>
      </c>
      <c r="C10" s="25">
        <f t="shared" si="3"/>
        <v>6249880</v>
      </c>
      <c r="D10" s="758">
        <f t="shared" si="0"/>
        <v>777658.68995633186</v>
      </c>
      <c r="E10" s="758">
        <f t="shared" si="0"/>
        <v>56591.650655021833</v>
      </c>
      <c r="F10" s="758">
        <f t="shared" si="0"/>
        <v>334074.41048034938</v>
      </c>
      <c r="G10" s="758">
        <f t="shared" si="0"/>
        <v>632454.14847161574</v>
      </c>
      <c r="H10" s="25">
        <f t="shared" si="1"/>
        <v>8050658.8995633181</v>
      </c>
      <c r="I10" s="758">
        <v>992</v>
      </c>
      <c r="J10" s="758">
        <f t="shared" si="4"/>
        <v>8115.5835681081835</v>
      </c>
      <c r="K10" s="666"/>
      <c r="L10" s="843" t="s">
        <v>1244</v>
      </c>
      <c r="M10" s="773">
        <f t="shared" si="7"/>
        <v>41281</v>
      </c>
      <c r="N10" s="889">
        <v>41284</v>
      </c>
      <c r="O10" s="776" t="s">
        <v>730</v>
      </c>
      <c r="P10" s="818">
        <v>280</v>
      </c>
      <c r="Q10" s="802">
        <v>22321</v>
      </c>
      <c r="R10" s="8">
        <f t="shared" si="5"/>
        <v>6249880</v>
      </c>
      <c r="S10" s="509"/>
      <c r="T10" s="773"/>
      <c r="U10" s="802"/>
      <c r="V10" s="802"/>
      <c r="W10" s="8"/>
    </row>
    <row r="11" spans="1:25" ht="12.75" customHeight="1">
      <c r="A11" s="757">
        <f t="shared" si="2"/>
        <v>6</v>
      </c>
      <c r="B11" s="297" t="s">
        <v>731</v>
      </c>
      <c r="C11" s="25">
        <f t="shared" si="3"/>
        <v>1018000</v>
      </c>
      <c r="D11" s="758">
        <f t="shared" si="0"/>
        <v>158353.8864628821</v>
      </c>
      <c r="E11" s="758">
        <f t="shared" si="0"/>
        <v>11523.703056768558</v>
      </c>
      <c r="F11" s="758">
        <f t="shared" si="0"/>
        <v>68027.24890829694</v>
      </c>
      <c r="G11" s="758">
        <f t="shared" si="0"/>
        <v>128786.02620087336</v>
      </c>
      <c r="H11" s="25">
        <f t="shared" si="1"/>
        <v>1384690.8646288209</v>
      </c>
      <c r="I11" s="758">
        <v>202</v>
      </c>
      <c r="J11" s="758">
        <f t="shared" si="4"/>
        <v>6854.9052704397072</v>
      </c>
      <c r="K11" s="666"/>
      <c r="L11" s="843" t="s">
        <v>1276</v>
      </c>
      <c r="M11" s="773">
        <f t="shared" si="7"/>
        <v>41282</v>
      </c>
      <c r="N11" s="889">
        <v>41285</v>
      </c>
      <c r="O11" s="776" t="s">
        <v>732</v>
      </c>
      <c r="P11" s="818">
        <v>100</v>
      </c>
      <c r="Q11" s="802">
        <v>10180</v>
      </c>
      <c r="R11" s="8">
        <f t="shared" si="5"/>
        <v>1018000</v>
      </c>
      <c r="S11" s="509"/>
      <c r="T11" s="773"/>
      <c r="U11" s="802"/>
      <c r="V11" s="802"/>
      <c r="W11" s="8"/>
    </row>
    <row r="12" spans="1:25" ht="12.75" customHeight="1">
      <c r="A12" s="757">
        <f t="shared" si="2"/>
        <v>7</v>
      </c>
      <c r="B12" s="297" t="s">
        <v>733</v>
      </c>
      <c r="C12" s="25">
        <f t="shared" si="3"/>
        <v>1281400</v>
      </c>
      <c r="D12" s="758">
        <f t="shared" si="0"/>
        <v>159921.74672489084</v>
      </c>
      <c r="E12" s="758">
        <f t="shared" si="0"/>
        <v>11637.799126637554</v>
      </c>
      <c r="F12" s="758">
        <f t="shared" si="0"/>
        <v>68700.786026200876</v>
      </c>
      <c r="G12" s="758">
        <f t="shared" si="0"/>
        <v>130061.13537117903</v>
      </c>
      <c r="H12" s="25">
        <f t="shared" si="1"/>
        <v>1651721.4672489085</v>
      </c>
      <c r="I12" s="758">
        <v>204</v>
      </c>
      <c r="J12" s="758">
        <f t="shared" si="4"/>
        <v>8096.6738590632767</v>
      </c>
      <c r="K12" s="666"/>
      <c r="L12" s="843" t="s">
        <v>1215</v>
      </c>
      <c r="M12" s="773">
        <f t="shared" si="7"/>
        <v>41282</v>
      </c>
      <c r="N12" s="889">
        <v>41285</v>
      </c>
      <c r="O12" s="776" t="s">
        <v>732</v>
      </c>
      <c r="P12" s="818">
        <v>100</v>
      </c>
      <c r="Q12" s="802">
        <v>12814</v>
      </c>
      <c r="R12" s="8">
        <f t="shared" si="5"/>
        <v>1281400</v>
      </c>
      <c r="S12" s="509"/>
      <c r="T12" s="773"/>
      <c r="U12" s="802"/>
      <c r="V12" s="802"/>
      <c r="W12" s="8"/>
    </row>
    <row r="13" spans="1:25" ht="12.75" customHeight="1">
      <c r="A13" s="757">
        <f t="shared" si="2"/>
        <v>8</v>
      </c>
      <c r="B13" s="297" t="s">
        <v>734</v>
      </c>
      <c r="C13" s="25">
        <f t="shared" si="3"/>
        <v>53408</v>
      </c>
      <c r="D13" s="758">
        <f t="shared" si="0"/>
        <v>399804.36681222706</v>
      </c>
      <c r="E13" s="758">
        <f t="shared" si="0"/>
        <v>29094.497816593885</v>
      </c>
      <c r="F13" s="758">
        <f t="shared" si="0"/>
        <v>171751.96506550218</v>
      </c>
      <c r="G13" s="758">
        <f t="shared" si="0"/>
        <v>325152.8384279476</v>
      </c>
      <c r="H13" s="25">
        <f t="shared" si="1"/>
        <v>979211.66812227073</v>
      </c>
      <c r="I13" s="758">
        <v>510</v>
      </c>
      <c r="J13" s="758">
        <f t="shared" si="4"/>
        <v>1920.0228786711191</v>
      </c>
      <c r="K13" s="666"/>
      <c r="L13" s="843" t="s">
        <v>1183</v>
      </c>
      <c r="M13" s="773">
        <f t="shared" si="7"/>
        <v>41282</v>
      </c>
      <c r="N13" s="889">
        <v>41285</v>
      </c>
      <c r="O13" s="776" t="s">
        <v>732</v>
      </c>
      <c r="P13" s="818">
        <v>5</v>
      </c>
      <c r="Q13" s="802">
        <v>10681.539156626506</v>
      </c>
      <c r="R13" s="8">
        <f t="shared" si="5"/>
        <v>53408</v>
      </c>
      <c r="S13" s="509"/>
      <c r="T13" s="773"/>
      <c r="U13" s="802"/>
      <c r="V13" s="802"/>
      <c r="W13" s="8"/>
    </row>
    <row r="14" spans="1:25" ht="12.75" customHeight="1">
      <c r="A14" s="757">
        <f t="shared" si="2"/>
        <v>9</v>
      </c>
      <c r="B14" s="297" t="s">
        <v>735</v>
      </c>
      <c r="C14" s="25">
        <f t="shared" si="3"/>
        <v>53408</v>
      </c>
      <c r="D14" s="758">
        <f t="shared" si="0"/>
        <v>329250.65502183407</v>
      </c>
      <c r="E14" s="758">
        <f t="shared" si="0"/>
        <v>23960.17467248908</v>
      </c>
      <c r="F14" s="758">
        <f t="shared" si="0"/>
        <v>141442.79475982534</v>
      </c>
      <c r="G14" s="758">
        <f t="shared" si="0"/>
        <v>267772.92576419213</v>
      </c>
      <c r="H14" s="25">
        <f t="shared" si="1"/>
        <v>815834.55021834059</v>
      </c>
      <c r="I14" s="758">
        <v>420</v>
      </c>
      <c r="J14" s="758">
        <f t="shared" si="4"/>
        <v>1942.4632148055728</v>
      </c>
      <c r="K14" s="666"/>
      <c r="L14" s="843" t="s">
        <v>1183</v>
      </c>
      <c r="M14" s="773">
        <f t="shared" si="7"/>
        <v>41282</v>
      </c>
      <c r="N14" s="889">
        <v>41285</v>
      </c>
      <c r="O14" s="776" t="s">
        <v>732</v>
      </c>
      <c r="P14" s="818">
        <v>5</v>
      </c>
      <c r="Q14" s="802">
        <v>10681.539156626506</v>
      </c>
      <c r="R14" s="8">
        <f t="shared" si="5"/>
        <v>53408</v>
      </c>
      <c r="S14" s="509"/>
      <c r="T14" s="773"/>
      <c r="U14" s="802"/>
      <c r="V14" s="802"/>
      <c r="W14" s="8"/>
    </row>
    <row r="15" spans="1:25" ht="12.75" customHeight="1">
      <c r="A15" s="757">
        <f t="shared" si="2"/>
        <v>10</v>
      </c>
      <c r="B15" s="297" t="s">
        <v>736</v>
      </c>
      <c r="C15" s="25">
        <f t="shared" si="3"/>
        <v>53408</v>
      </c>
      <c r="D15" s="758">
        <f t="shared" si="0"/>
        <v>156786.02620087337</v>
      </c>
      <c r="E15" s="758">
        <f t="shared" si="0"/>
        <v>11409.606986899562</v>
      </c>
      <c r="F15" s="758">
        <f t="shared" si="0"/>
        <v>67353.711790393019</v>
      </c>
      <c r="G15" s="758">
        <f t="shared" si="0"/>
        <v>127510.91703056768</v>
      </c>
      <c r="H15" s="25">
        <f t="shared" si="1"/>
        <v>416468.26200873358</v>
      </c>
      <c r="I15" s="758">
        <v>200</v>
      </c>
      <c r="J15" s="758">
        <f t="shared" si="4"/>
        <v>2082.3413100436678</v>
      </c>
      <c r="K15" s="666"/>
      <c r="L15" s="843" t="s">
        <v>1183</v>
      </c>
      <c r="M15" s="773">
        <f t="shared" si="7"/>
        <v>41282</v>
      </c>
      <c r="N15" s="889">
        <v>41285</v>
      </c>
      <c r="O15" s="776" t="s">
        <v>732</v>
      </c>
      <c r="P15" s="818">
        <v>5</v>
      </c>
      <c r="Q15" s="802">
        <v>10681.539156626506</v>
      </c>
      <c r="R15" s="8">
        <f t="shared" si="5"/>
        <v>53408</v>
      </c>
      <c r="S15" s="509"/>
      <c r="T15" s="773"/>
      <c r="U15" s="802"/>
      <c r="V15" s="802"/>
      <c r="W15" s="8"/>
    </row>
    <row r="16" spans="1:25" ht="12.75" customHeight="1">
      <c r="A16" s="757">
        <f t="shared" si="2"/>
        <v>11</v>
      </c>
      <c r="B16" s="297" t="s">
        <v>737</v>
      </c>
      <c r="C16" s="25">
        <f t="shared" si="3"/>
        <v>53408</v>
      </c>
      <c r="D16" s="758">
        <f t="shared" si="0"/>
        <v>329250.65502183407</v>
      </c>
      <c r="E16" s="758">
        <f t="shared" si="0"/>
        <v>23960.17467248908</v>
      </c>
      <c r="F16" s="758">
        <f t="shared" si="0"/>
        <v>141442.79475982534</v>
      </c>
      <c r="G16" s="758">
        <f t="shared" si="0"/>
        <v>267772.92576419213</v>
      </c>
      <c r="H16" s="25">
        <f t="shared" si="1"/>
        <v>815834.55021834059</v>
      </c>
      <c r="I16" s="758">
        <v>420</v>
      </c>
      <c r="J16" s="758">
        <f t="shared" si="4"/>
        <v>1942.4632148055728</v>
      </c>
      <c r="K16" s="666"/>
      <c r="L16" s="843" t="s">
        <v>1183</v>
      </c>
      <c r="M16" s="773">
        <f t="shared" si="7"/>
        <v>41282</v>
      </c>
      <c r="N16" s="889">
        <v>41285</v>
      </c>
      <c r="O16" s="776" t="s">
        <v>732</v>
      </c>
      <c r="P16" s="818">
        <v>5</v>
      </c>
      <c r="Q16" s="802">
        <v>10681.539156626506</v>
      </c>
      <c r="R16" s="8">
        <f t="shared" si="5"/>
        <v>53408</v>
      </c>
      <c r="S16" s="509"/>
      <c r="T16" s="773"/>
      <c r="U16" s="802"/>
      <c r="V16" s="802"/>
      <c r="W16" s="8"/>
    </row>
    <row r="17" spans="1:23">
      <c r="A17" s="757">
        <f t="shared" si="2"/>
        <v>12</v>
      </c>
      <c r="B17" s="297" t="s">
        <v>738</v>
      </c>
      <c r="C17" s="25">
        <f t="shared" si="3"/>
        <v>453600</v>
      </c>
      <c r="D17" s="758">
        <f t="shared" si="0"/>
        <v>40764.366812227076</v>
      </c>
      <c r="E17" s="758">
        <f t="shared" si="0"/>
        <v>2966.4978165938865</v>
      </c>
      <c r="F17" s="758">
        <f t="shared" si="0"/>
        <v>17511.965065502183</v>
      </c>
      <c r="G17" s="758">
        <f t="shared" si="0"/>
        <v>33152.838427947594</v>
      </c>
      <c r="H17" s="25">
        <f t="shared" si="1"/>
        <v>547995.66812227073</v>
      </c>
      <c r="I17" s="758">
        <v>52</v>
      </c>
      <c r="J17" s="758">
        <f t="shared" si="4"/>
        <v>10538.378233120591</v>
      </c>
      <c r="K17" s="666"/>
      <c r="L17" s="843" t="s">
        <v>1188</v>
      </c>
      <c r="M17" s="773">
        <f t="shared" si="7"/>
        <v>41282</v>
      </c>
      <c r="N17" s="889">
        <v>41285</v>
      </c>
      <c r="O17" s="776" t="s">
        <v>732</v>
      </c>
      <c r="P17" s="818">
        <v>30</v>
      </c>
      <c r="Q17" s="802">
        <v>15120</v>
      </c>
      <c r="R17" s="8">
        <f t="shared" si="5"/>
        <v>453600</v>
      </c>
      <c r="S17" s="509"/>
      <c r="T17" s="773"/>
      <c r="U17" s="802"/>
      <c r="V17" s="802"/>
      <c r="W17" s="8"/>
    </row>
    <row r="18" spans="1:23" ht="12.75" customHeight="1">
      <c r="A18" s="757">
        <f t="shared" si="2"/>
        <v>13</v>
      </c>
      <c r="B18" s="297" t="s">
        <v>739</v>
      </c>
      <c r="C18" s="25">
        <f t="shared" si="3"/>
        <v>4525500</v>
      </c>
      <c r="D18" s="758">
        <f t="shared" si="0"/>
        <v>642822.70742358081</v>
      </c>
      <c r="E18" s="758">
        <f t="shared" si="0"/>
        <v>46779.388646288207</v>
      </c>
      <c r="F18" s="758">
        <f t="shared" si="0"/>
        <v>276150.21834061138</v>
      </c>
      <c r="G18" s="758">
        <f t="shared" si="0"/>
        <v>522794.75982532749</v>
      </c>
      <c r="H18" s="25">
        <f t="shared" si="1"/>
        <v>6014047.0742358072</v>
      </c>
      <c r="I18" s="758">
        <v>820</v>
      </c>
      <c r="J18" s="758">
        <f t="shared" si="4"/>
        <v>7334.2037490680577</v>
      </c>
      <c r="K18" s="666"/>
      <c r="L18" s="843" t="s">
        <v>1223</v>
      </c>
      <c r="M18" s="773">
        <f t="shared" si="7"/>
        <v>41285</v>
      </c>
      <c r="N18" s="889">
        <v>41288</v>
      </c>
      <c r="O18" s="776" t="s">
        <v>740</v>
      </c>
      <c r="P18" s="818">
        <v>420</v>
      </c>
      <c r="Q18" s="802">
        <v>10775</v>
      </c>
      <c r="R18" s="8">
        <f t="shared" si="5"/>
        <v>4525500</v>
      </c>
      <c r="S18" s="509"/>
      <c r="T18" s="773"/>
      <c r="U18" s="802"/>
      <c r="V18" s="802"/>
      <c r="W18" s="8"/>
    </row>
    <row r="19" spans="1:23" ht="12.75" customHeight="1">
      <c r="A19" s="757">
        <f t="shared" si="2"/>
        <v>14</v>
      </c>
      <c r="B19" s="297" t="s">
        <v>742</v>
      </c>
      <c r="C19" s="25">
        <f t="shared" si="3"/>
        <v>6332700</v>
      </c>
      <c r="D19" s="758">
        <f t="shared" si="0"/>
        <v>214796.8558951965</v>
      </c>
      <c r="E19" s="758">
        <f t="shared" si="0"/>
        <v>15631.161572052401</v>
      </c>
      <c r="F19" s="758">
        <f t="shared" si="0"/>
        <v>92274.585152838437</v>
      </c>
      <c r="G19" s="758">
        <f t="shared" si="0"/>
        <v>174689.95633187771</v>
      </c>
      <c r="H19" s="25">
        <f t="shared" si="1"/>
        <v>6830092.5589519646</v>
      </c>
      <c r="I19" s="758">
        <v>274</v>
      </c>
      <c r="J19" s="758">
        <f t="shared" si="4"/>
        <v>24927.345105664106</v>
      </c>
      <c r="K19" s="666"/>
      <c r="L19" s="843" t="s">
        <v>1251</v>
      </c>
      <c r="M19" s="773">
        <f t="shared" si="7"/>
        <v>41287</v>
      </c>
      <c r="N19" s="889">
        <v>41290</v>
      </c>
      <c r="O19" s="776" t="s">
        <v>743</v>
      </c>
      <c r="P19" s="818">
        <v>275</v>
      </c>
      <c r="Q19" s="802">
        <v>23028</v>
      </c>
      <c r="R19" s="8">
        <f t="shared" si="5"/>
        <v>6332700</v>
      </c>
      <c r="S19" s="509"/>
      <c r="T19" s="773"/>
      <c r="U19" s="802"/>
      <c r="V19" s="802"/>
      <c r="W19" s="8"/>
    </row>
    <row r="20" spans="1:23" ht="12.75" customHeight="1">
      <c r="A20" s="757">
        <f t="shared" si="2"/>
        <v>15</v>
      </c>
      <c r="B20" s="297" t="s">
        <v>745</v>
      </c>
      <c r="C20" s="25">
        <f t="shared" si="3"/>
        <v>2791440</v>
      </c>
      <c r="D20" s="758">
        <f t="shared" si="0"/>
        <v>88584.10480349345</v>
      </c>
      <c r="E20" s="758">
        <f t="shared" si="0"/>
        <v>6446.427947598253</v>
      </c>
      <c r="F20" s="758">
        <f t="shared" si="0"/>
        <v>38054.847161572055</v>
      </c>
      <c r="G20" s="758">
        <f t="shared" si="0"/>
        <v>72043.668122270741</v>
      </c>
      <c r="H20" s="25">
        <f t="shared" si="1"/>
        <v>2996569.0480349339</v>
      </c>
      <c r="I20" s="758">
        <v>113</v>
      </c>
      <c r="J20" s="758">
        <f t="shared" si="4"/>
        <v>26518.310159601184</v>
      </c>
      <c r="K20" s="666"/>
      <c r="L20" s="843" t="s">
        <v>1210</v>
      </c>
      <c r="M20" s="773">
        <f t="shared" si="7"/>
        <v>41289</v>
      </c>
      <c r="N20" s="889">
        <v>41292</v>
      </c>
      <c r="O20" s="776" t="s">
        <v>746</v>
      </c>
      <c r="P20" s="818">
        <v>120</v>
      </c>
      <c r="Q20" s="802">
        <v>23262</v>
      </c>
      <c r="R20" s="8">
        <f t="shared" si="5"/>
        <v>2791440</v>
      </c>
      <c r="S20" s="509"/>
      <c r="T20" s="773"/>
      <c r="U20" s="802"/>
      <c r="V20" s="802"/>
      <c r="W20" s="8"/>
    </row>
    <row r="21" spans="1:23" ht="12.75" customHeight="1">
      <c r="A21" s="757">
        <f t="shared" si="2"/>
        <v>16</v>
      </c>
      <c r="B21" s="297" t="s">
        <v>747</v>
      </c>
      <c r="C21" s="25">
        <f t="shared" si="3"/>
        <v>4478800</v>
      </c>
      <c r="D21" s="758">
        <f t="shared" si="0"/>
        <v>1034003.8427947598</v>
      </c>
      <c r="E21" s="758">
        <f t="shared" si="0"/>
        <v>75246.358078602614</v>
      </c>
      <c r="F21" s="758">
        <f t="shared" si="0"/>
        <v>444197.72925764194</v>
      </c>
      <c r="G21" s="758">
        <f t="shared" si="0"/>
        <v>840934.49781659385</v>
      </c>
      <c r="H21" s="25">
        <f t="shared" si="1"/>
        <v>6873182.4279475994</v>
      </c>
      <c r="I21" s="758">
        <v>1319</v>
      </c>
      <c r="J21" s="758">
        <f t="shared" si="4"/>
        <v>5210.9040393840787</v>
      </c>
      <c r="K21" s="666"/>
      <c r="L21" s="189" t="s">
        <v>681</v>
      </c>
      <c r="M21" s="773">
        <f t="shared" si="7"/>
        <v>41289</v>
      </c>
      <c r="N21" s="889">
        <v>41292</v>
      </c>
      <c r="O21" s="776" t="s">
        <v>748</v>
      </c>
      <c r="P21" s="818">
        <v>400</v>
      </c>
      <c r="Q21" s="802">
        <v>11197</v>
      </c>
      <c r="R21" s="8">
        <f t="shared" si="5"/>
        <v>4478800</v>
      </c>
      <c r="S21" s="509"/>
      <c r="T21" s="773"/>
      <c r="U21" s="802"/>
      <c r="V21" s="802"/>
      <c r="W21" s="8"/>
    </row>
    <row r="22" spans="1:23" ht="12.75" customHeight="1">
      <c r="A22" s="757">
        <f t="shared" si="2"/>
        <v>17</v>
      </c>
      <c r="B22" s="297" t="s">
        <v>749</v>
      </c>
      <c r="C22" s="25">
        <f t="shared" si="3"/>
        <v>1188900</v>
      </c>
      <c r="D22" s="758">
        <f t="shared" si="0"/>
        <v>239882.62008733622</v>
      </c>
      <c r="E22" s="758">
        <f t="shared" si="0"/>
        <v>17456.698689956331</v>
      </c>
      <c r="F22" s="758">
        <f t="shared" si="0"/>
        <v>103051.17903930131</v>
      </c>
      <c r="G22" s="758">
        <f t="shared" si="0"/>
        <v>195091.70305676854</v>
      </c>
      <c r="H22" s="25">
        <f t="shared" si="1"/>
        <v>1744382.2008733624</v>
      </c>
      <c r="I22" s="758">
        <v>306</v>
      </c>
      <c r="J22" s="758">
        <f t="shared" si="4"/>
        <v>5700.5954276907269</v>
      </c>
      <c r="K22" s="666"/>
      <c r="L22" s="843" t="s">
        <v>1201</v>
      </c>
      <c r="M22" s="773">
        <f t="shared" si="7"/>
        <v>41289</v>
      </c>
      <c r="N22" s="889">
        <v>41292</v>
      </c>
      <c r="O22" s="776" t="s">
        <v>748</v>
      </c>
      <c r="P22" s="818">
        <v>100</v>
      </c>
      <c r="Q22" s="802">
        <v>11889</v>
      </c>
      <c r="R22" s="8">
        <f t="shared" si="5"/>
        <v>1188900</v>
      </c>
      <c r="S22" s="509"/>
      <c r="T22" s="773"/>
      <c r="U22" s="802"/>
      <c r="V22" s="802"/>
      <c r="W22" s="8"/>
    </row>
    <row r="23" spans="1:23" ht="12.75" customHeight="1">
      <c r="A23" s="757">
        <f t="shared" si="2"/>
        <v>18</v>
      </c>
      <c r="B23" s="297" t="s">
        <v>750</v>
      </c>
      <c r="C23" s="25">
        <f t="shared" si="3"/>
        <v>3480534</v>
      </c>
      <c r="D23" s="758">
        <f t="shared" si="0"/>
        <v>230475.45851528383</v>
      </c>
      <c r="E23" s="758">
        <f t="shared" si="0"/>
        <v>16772.122270742359</v>
      </c>
      <c r="F23" s="758">
        <f t="shared" si="0"/>
        <v>99009.956331877736</v>
      </c>
      <c r="G23" s="758">
        <f t="shared" si="0"/>
        <v>187441.0480349345</v>
      </c>
      <c r="H23" s="25">
        <f t="shared" si="1"/>
        <v>4014232.5851528384</v>
      </c>
      <c r="I23" s="758">
        <v>294</v>
      </c>
      <c r="J23" s="758">
        <f t="shared" si="4"/>
        <v>13653.852330451831</v>
      </c>
      <c r="K23" s="666"/>
      <c r="L23" s="843" t="s">
        <v>1202</v>
      </c>
      <c r="M23" s="773">
        <f t="shared" si="7"/>
        <v>41290</v>
      </c>
      <c r="N23" s="889">
        <v>41293</v>
      </c>
      <c r="O23" s="776" t="s">
        <v>751</v>
      </c>
      <c r="P23" s="818">
        <v>175</v>
      </c>
      <c r="Q23" s="802">
        <v>19888.768115942028</v>
      </c>
      <c r="R23" s="8">
        <f t="shared" si="5"/>
        <v>3480534</v>
      </c>
      <c r="S23" s="509"/>
      <c r="T23" s="773"/>
      <c r="U23" s="802"/>
      <c r="V23" s="802"/>
      <c r="W23" s="8"/>
    </row>
    <row r="24" spans="1:23" ht="12.75" customHeight="1">
      <c r="A24" s="757">
        <f t="shared" si="2"/>
        <v>19</v>
      </c>
      <c r="B24" s="297" t="s">
        <v>752</v>
      </c>
      <c r="C24" s="25">
        <f t="shared" si="3"/>
        <v>678300</v>
      </c>
      <c r="D24" s="758">
        <f t="shared" si="0"/>
        <v>78393.013100436685</v>
      </c>
      <c r="E24" s="758">
        <f t="shared" si="0"/>
        <v>5704.8034934497809</v>
      </c>
      <c r="F24" s="758">
        <f t="shared" si="0"/>
        <v>33676.85589519651</v>
      </c>
      <c r="G24" s="758">
        <f t="shared" si="0"/>
        <v>63755.458515283841</v>
      </c>
      <c r="H24" s="25">
        <f t="shared" si="1"/>
        <v>859830.13100436691</v>
      </c>
      <c r="I24" s="758">
        <v>100</v>
      </c>
      <c r="J24" s="758">
        <f t="shared" si="4"/>
        <v>8598.3013100436692</v>
      </c>
      <c r="K24" s="666"/>
      <c r="L24" s="843" t="s">
        <v>1189</v>
      </c>
      <c r="M24" s="773">
        <f t="shared" si="7"/>
        <v>41290</v>
      </c>
      <c r="N24" s="889">
        <v>41293</v>
      </c>
      <c r="O24" s="776" t="s">
        <v>751</v>
      </c>
      <c r="P24" s="818">
        <v>100</v>
      </c>
      <c r="Q24" s="802">
        <v>6783</v>
      </c>
      <c r="R24" s="8">
        <f t="shared" si="5"/>
        <v>678300</v>
      </c>
      <c r="S24" s="509"/>
      <c r="T24" s="773"/>
      <c r="U24" s="802"/>
      <c r="V24" s="802"/>
      <c r="W24" s="8"/>
    </row>
    <row r="25" spans="1:23" ht="12.75" customHeight="1">
      <c r="A25" s="757">
        <f t="shared" si="2"/>
        <v>20</v>
      </c>
      <c r="B25" s="297" t="s">
        <v>753</v>
      </c>
      <c r="C25" s="25">
        <f t="shared" si="3"/>
        <v>5568855</v>
      </c>
      <c r="D25" s="758">
        <f t="shared" si="0"/>
        <v>387261.4847161572</v>
      </c>
      <c r="E25" s="758">
        <f t="shared" si="0"/>
        <v>28181.72925764192</v>
      </c>
      <c r="F25" s="758">
        <f t="shared" si="0"/>
        <v>166363.66812227076</v>
      </c>
      <c r="G25" s="758">
        <f t="shared" si="0"/>
        <v>314951.96506550215</v>
      </c>
      <c r="H25" s="25">
        <f t="shared" si="1"/>
        <v>6465613.8471615734</v>
      </c>
      <c r="I25" s="758">
        <v>494</v>
      </c>
      <c r="J25" s="758">
        <f t="shared" si="4"/>
        <v>13088.287140003185</v>
      </c>
      <c r="K25" s="666"/>
      <c r="L25" s="843" t="s">
        <v>1202</v>
      </c>
      <c r="M25" s="773">
        <f t="shared" si="7"/>
        <v>41290</v>
      </c>
      <c r="N25" s="889">
        <v>41293</v>
      </c>
      <c r="O25" s="776" t="s">
        <v>751</v>
      </c>
      <c r="P25" s="818">
        <v>280</v>
      </c>
      <c r="Q25" s="802">
        <v>19888.768115942028</v>
      </c>
      <c r="R25" s="8">
        <f t="shared" si="5"/>
        <v>5568855</v>
      </c>
      <c r="S25" s="509"/>
      <c r="T25" s="773"/>
      <c r="U25" s="802"/>
      <c r="V25" s="802"/>
      <c r="W25" s="8"/>
    </row>
    <row r="26" spans="1:23" ht="12.75" customHeight="1">
      <c r="A26" s="757">
        <f t="shared" si="2"/>
        <v>21</v>
      </c>
      <c r="B26" s="297" t="s">
        <v>754</v>
      </c>
      <c r="C26" s="25">
        <f t="shared" si="3"/>
        <v>3090600</v>
      </c>
      <c r="D26" s="758">
        <f t="shared" ref="D26:G45" si="8">IF($I$56&lt;&gt;0,D$56/$I$56*$I26,0)</f>
        <v>222636.15720524016</v>
      </c>
      <c r="E26" s="758">
        <f t="shared" si="8"/>
        <v>16201.641921397379</v>
      </c>
      <c r="F26" s="758">
        <f t="shared" si="8"/>
        <v>95642.270742358087</v>
      </c>
      <c r="G26" s="758">
        <f t="shared" si="8"/>
        <v>181065.50218340612</v>
      </c>
      <c r="H26" s="25">
        <f t="shared" si="1"/>
        <v>3606145.572052402</v>
      </c>
      <c r="I26" s="758">
        <v>284</v>
      </c>
      <c r="J26" s="758">
        <f t="shared" si="4"/>
        <v>12697.695676240852</v>
      </c>
      <c r="K26" s="666"/>
      <c r="L26" s="843" t="s">
        <v>1219</v>
      </c>
      <c r="M26" s="773">
        <f t="shared" si="7"/>
        <v>41290</v>
      </c>
      <c r="N26" s="889">
        <v>41293</v>
      </c>
      <c r="O26" s="776" t="s">
        <v>751</v>
      </c>
      <c r="P26" s="818">
        <v>300</v>
      </c>
      <c r="Q26" s="802">
        <v>10302</v>
      </c>
      <c r="R26" s="8">
        <f t="shared" si="5"/>
        <v>3090600</v>
      </c>
      <c r="S26" s="509"/>
      <c r="T26" s="773"/>
      <c r="U26" s="802"/>
      <c r="V26" s="802"/>
      <c r="W26" s="8"/>
    </row>
    <row r="27" spans="1:23" ht="12.75" customHeight="1">
      <c r="A27" s="757">
        <f t="shared" si="2"/>
        <v>22</v>
      </c>
      <c r="B27" s="297" t="s">
        <v>755</v>
      </c>
      <c r="C27" s="25">
        <f t="shared" si="3"/>
        <v>3825125</v>
      </c>
      <c r="D27" s="758">
        <f t="shared" si="8"/>
        <v>554238.60262008733</v>
      </c>
      <c r="E27" s="758">
        <f t="shared" si="8"/>
        <v>40332.960698689953</v>
      </c>
      <c r="F27" s="758">
        <f t="shared" si="8"/>
        <v>238095.3711790393</v>
      </c>
      <c r="G27" s="758">
        <f t="shared" si="8"/>
        <v>450751.09170305677</v>
      </c>
      <c r="H27" s="25">
        <f t="shared" si="1"/>
        <v>5108543.0262008738</v>
      </c>
      <c r="I27" s="758">
        <v>707</v>
      </c>
      <c r="J27" s="758">
        <f t="shared" si="4"/>
        <v>7225.6619889687045</v>
      </c>
      <c r="K27" s="666"/>
      <c r="L27" s="843" t="s">
        <v>1223</v>
      </c>
      <c r="M27" s="773">
        <f t="shared" si="7"/>
        <v>41294</v>
      </c>
      <c r="N27" s="889">
        <v>41297</v>
      </c>
      <c r="O27" s="776" t="s">
        <v>756</v>
      </c>
      <c r="P27" s="818">
        <v>355</v>
      </c>
      <c r="Q27" s="802">
        <v>10775</v>
      </c>
      <c r="R27" s="8">
        <f t="shared" si="5"/>
        <v>3825125</v>
      </c>
      <c r="S27" s="509"/>
      <c r="T27" s="773"/>
      <c r="U27" s="802"/>
      <c r="V27" s="802"/>
      <c r="W27" s="8"/>
    </row>
    <row r="28" spans="1:23" ht="12.75" customHeight="1">
      <c r="A28" s="757">
        <f t="shared" si="2"/>
        <v>23</v>
      </c>
      <c r="B28" s="297" t="s">
        <v>739</v>
      </c>
      <c r="C28" s="25">
        <f t="shared" si="3"/>
        <v>3340250</v>
      </c>
      <c r="D28" s="758">
        <f t="shared" si="8"/>
        <v>464870.56768558949</v>
      </c>
      <c r="E28" s="758">
        <f t="shared" si="8"/>
        <v>33829.484716157203</v>
      </c>
      <c r="F28" s="758">
        <f t="shared" si="8"/>
        <v>199703.75545851528</v>
      </c>
      <c r="G28" s="758">
        <f t="shared" si="8"/>
        <v>378069.86899563315</v>
      </c>
      <c r="H28" s="25">
        <f t="shared" si="1"/>
        <v>4416723.6768558957</v>
      </c>
      <c r="I28" s="758">
        <v>593</v>
      </c>
      <c r="J28" s="758">
        <f t="shared" si="4"/>
        <v>7448.1006355074123</v>
      </c>
      <c r="K28" s="666"/>
      <c r="L28" s="843" t="s">
        <v>1223</v>
      </c>
      <c r="M28" s="773">
        <f t="shared" si="7"/>
        <v>41300</v>
      </c>
      <c r="N28" s="889">
        <v>41303</v>
      </c>
      <c r="O28" s="776" t="s">
        <v>757</v>
      </c>
      <c r="P28" s="818">
        <v>310</v>
      </c>
      <c r="Q28" s="802">
        <v>10775</v>
      </c>
      <c r="R28" s="8">
        <f t="shared" si="5"/>
        <v>3340250</v>
      </c>
      <c r="S28" s="509"/>
      <c r="T28" s="773"/>
      <c r="U28" s="802"/>
      <c r="V28" s="802"/>
      <c r="W28" s="8"/>
    </row>
    <row r="29" spans="1:23" ht="12.75" customHeight="1">
      <c r="A29" s="757">
        <f t="shared" si="2"/>
        <v>24</v>
      </c>
      <c r="B29" s="297" t="s">
        <v>758</v>
      </c>
      <c r="C29" s="25">
        <f t="shared" si="3"/>
        <v>2280900</v>
      </c>
      <c r="D29" s="758">
        <f t="shared" si="8"/>
        <v>312004.19213973801</v>
      </c>
      <c r="E29" s="758">
        <f t="shared" si="8"/>
        <v>22705.117903930131</v>
      </c>
      <c r="F29" s="758">
        <f t="shared" si="8"/>
        <v>134033.8864628821</v>
      </c>
      <c r="G29" s="758">
        <f t="shared" si="8"/>
        <v>253746.72489082968</v>
      </c>
      <c r="H29" s="25">
        <f t="shared" si="1"/>
        <v>3003389.9213973801</v>
      </c>
      <c r="I29" s="758">
        <v>398</v>
      </c>
      <c r="J29" s="758">
        <f t="shared" si="4"/>
        <v>7546.2058326567339</v>
      </c>
      <c r="K29" s="666"/>
      <c r="L29" s="843" t="s">
        <v>1250</v>
      </c>
      <c r="M29" s="773">
        <f t="shared" si="7"/>
        <v>41300</v>
      </c>
      <c r="N29" s="889">
        <v>41303</v>
      </c>
      <c r="O29" s="776" t="s">
        <v>757</v>
      </c>
      <c r="P29" s="818">
        <v>100</v>
      </c>
      <c r="Q29" s="802">
        <v>22809</v>
      </c>
      <c r="R29" s="8">
        <f t="shared" si="5"/>
        <v>2280900</v>
      </c>
      <c r="S29" s="509"/>
      <c r="T29" s="773"/>
      <c r="U29" s="802"/>
      <c r="V29" s="802"/>
      <c r="W29" s="8"/>
    </row>
    <row r="30" spans="1:23" ht="12.75" customHeight="1">
      <c r="A30" s="757">
        <f t="shared" si="2"/>
        <v>25</v>
      </c>
      <c r="B30" s="297" t="s">
        <v>750</v>
      </c>
      <c r="C30" s="25">
        <f t="shared" si="3"/>
        <v>4673861</v>
      </c>
      <c r="D30" s="758">
        <f t="shared" si="8"/>
        <v>321411.35371179041</v>
      </c>
      <c r="E30" s="758">
        <f t="shared" si="8"/>
        <v>23389.694323144104</v>
      </c>
      <c r="F30" s="758">
        <f t="shared" si="8"/>
        <v>138075.10917030569</v>
      </c>
      <c r="G30" s="758">
        <f t="shared" si="8"/>
        <v>261397.37991266375</v>
      </c>
      <c r="H30" s="25">
        <f t="shared" si="1"/>
        <v>5418134.5371179041</v>
      </c>
      <c r="I30" s="758">
        <v>410</v>
      </c>
      <c r="J30" s="758">
        <f t="shared" si="4"/>
        <v>13214.962285653424</v>
      </c>
      <c r="K30" s="666"/>
      <c r="L30" s="843" t="s">
        <v>1202</v>
      </c>
      <c r="M30" s="773">
        <f t="shared" si="7"/>
        <v>41300</v>
      </c>
      <c r="N30" s="889">
        <v>41303</v>
      </c>
      <c r="O30" s="776" t="s">
        <v>759</v>
      </c>
      <c r="P30" s="818">
        <v>235</v>
      </c>
      <c r="Q30" s="802">
        <v>19888.768115942028</v>
      </c>
      <c r="R30" s="8">
        <f t="shared" si="5"/>
        <v>4673861</v>
      </c>
      <c r="S30" s="509"/>
      <c r="T30" s="773"/>
      <c r="U30" s="802"/>
      <c r="V30" s="802"/>
      <c r="W30" s="8"/>
    </row>
    <row r="31" spans="1:23" ht="12.75" customHeight="1">
      <c r="A31" s="757">
        <f t="shared" si="2"/>
        <v>26</v>
      </c>
      <c r="B31" s="297" t="s">
        <v>755</v>
      </c>
      <c r="C31" s="25">
        <f t="shared" si="3"/>
        <v>5980125</v>
      </c>
      <c r="D31" s="758">
        <f t="shared" si="8"/>
        <v>867026.72489082965</v>
      </c>
      <c r="E31" s="758">
        <f t="shared" si="8"/>
        <v>63095.126637554582</v>
      </c>
      <c r="F31" s="758">
        <f t="shared" si="8"/>
        <v>372466.02620087337</v>
      </c>
      <c r="G31" s="758">
        <f t="shared" si="8"/>
        <v>705135.37117903924</v>
      </c>
      <c r="H31" s="25">
        <f t="shared" si="1"/>
        <v>7987848.2489082981</v>
      </c>
      <c r="I31" s="758">
        <v>1106</v>
      </c>
      <c r="J31" s="758">
        <f t="shared" si="4"/>
        <v>7222.2859393384251</v>
      </c>
      <c r="K31" s="666"/>
      <c r="L31" s="843" t="s">
        <v>1223</v>
      </c>
      <c r="M31" s="773">
        <f t="shared" si="7"/>
        <v>41300</v>
      </c>
      <c r="N31" s="889">
        <v>41303</v>
      </c>
      <c r="O31" s="776" t="s">
        <v>760</v>
      </c>
      <c r="P31" s="818">
        <v>555</v>
      </c>
      <c r="Q31" s="802">
        <v>10775</v>
      </c>
      <c r="R31" s="8">
        <f t="shared" si="5"/>
        <v>5980125</v>
      </c>
      <c r="S31" s="509"/>
      <c r="T31" s="773"/>
      <c r="U31" s="802"/>
      <c r="V31" s="802"/>
      <c r="W31" s="8"/>
    </row>
    <row r="32" spans="1:23" ht="12.75" customHeight="1">
      <c r="A32" s="757">
        <f t="shared" si="2"/>
        <v>27</v>
      </c>
      <c r="B32" s="297" t="s">
        <v>729</v>
      </c>
      <c r="C32" s="25">
        <f t="shared" si="3"/>
        <v>10490870</v>
      </c>
      <c r="D32" s="758">
        <f t="shared" si="8"/>
        <v>1327193.7117903929</v>
      </c>
      <c r="E32" s="758">
        <f t="shared" si="8"/>
        <v>96582.323144104797</v>
      </c>
      <c r="F32" s="758">
        <f t="shared" si="8"/>
        <v>570149.17030567687</v>
      </c>
      <c r="G32" s="758">
        <f t="shared" si="8"/>
        <v>1079379.9126637555</v>
      </c>
      <c r="H32" s="25">
        <f t="shared" si="1"/>
        <v>13564175.117903929</v>
      </c>
      <c r="I32" s="758">
        <v>1693</v>
      </c>
      <c r="J32" s="758">
        <f t="shared" si="4"/>
        <v>8011.9167855309679</v>
      </c>
      <c r="K32" s="666"/>
      <c r="L32" s="843" t="s">
        <v>1244</v>
      </c>
      <c r="M32" s="773">
        <f t="shared" si="7"/>
        <v>41302</v>
      </c>
      <c r="N32" s="889">
        <v>41305</v>
      </c>
      <c r="O32" s="776" t="s">
        <v>761</v>
      </c>
      <c r="P32" s="818">
        <v>470</v>
      </c>
      <c r="Q32" s="802">
        <v>22321</v>
      </c>
      <c r="R32" s="8">
        <f t="shared" si="5"/>
        <v>10490870</v>
      </c>
      <c r="S32" s="509"/>
      <c r="T32" s="773"/>
      <c r="U32" s="802"/>
      <c r="V32" s="802"/>
      <c r="W32" s="8"/>
    </row>
    <row r="33" spans="1:23" ht="12.75" customHeight="1">
      <c r="A33" s="757">
        <f t="shared" si="2"/>
        <v>28</v>
      </c>
      <c r="B33" s="297" t="s">
        <v>762</v>
      </c>
      <c r="C33" s="25">
        <f t="shared" si="3"/>
        <v>9133980</v>
      </c>
      <c r="D33" s="758">
        <f t="shared" si="8"/>
        <v>365311.44104803493</v>
      </c>
      <c r="E33" s="758">
        <f t="shared" si="8"/>
        <v>26584.38427947598</v>
      </c>
      <c r="F33" s="758">
        <f t="shared" si="8"/>
        <v>156934.14847161571</v>
      </c>
      <c r="G33" s="758">
        <f t="shared" si="8"/>
        <v>297100.43668122269</v>
      </c>
      <c r="H33" s="25">
        <f t="shared" si="1"/>
        <v>9979910.4104803503</v>
      </c>
      <c r="I33" s="758">
        <v>466</v>
      </c>
      <c r="J33" s="758">
        <f t="shared" si="4"/>
        <v>21416.116760687448</v>
      </c>
      <c r="K33" s="666"/>
      <c r="L33" s="192" t="s">
        <v>608</v>
      </c>
      <c r="M33" s="773">
        <f t="shared" si="7"/>
        <v>41302</v>
      </c>
      <c r="N33" s="889">
        <v>41305</v>
      </c>
      <c r="O33" s="776" t="s">
        <v>763</v>
      </c>
      <c r="P33" s="818">
        <v>474</v>
      </c>
      <c r="Q33" s="802">
        <v>19270</v>
      </c>
      <c r="R33" s="8">
        <f t="shared" si="5"/>
        <v>9133980</v>
      </c>
      <c r="S33" s="509"/>
      <c r="T33" s="773"/>
      <c r="U33" s="802"/>
      <c r="V33" s="802"/>
      <c r="W33" s="8"/>
    </row>
    <row r="34" spans="1:23" ht="12.75" customHeight="1">
      <c r="A34" s="757">
        <f t="shared" si="2"/>
        <v>29</v>
      </c>
      <c r="B34" s="297" t="s">
        <v>764</v>
      </c>
      <c r="C34" s="25">
        <f t="shared" si="3"/>
        <v>3332639</v>
      </c>
      <c r="D34" s="758">
        <f t="shared" si="8"/>
        <v>478197.37991266372</v>
      </c>
      <c r="E34" s="758">
        <f t="shared" si="8"/>
        <v>34799.301310043666</v>
      </c>
      <c r="F34" s="758">
        <f t="shared" si="8"/>
        <v>205428.82096069871</v>
      </c>
      <c r="G34" s="758">
        <f t="shared" si="8"/>
        <v>388908.29694323143</v>
      </c>
      <c r="H34" s="25">
        <f t="shared" si="1"/>
        <v>4439972.7991266372</v>
      </c>
      <c r="I34" s="758">
        <v>610</v>
      </c>
      <c r="J34" s="758">
        <f t="shared" si="4"/>
        <v>7278.6439329944869</v>
      </c>
      <c r="K34" s="666"/>
      <c r="L34" s="843" t="s">
        <v>1183</v>
      </c>
      <c r="M34" s="773">
        <f t="shared" si="7"/>
        <v>41325</v>
      </c>
      <c r="N34" s="889">
        <v>41328</v>
      </c>
      <c r="O34" s="776" t="s">
        <v>765</v>
      </c>
      <c r="P34" s="818">
        <v>312</v>
      </c>
      <c r="Q34" s="802">
        <v>10681.535256410256</v>
      </c>
      <c r="R34" s="8">
        <f>ROUND(P34*Q34,0)</f>
        <v>3332639</v>
      </c>
      <c r="S34" s="509"/>
      <c r="T34" s="773"/>
      <c r="U34" s="802"/>
      <c r="V34" s="802"/>
      <c r="W34" s="8"/>
    </row>
    <row r="35" spans="1:23" ht="12.75" customHeight="1">
      <c r="A35" s="757">
        <f t="shared" si="2"/>
        <v>30</v>
      </c>
      <c r="B35" s="297" t="s">
        <v>766</v>
      </c>
      <c r="C35" s="25">
        <f t="shared" si="3"/>
        <v>4898720</v>
      </c>
      <c r="D35" s="758">
        <f t="shared" si="8"/>
        <v>486036.68122270738</v>
      </c>
      <c r="E35" s="758">
        <f t="shared" si="8"/>
        <v>35369.781659388645</v>
      </c>
      <c r="F35" s="758">
        <f t="shared" si="8"/>
        <v>208796.50655021836</v>
      </c>
      <c r="G35" s="758">
        <f t="shared" si="8"/>
        <v>395283.84279475978</v>
      </c>
      <c r="H35" s="25">
        <f t="shared" si="1"/>
        <v>6024206.8122270741</v>
      </c>
      <c r="I35" s="758">
        <v>620</v>
      </c>
      <c r="J35" s="758">
        <f t="shared" si="4"/>
        <v>9716.4626003662488</v>
      </c>
      <c r="K35" s="666"/>
      <c r="L35" s="843" t="s">
        <v>1217</v>
      </c>
      <c r="M35" s="773">
        <f t="shared" si="7"/>
        <v>41334</v>
      </c>
      <c r="N35" s="889">
        <v>41337</v>
      </c>
      <c r="O35" s="776" t="s">
        <v>767</v>
      </c>
      <c r="P35" s="818">
        <v>680</v>
      </c>
      <c r="Q35" s="802">
        <v>7204</v>
      </c>
      <c r="R35" s="8">
        <f t="shared" si="5"/>
        <v>4898720</v>
      </c>
      <c r="S35" s="509"/>
      <c r="T35" s="773"/>
      <c r="U35" s="802"/>
      <c r="V35" s="802"/>
      <c r="W35" s="8"/>
    </row>
    <row r="36" spans="1:23" ht="12.75" customHeight="1">
      <c r="A36" s="757">
        <f t="shared" si="2"/>
        <v>31</v>
      </c>
      <c r="B36" s="297" t="s">
        <v>747</v>
      </c>
      <c r="C36" s="25">
        <f t="shared" si="3"/>
        <v>6718200</v>
      </c>
      <c r="D36" s="758">
        <f t="shared" si="8"/>
        <v>1538854.847161572</v>
      </c>
      <c r="E36" s="758">
        <f t="shared" si="8"/>
        <v>111985.2925764192</v>
      </c>
      <c r="F36" s="758">
        <f t="shared" si="8"/>
        <v>661076.6812227075</v>
      </c>
      <c r="G36" s="758">
        <f t="shared" si="8"/>
        <v>1251519.6506550219</v>
      </c>
      <c r="H36" s="25">
        <f t="shared" si="1"/>
        <v>10281636.471615721</v>
      </c>
      <c r="I36" s="758">
        <v>1963</v>
      </c>
      <c r="J36" s="758">
        <f t="shared" si="4"/>
        <v>5237.7159814649622</v>
      </c>
      <c r="K36" s="666"/>
      <c r="L36" s="189" t="s">
        <v>681</v>
      </c>
      <c r="M36" s="773">
        <f t="shared" si="7"/>
        <v>41334</v>
      </c>
      <c r="N36" s="889">
        <v>41337</v>
      </c>
      <c r="O36" s="776" t="s">
        <v>768</v>
      </c>
      <c r="P36" s="818">
        <v>600</v>
      </c>
      <c r="Q36" s="802">
        <v>11197</v>
      </c>
      <c r="R36" s="8">
        <f t="shared" si="5"/>
        <v>6718200</v>
      </c>
      <c r="S36" s="509"/>
      <c r="T36" s="773"/>
      <c r="U36" s="802"/>
      <c r="V36" s="802"/>
      <c r="W36" s="8"/>
    </row>
    <row r="37" spans="1:23" ht="12.75" customHeight="1">
      <c r="A37" s="757">
        <f t="shared" si="2"/>
        <v>32</v>
      </c>
      <c r="B37" s="297" t="s">
        <v>723</v>
      </c>
      <c r="C37" s="25">
        <f t="shared" si="3"/>
        <v>1571780</v>
      </c>
      <c r="D37" s="758">
        <f t="shared" si="8"/>
        <v>438216.94323144102</v>
      </c>
      <c r="E37" s="758">
        <f t="shared" si="8"/>
        <v>31889.851528384279</v>
      </c>
      <c r="F37" s="758">
        <f t="shared" si="8"/>
        <v>188253.62445414849</v>
      </c>
      <c r="G37" s="758">
        <f t="shared" si="8"/>
        <v>356393.01310043666</v>
      </c>
      <c r="H37" s="25">
        <f t="shared" si="1"/>
        <v>2586533.4323144108</v>
      </c>
      <c r="I37" s="758">
        <v>559</v>
      </c>
      <c r="J37" s="758">
        <f t="shared" si="4"/>
        <v>4627.0723297216655</v>
      </c>
      <c r="K37" s="666"/>
      <c r="L37" s="843" t="s">
        <v>1197</v>
      </c>
      <c r="M37" s="773">
        <f t="shared" si="7"/>
        <v>41334</v>
      </c>
      <c r="N37" s="889">
        <v>41337</v>
      </c>
      <c r="O37" s="776" t="s">
        <v>768</v>
      </c>
      <c r="P37" s="818">
        <v>140</v>
      </c>
      <c r="Q37" s="802">
        <v>11227</v>
      </c>
      <c r="R37" s="8">
        <f t="shared" si="5"/>
        <v>1571780</v>
      </c>
      <c r="S37" s="509"/>
      <c r="T37" s="773"/>
      <c r="U37" s="802"/>
      <c r="V37" s="802"/>
      <c r="W37" s="8"/>
    </row>
    <row r="38" spans="1:23" ht="12.75" customHeight="1">
      <c r="A38" s="757">
        <f t="shared" si="2"/>
        <v>33</v>
      </c>
      <c r="B38" s="297" t="s">
        <v>769</v>
      </c>
      <c r="C38" s="25">
        <f t="shared" si="3"/>
        <v>4891000</v>
      </c>
      <c r="D38" s="758">
        <f t="shared" si="8"/>
        <v>483684.89082969428</v>
      </c>
      <c r="E38" s="758">
        <f t="shared" si="8"/>
        <v>35198.637554585148</v>
      </c>
      <c r="F38" s="758">
        <f t="shared" si="8"/>
        <v>207786.20087336245</v>
      </c>
      <c r="G38" s="758">
        <f t="shared" si="8"/>
        <v>393371.17903930129</v>
      </c>
      <c r="H38" s="25">
        <f t="shared" ref="H38:H54" si="9">SUM(C38:G38)</f>
        <v>6011040.9082969436</v>
      </c>
      <c r="I38" s="758">
        <v>617</v>
      </c>
      <c r="J38" s="758">
        <f t="shared" si="4"/>
        <v>9742.3677606109304</v>
      </c>
      <c r="K38" s="666"/>
      <c r="L38" s="843" t="s">
        <v>1179</v>
      </c>
      <c r="M38" s="773">
        <f t="shared" si="7"/>
        <v>41334</v>
      </c>
      <c r="N38" s="889">
        <v>41337</v>
      </c>
      <c r="O38" s="776" t="s">
        <v>768</v>
      </c>
      <c r="P38" s="818">
        <v>670</v>
      </c>
      <c r="Q38" s="802">
        <v>7300</v>
      </c>
      <c r="R38" s="8">
        <f t="shared" si="5"/>
        <v>4891000</v>
      </c>
      <c r="S38" s="509"/>
      <c r="T38" s="773"/>
      <c r="U38" s="802"/>
      <c r="V38" s="802"/>
      <c r="W38" s="8"/>
    </row>
    <row r="39" spans="1:23" ht="12.75" customHeight="1">
      <c r="A39" s="757">
        <f t="shared" si="2"/>
        <v>34</v>
      </c>
      <c r="B39" s="297" t="s">
        <v>1125</v>
      </c>
      <c r="C39" s="25">
        <f t="shared" si="3"/>
        <v>3116400</v>
      </c>
      <c r="D39" s="758">
        <f t="shared" si="8"/>
        <v>243018.34061135369</v>
      </c>
      <c r="E39" s="758">
        <f t="shared" si="8"/>
        <v>17684.890829694323</v>
      </c>
      <c r="F39" s="758">
        <f t="shared" si="8"/>
        <v>104398.25327510918</v>
      </c>
      <c r="G39" s="758">
        <f t="shared" si="8"/>
        <v>197641.92139737989</v>
      </c>
      <c r="H39" s="25">
        <f t="shared" si="9"/>
        <v>3679143.406113537</v>
      </c>
      <c r="I39" s="758">
        <v>310</v>
      </c>
      <c r="J39" s="758">
        <f t="shared" si="4"/>
        <v>11868.20453585012</v>
      </c>
      <c r="K39" s="666"/>
      <c r="L39" s="843" t="s">
        <v>1268</v>
      </c>
      <c r="M39" s="773">
        <f t="shared" si="7"/>
        <v>41342</v>
      </c>
      <c r="N39" s="889">
        <v>41345</v>
      </c>
      <c r="O39" s="776" t="s">
        <v>770</v>
      </c>
      <c r="P39" s="818">
        <v>150</v>
      </c>
      <c r="Q39" s="802">
        <v>20776</v>
      </c>
      <c r="R39" s="8">
        <f t="shared" si="5"/>
        <v>3116400</v>
      </c>
      <c r="S39" s="509"/>
      <c r="T39" s="773"/>
      <c r="U39" s="802"/>
      <c r="V39" s="802"/>
      <c r="W39" s="8"/>
    </row>
    <row r="40" spans="1:23" ht="12.75" customHeight="1">
      <c r="A40" s="757">
        <f t="shared" si="2"/>
        <v>35</v>
      </c>
      <c r="B40" s="297" t="s">
        <v>739</v>
      </c>
      <c r="C40" s="25">
        <f t="shared" si="3"/>
        <v>2801500</v>
      </c>
      <c r="D40" s="758">
        <f t="shared" si="8"/>
        <v>391965.0655021834</v>
      </c>
      <c r="E40" s="758">
        <f t="shared" si="8"/>
        <v>28524.017467248908</v>
      </c>
      <c r="F40" s="758">
        <f t="shared" si="8"/>
        <v>168384.27947598253</v>
      </c>
      <c r="G40" s="758">
        <f t="shared" si="8"/>
        <v>318777.29257641919</v>
      </c>
      <c r="H40" s="25">
        <f t="shared" si="9"/>
        <v>3709150.6550218342</v>
      </c>
      <c r="I40" s="758">
        <v>500</v>
      </c>
      <c r="J40" s="758">
        <f t="shared" si="4"/>
        <v>7418.3013100436683</v>
      </c>
      <c r="K40" s="666"/>
      <c r="L40" s="843" t="s">
        <v>1223</v>
      </c>
      <c r="M40" s="773">
        <f t="shared" si="7"/>
        <v>41342</v>
      </c>
      <c r="N40" s="889">
        <v>41345</v>
      </c>
      <c r="O40" s="776" t="s">
        <v>772</v>
      </c>
      <c r="P40" s="818">
        <v>260</v>
      </c>
      <c r="Q40" s="802">
        <v>10775</v>
      </c>
      <c r="R40" s="8">
        <f t="shared" si="5"/>
        <v>2801500</v>
      </c>
      <c r="S40" s="509"/>
      <c r="T40" s="773"/>
      <c r="U40" s="802"/>
      <c r="V40" s="802"/>
      <c r="W40" s="8"/>
    </row>
    <row r="41" spans="1:23">
      <c r="A41" s="757">
        <f t="shared" si="2"/>
        <v>36</v>
      </c>
      <c r="B41" s="297" t="s">
        <v>758</v>
      </c>
      <c r="C41" s="25">
        <f t="shared" si="3"/>
        <v>2268000</v>
      </c>
      <c r="D41" s="758">
        <f t="shared" si="8"/>
        <v>235179.03930131003</v>
      </c>
      <c r="E41" s="758">
        <f t="shared" si="8"/>
        <v>17114.410480349343</v>
      </c>
      <c r="F41" s="758">
        <f t="shared" si="8"/>
        <v>101030.56768558953</v>
      </c>
      <c r="G41" s="758">
        <f t="shared" si="8"/>
        <v>191266.37554585151</v>
      </c>
      <c r="H41" s="25">
        <f t="shared" si="9"/>
        <v>2812590.3930131006</v>
      </c>
      <c r="I41" s="758">
        <v>300</v>
      </c>
      <c r="J41" s="758">
        <f t="shared" si="4"/>
        <v>9375.3013100436692</v>
      </c>
      <c r="K41" s="666"/>
      <c r="L41" s="843" t="s">
        <v>1188</v>
      </c>
      <c r="M41" s="773">
        <f t="shared" si="7"/>
        <v>41342</v>
      </c>
      <c r="N41" s="889">
        <v>41345</v>
      </c>
      <c r="O41" s="776" t="s">
        <v>772</v>
      </c>
      <c r="P41" s="818">
        <v>150</v>
      </c>
      <c r="Q41" s="802">
        <v>15120</v>
      </c>
      <c r="R41" s="8">
        <f t="shared" si="5"/>
        <v>2268000</v>
      </c>
      <c r="S41" s="509"/>
      <c r="T41" s="773"/>
      <c r="U41" s="802"/>
      <c r="V41" s="802"/>
      <c r="W41" s="8"/>
    </row>
    <row r="42" spans="1:23" ht="12.75" customHeight="1">
      <c r="A42" s="757">
        <f t="shared" si="2"/>
        <v>37</v>
      </c>
      <c r="B42" s="297" t="s">
        <v>773</v>
      </c>
      <c r="C42" s="25">
        <f t="shared" si="3"/>
        <v>10330694</v>
      </c>
      <c r="D42" s="758">
        <f t="shared" si="8"/>
        <v>401372.22707423579</v>
      </c>
      <c r="E42" s="758">
        <f t="shared" si="8"/>
        <v>29208.593886462881</v>
      </c>
      <c r="F42" s="758">
        <f t="shared" si="8"/>
        <v>172425.50218340612</v>
      </c>
      <c r="G42" s="758">
        <f t="shared" si="8"/>
        <v>326427.94759825326</v>
      </c>
      <c r="H42" s="25">
        <f t="shared" si="9"/>
        <v>11260128.270742357</v>
      </c>
      <c r="I42" s="758">
        <v>512</v>
      </c>
      <c r="J42" s="758">
        <f t="shared" si="4"/>
        <v>21992.438028793666</v>
      </c>
      <c r="K42" s="666"/>
      <c r="L42" s="843" t="s">
        <v>1175</v>
      </c>
      <c r="M42" s="773">
        <f t="shared" si="7"/>
        <v>41343</v>
      </c>
      <c r="N42" s="889">
        <v>41346</v>
      </c>
      <c r="O42" s="776" t="s">
        <v>494</v>
      </c>
      <c r="P42" s="818">
        <v>517</v>
      </c>
      <c r="Q42" s="802">
        <v>19982</v>
      </c>
      <c r="R42" s="8">
        <f t="shared" si="5"/>
        <v>10330694</v>
      </c>
      <c r="S42" s="509"/>
      <c r="T42" s="773"/>
      <c r="U42" s="802"/>
      <c r="V42" s="802"/>
      <c r="W42" s="8"/>
    </row>
    <row r="43" spans="1:23" ht="12.75" customHeight="1">
      <c r="A43" s="757">
        <f t="shared" si="2"/>
        <v>38</v>
      </c>
      <c r="B43" s="297" t="s">
        <v>1126</v>
      </c>
      <c r="C43" s="25">
        <f t="shared" si="3"/>
        <v>4977515</v>
      </c>
      <c r="D43" s="758">
        <f t="shared" si="8"/>
        <v>391965.0655021834</v>
      </c>
      <c r="E43" s="758">
        <f t="shared" si="8"/>
        <v>28524.017467248908</v>
      </c>
      <c r="F43" s="758">
        <f t="shared" si="8"/>
        <v>168384.27947598253</v>
      </c>
      <c r="G43" s="758">
        <f t="shared" si="8"/>
        <v>318777.29257641919</v>
      </c>
      <c r="H43" s="25">
        <f t="shared" si="9"/>
        <v>5885165.6550218342</v>
      </c>
      <c r="I43" s="758">
        <v>500</v>
      </c>
      <c r="J43" s="758">
        <f t="shared" si="4"/>
        <v>11770.331310043668</v>
      </c>
      <c r="K43" s="666"/>
      <c r="L43" s="843" t="s">
        <v>1241</v>
      </c>
      <c r="M43" s="773">
        <f t="shared" si="7"/>
        <v>41343</v>
      </c>
      <c r="N43" s="889">
        <v>41346</v>
      </c>
      <c r="O43" s="776" t="s">
        <v>774</v>
      </c>
      <c r="P43" s="818">
        <f>I43/2</f>
        <v>250</v>
      </c>
      <c r="Q43" s="802">
        <v>19910.059505275905</v>
      </c>
      <c r="R43" s="8">
        <f t="shared" si="5"/>
        <v>4977515</v>
      </c>
      <c r="S43" s="509"/>
      <c r="T43" s="773"/>
      <c r="U43" s="802"/>
      <c r="V43" s="802"/>
      <c r="W43" s="8"/>
    </row>
    <row r="44" spans="1:23" ht="12.75" customHeight="1">
      <c r="A44" s="757">
        <f t="shared" si="2"/>
        <v>39</v>
      </c>
      <c r="B44" s="297" t="s">
        <v>776</v>
      </c>
      <c r="C44" s="25">
        <f t="shared" si="3"/>
        <v>2417940</v>
      </c>
      <c r="D44" s="758">
        <f t="shared" si="8"/>
        <v>82312.663755458518</v>
      </c>
      <c r="E44" s="758">
        <f t="shared" si="8"/>
        <v>5990.04366812227</v>
      </c>
      <c r="F44" s="758">
        <f t="shared" si="8"/>
        <v>35360.698689956334</v>
      </c>
      <c r="G44" s="758">
        <f t="shared" si="8"/>
        <v>66943.231441048032</v>
      </c>
      <c r="H44" s="25">
        <f t="shared" si="9"/>
        <v>2608546.637554585</v>
      </c>
      <c r="I44" s="758">
        <v>105</v>
      </c>
      <c r="J44" s="758">
        <f t="shared" si="4"/>
        <v>24843.301310043666</v>
      </c>
      <c r="K44" s="666"/>
      <c r="L44" s="843" t="s">
        <v>1251</v>
      </c>
      <c r="M44" s="773">
        <f t="shared" si="7"/>
        <v>41348</v>
      </c>
      <c r="N44" s="889">
        <v>41351</v>
      </c>
      <c r="O44" s="776" t="s">
        <v>777</v>
      </c>
      <c r="P44" s="818">
        <f>I44</f>
        <v>105</v>
      </c>
      <c r="Q44" s="802">
        <v>23028</v>
      </c>
      <c r="R44" s="8">
        <f t="shared" si="5"/>
        <v>2417940</v>
      </c>
      <c r="S44" s="509"/>
      <c r="T44" s="773"/>
      <c r="U44" s="802"/>
      <c r="V44" s="802"/>
      <c r="W44" s="8"/>
    </row>
    <row r="45" spans="1:23" ht="12.75" customHeight="1">
      <c r="A45" s="757">
        <f t="shared" si="2"/>
        <v>40</v>
      </c>
      <c r="B45" s="297" t="s">
        <v>778</v>
      </c>
      <c r="C45" s="25">
        <f t="shared" si="3"/>
        <v>7654500</v>
      </c>
      <c r="D45" s="758">
        <f t="shared" si="8"/>
        <v>402156.15720524016</v>
      </c>
      <c r="E45" s="758">
        <f t="shared" si="8"/>
        <v>29265.641921397379</v>
      </c>
      <c r="F45" s="758">
        <f t="shared" si="8"/>
        <v>172762.27074235809</v>
      </c>
      <c r="G45" s="758">
        <f t="shared" si="8"/>
        <v>327065.50218340609</v>
      </c>
      <c r="H45" s="25">
        <f t="shared" si="9"/>
        <v>8585749.5720524006</v>
      </c>
      <c r="I45" s="758">
        <v>513</v>
      </c>
      <c r="J45" s="758">
        <f t="shared" si="4"/>
        <v>16736.353941622612</v>
      </c>
      <c r="K45" s="666"/>
      <c r="L45" s="843" t="s">
        <v>1172</v>
      </c>
      <c r="M45" s="773">
        <f t="shared" si="7"/>
        <v>41356</v>
      </c>
      <c r="N45" s="889">
        <v>41359</v>
      </c>
      <c r="O45" s="776" t="s">
        <v>779</v>
      </c>
      <c r="P45" s="818">
        <v>270</v>
      </c>
      <c r="Q45" s="802">
        <v>28350</v>
      </c>
      <c r="R45" s="8">
        <f t="shared" si="5"/>
        <v>7654500</v>
      </c>
      <c r="S45" s="509"/>
      <c r="T45" s="773"/>
      <c r="U45" s="802"/>
      <c r="V45" s="802"/>
      <c r="W45" s="8"/>
    </row>
    <row r="46" spans="1:23" ht="12.75" customHeight="1">
      <c r="A46" s="757">
        <f t="shared" si="2"/>
        <v>41</v>
      </c>
      <c r="B46" s="297" t="s">
        <v>817</v>
      </c>
      <c r="C46" s="25">
        <f t="shared" si="3"/>
        <v>112270</v>
      </c>
      <c r="D46" s="758">
        <f t="shared" ref="D46:G54" si="10">IF($I$56&lt;&gt;0,D$56/$I$56*$I46,0)</f>
        <v>862323.14410480345</v>
      </c>
      <c r="E46" s="758">
        <f t="shared" si="10"/>
        <v>62752.838427947594</v>
      </c>
      <c r="F46" s="758">
        <f t="shared" si="10"/>
        <v>370445.41484716156</v>
      </c>
      <c r="G46" s="758">
        <f t="shared" si="10"/>
        <v>701310.04366812226</v>
      </c>
      <c r="H46" s="25">
        <f t="shared" si="9"/>
        <v>2109101.4410480349</v>
      </c>
      <c r="I46" s="758">
        <v>1100</v>
      </c>
      <c r="J46" s="758">
        <f t="shared" si="4"/>
        <v>1917.3649464073044</v>
      </c>
      <c r="K46" s="666"/>
      <c r="L46" s="843" t="s">
        <v>1197</v>
      </c>
      <c r="M46" s="773">
        <f t="shared" si="7"/>
        <v>41356</v>
      </c>
      <c r="N46" s="889">
        <v>41359</v>
      </c>
      <c r="O46" s="776" t="s">
        <v>779</v>
      </c>
      <c r="P46" s="818">
        <v>10</v>
      </c>
      <c r="Q46" s="802">
        <v>11227</v>
      </c>
      <c r="R46" s="8">
        <f t="shared" si="5"/>
        <v>112270</v>
      </c>
      <c r="S46" s="509"/>
      <c r="T46" s="773"/>
      <c r="U46" s="802"/>
      <c r="V46" s="802"/>
      <c r="W46" s="8"/>
    </row>
    <row r="47" spans="1:23" ht="12.75" customHeight="1">
      <c r="A47" s="757">
        <f t="shared" si="2"/>
        <v>42</v>
      </c>
      <c r="B47" s="297" t="s">
        <v>776</v>
      </c>
      <c r="C47" s="25">
        <f t="shared" si="3"/>
        <v>1381680</v>
      </c>
      <c r="D47" s="758">
        <f t="shared" si="10"/>
        <v>47035.807860262008</v>
      </c>
      <c r="E47" s="758">
        <f t="shared" si="10"/>
        <v>3422.882096069869</v>
      </c>
      <c r="F47" s="758">
        <f t="shared" si="10"/>
        <v>20206.113537117904</v>
      </c>
      <c r="G47" s="758">
        <f t="shared" si="10"/>
        <v>38253.275109170303</v>
      </c>
      <c r="H47" s="25">
        <f t="shared" si="9"/>
        <v>1490598.0786026199</v>
      </c>
      <c r="I47" s="758">
        <v>60</v>
      </c>
      <c r="J47" s="758">
        <f t="shared" si="4"/>
        <v>24843.301310043666</v>
      </c>
      <c r="K47" s="666"/>
      <c r="L47" s="843" t="s">
        <v>1251</v>
      </c>
      <c r="M47" s="773">
        <f t="shared" si="7"/>
        <v>41358</v>
      </c>
      <c r="N47" s="889">
        <v>41361</v>
      </c>
      <c r="O47" s="776" t="s">
        <v>780</v>
      </c>
      <c r="P47" s="818">
        <f>I47</f>
        <v>60</v>
      </c>
      <c r="Q47" s="802">
        <v>23028</v>
      </c>
      <c r="R47" s="8">
        <f t="shared" si="5"/>
        <v>1381680</v>
      </c>
      <c r="S47" s="509"/>
      <c r="T47" s="773"/>
      <c r="U47" s="802"/>
      <c r="V47" s="802"/>
      <c r="W47" s="8"/>
    </row>
    <row r="48" spans="1:23" ht="12.75" customHeight="1">
      <c r="A48" s="757">
        <f t="shared" si="2"/>
        <v>43</v>
      </c>
      <c r="B48" s="297" t="s">
        <v>754</v>
      </c>
      <c r="C48" s="25">
        <f t="shared" si="3"/>
        <v>5037245</v>
      </c>
      <c r="D48" s="758">
        <f t="shared" si="10"/>
        <v>395884.71615720523</v>
      </c>
      <c r="E48" s="758">
        <f t="shared" si="10"/>
        <v>28809.257641921395</v>
      </c>
      <c r="F48" s="758">
        <f t="shared" si="10"/>
        <v>170068.12227074237</v>
      </c>
      <c r="G48" s="758">
        <f t="shared" si="10"/>
        <v>321965.0655021834</v>
      </c>
      <c r="H48" s="25">
        <f t="shared" si="9"/>
        <v>5953972.1615720531</v>
      </c>
      <c r="I48" s="758">
        <v>505</v>
      </c>
      <c r="J48" s="758">
        <f t="shared" si="4"/>
        <v>11790.043884301096</v>
      </c>
      <c r="K48" s="666"/>
      <c r="L48" s="843" t="s">
        <v>1241</v>
      </c>
      <c r="M48" s="773">
        <f t="shared" si="7"/>
        <v>41358</v>
      </c>
      <c r="N48" s="889">
        <v>41361</v>
      </c>
      <c r="O48" s="776" t="s">
        <v>781</v>
      </c>
      <c r="P48" s="818">
        <v>253</v>
      </c>
      <c r="Q48" s="802">
        <v>19910.059505275905</v>
      </c>
      <c r="R48" s="8">
        <f t="shared" si="5"/>
        <v>5037245</v>
      </c>
      <c r="S48" s="509"/>
      <c r="T48" s="773"/>
      <c r="U48" s="802"/>
      <c r="V48" s="802"/>
      <c r="W48" s="8"/>
    </row>
    <row r="49" spans="1:24" ht="12.75" customHeight="1">
      <c r="A49" s="757">
        <f t="shared" si="2"/>
        <v>44</v>
      </c>
      <c r="B49" s="297" t="s">
        <v>782</v>
      </c>
      <c r="C49" s="25">
        <f t="shared" si="3"/>
        <v>10721125</v>
      </c>
      <c r="D49" s="758">
        <f t="shared" si="10"/>
        <v>1560020.9606986898</v>
      </c>
      <c r="E49" s="758">
        <f t="shared" si="10"/>
        <v>113525.58951965065</v>
      </c>
      <c r="F49" s="758">
        <f t="shared" si="10"/>
        <v>670169.43231441046</v>
      </c>
      <c r="G49" s="758">
        <f t="shared" si="10"/>
        <v>1268733.6244541483</v>
      </c>
      <c r="H49" s="25">
        <f t="shared" si="9"/>
        <v>14333574.606986899</v>
      </c>
      <c r="I49" s="758">
        <v>1990</v>
      </c>
      <c r="J49" s="758">
        <f t="shared" si="4"/>
        <v>7202.8013100436674</v>
      </c>
      <c r="K49" s="666"/>
      <c r="L49" s="843" t="s">
        <v>1223</v>
      </c>
      <c r="M49" s="773">
        <f t="shared" si="7"/>
        <v>41358</v>
      </c>
      <c r="N49" s="889">
        <v>41361</v>
      </c>
      <c r="O49" s="776" t="s">
        <v>781</v>
      </c>
      <c r="P49" s="818">
        <f>I49/2</f>
        <v>995</v>
      </c>
      <c r="Q49" s="802">
        <v>10775</v>
      </c>
      <c r="R49" s="8">
        <f t="shared" si="5"/>
        <v>10721125</v>
      </c>
      <c r="S49" s="509"/>
      <c r="T49" s="773"/>
      <c r="U49" s="802"/>
      <c r="V49" s="802"/>
      <c r="W49" s="8"/>
    </row>
    <row r="50" spans="1:24" ht="12.75" customHeight="1">
      <c r="A50" s="757">
        <f t="shared" si="2"/>
        <v>45</v>
      </c>
      <c r="B50" s="297" t="s">
        <v>783</v>
      </c>
      <c r="C50" s="25">
        <f>R50</f>
        <v>1173000</v>
      </c>
      <c r="D50" s="758">
        <f t="shared" si="10"/>
        <v>243018.34061135369</v>
      </c>
      <c r="E50" s="758">
        <f t="shared" si="10"/>
        <v>17684.890829694323</v>
      </c>
      <c r="F50" s="758">
        <f t="shared" si="10"/>
        <v>104398.25327510918</v>
      </c>
      <c r="G50" s="758">
        <f t="shared" si="10"/>
        <v>197641.92139737989</v>
      </c>
      <c r="H50" s="25">
        <f t="shared" si="9"/>
        <v>1735743.406113537</v>
      </c>
      <c r="I50" s="758">
        <v>310</v>
      </c>
      <c r="J50" s="758">
        <f t="shared" ref="J50:J54" si="11">IF(I50&lt;&gt;"",H50/I50,"")</f>
        <v>5599.172277785603</v>
      </c>
      <c r="K50" s="666"/>
      <c r="L50" s="843" t="s">
        <v>1220</v>
      </c>
      <c r="M50" s="773">
        <f t="shared" si="7"/>
        <v>41358</v>
      </c>
      <c r="N50" s="889">
        <v>41361</v>
      </c>
      <c r="O50" s="776" t="s">
        <v>781</v>
      </c>
      <c r="P50" s="305">
        <v>100</v>
      </c>
      <c r="Q50" s="802">
        <v>11730</v>
      </c>
      <c r="R50" s="8">
        <f t="shared" si="5"/>
        <v>1173000</v>
      </c>
      <c r="S50" s="509"/>
      <c r="T50" s="773"/>
      <c r="U50" s="802"/>
      <c r="V50" s="802"/>
      <c r="W50" s="8"/>
    </row>
    <row r="51" spans="1:24" ht="12.75" customHeight="1">
      <c r="A51" s="757">
        <f t="shared" si="2"/>
        <v>46</v>
      </c>
      <c r="B51" s="297" t="s">
        <v>784</v>
      </c>
      <c r="C51" s="25">
        <f>R51</f>
        <v>641300</v>
      </c>
      <c r="D51" s="758">
        <f t="shared" si="10"/>
        <v>239098.68995633186</v>
      </c>
      <c r="E51" s="758">
        <f t="shared" si="10"/>
        <v>17399.650655021833</v>
      </c>
      <c r="F51" s="758">
        <f t="shared" si="10"/>
        <v>102714.41048034935</v>
      </c>
      <c r="G51" s="758">
        <f t="shared" si="10"/>
        <v>194454.14847161571</v>
      </c>
      <c r="H51" s="25">
        <f t="shared" si="9"/>
        <v>1194966.8995633188</v>
      </c>
      <c r="I51" s="758">
        <v>305</v>
      </c>
      <c r="J51" s="758">
        <f t="shared" si="11"/>
        <v>3917.9242608633404</v>
      </c>
      <c r="K51" s="666"/>
      <c r="L51" s="843" t="s">
        <v>1181</v>
      </c>
      <c r="M51" s="773">
        <f t="shared" si="7"/>
        <v>41358</v>
      </c>
      <c r="N51" s="889">
        <v>41361</v>
      </c>
      <c r="O51" s="776" t="s">
        <v>781</v>
      </c>
      <c r="P51" s="818">
        <v>100</v>
      </c>
      <c r="Q51" s="802">
        <v>6413</v>
      </c>
      <c r="R51" s="8">
        <f t="shared" si="5"/>
        <v>641300</v>
      </c>
      <c r="S51" s="509"/>
      <c r="T51" s="773"/>
      <c r="U51" s="802"/>
      <c r="V51" s="802"/>
      <c r="W51" s="8"/>
    </row>
    <row r="52" spans="1:24" ht="12.75" customHeight="1">
      <c r="A52" s="757">
        <f t="shared" si="2"/>
        <v>47</v>
      </c>
      <c r="B52" s="297" t="s">
        <v>752</v>
      </c>
      <c r="C52" s="25">
        <f>R52</f>
        <v>4688500</v>
      </c>
      <c r="D52" s="758">
        <f t="shared" si="10"/>
        <v>391965.0655021834</v>
      </c>
      <c r="E52" s="758">
        <f t="shared" si="10"/>
        <v>28524.017467248908</v>
      </c>
      <c r="F52" s="758">
        <f t="shared" si="10"/>
        <v>168384.27947598253</v>
      </c>
      <c r="G52" s="758">
        <f t="shared" si="10"/>
        <v>318777.29257641919</v>
      </c>
      <c r="H52" s="25">
        <f t="shared" si="9"/>
        <v>5596150.6550218342</v>
      </c>
      <c r="I52" s="758">
        <v>500</v>
      </c>
      <c r="J52" s="758">
        <f t="shared" si="11"/>
        <v>11192.301310043669</v>
      </c>
      <c r="K52" s="666"/>
      <c r="L52" s="843" t="s">
        <v>1192</v>
      </c>
      <c r="M52" s="773">
        <f t="shared" si="7"/>
        <v>41358</v>
      </c>
      <c r="N52" s="889">
        <v>41361</v>
      </c>
      <c r="O52" s="776" t="s">
        <v>781</v>
      </c>
      <c r="P52" s="818">
        <v>500</v>
      </c>
      <c r="Q52" s="802">
        <v>9377</v>
      </c>
      <c r="R52" s="8">
        <f t="shared" si="5"/>
        <v>4688500</v>
      </c>
      <c r="S52" s="509"/>
      <c r="T52" s="773"/>
      <c r="U52" s="802"/>
      <c r="V52" s="802"/>
      <c r="W52" s="8"/>
    </row>
    <row r="53" spans="1:24" ht="12.75" customHeight="1">
      <c r="A53" s="757">
        <f t="shared" si="2"/>
        <v>48</v>
      </c>
      <c r="B53" s="297" t="s">
        <v>721</v>
      </c>
      <c r="C53" s="25">
        <f>R53</f>
        <v>4862520</v>
      </c>
      <c r="D53" s="758">
        <f t="shared" si="10"/>
        <v>1003430.5676855894</v>
      </c>
      <c r="E53" s="758">
        <f t="shared" si="10"/>
        <v>73021.484716157196</v>
      </c>
      <c r="F53" s="758">
        <f t="shared" si="10"/>
        <v>431063.75545851531</v>
      </c>
      <c r="G53" s="758">
        <f t="shared" si="10"/>
        <v>816069.86899563321</v>
      </c>
      <c r="H53" s="25">
        <f t="shared" si="9"/>
        <v>7186105.6768558947</v>
      </c>
      <c r="I53" s="758">
        <v>1280</v>
      </c>
      <c r="J53" s="758">
        <f t="shared" si="11"/>
        <v>5614.1450600436674</v>
      </c>
      <c r="K53" s="666"/>
      <c r="L53" s="843" t="s">
        <v>1185</v>
      </c>
      <c r="M53" s="773">
        <f t="shared" si="7"/>
        <v>41360</v>
      </c>
      <c r="N53" s="889">
        <v>41363</v>
      </c>
      <c r="O53" s="776" t="s">
        <v>785</v>
      </c>
      <c r="P53" s="305">
        <v>360</v>
      </c>
      <c r="Q53" s="803">
        <v>13507</v>
      </c>
      <c r="R53" s="8">
        <f t="shared" si="5"/>
        <v>4862520</v>
      </c>
      <c r="S53" s="509"/>
      <c r="T53" s="773"/>
      <c r="U53" s="802"/>
      <c r="V53" s="802"/>
      <c r="W53" s="8"/>
    </row>
    <row r="54" spans="1:24" ht="12.75" customHeight="1">
      <c r="A54" s="757">
        <f t="shared" si="2"/>
        <v>49</v>
      </c>
      <c r="B54" s="297" t="s">
        <v>1135</v>
      </c>
      <c r="C54" s="25">
        <f>R54</f>
        <v>5458800</v>
      </c>
      <c r="D54" s="758">
        <f t="shared" si="10"/>
        <v>940716.1572052401</v>
      </c>
      <c r="E54" s="758">
        <f t="shared" si="10"/>
        <v>68457.641921397371</v>
      </c>
      <c r="F54" s="758">
        <f t="shared" si="10"/>
        <v>404122.27074235812</v>
      </c>
      <c r="G54" s="758">
        <f t="shared" si="10"/>
        <v>765065.50218340603</v>
      </c>
      <c r="H54" s="25">
        <f t="shared" si="9"/>
        <v>7637161.5720524006</v>
      </c>
      <c r="I54" s="758">
        <v>1200</v>
      </c>
      <c r="J54" s="758">
        <f t="shared" si="11"/>
        <v>6364.3013100436674</v>
      </c>
      <c r="K54" s="666"/>
      <c r="L54" s="843" t="s">
        <v>1180</v>
      </c>
      <c r="M54" s="773">
        <f t="shared" si="7"/>
        <v>41360</v>
      </c>
      <c r="N54" s="889">
        <v>41363</v>
      </c>
      <c r="O54" s="776" t="s">
        <v>786</v>
      </c>
      <c r="P54" s="818">
        <v>600</v>
      </c>
      <c r="Q54" s="802">
        <v>9098</v>
      </c>
      <c r="R54" s="8">
        <f t="shared" si="5"/>
        <v>5458800</v>
      </c>
      <c r="S54" s="509"/>
      <c r="T54" s="773"/>
      <c r="U54" s="802"/>
      <c r="V54" s="802"/>
      <c r="W54" s="8"/>
    </row>
    <row r="55" spans="1:24" s="777" customFormat="1">
      <c r="A55" s="757"/>
      <c r="B55" s="297"/>
      <c r="C55" s="25"/>
      <c r="D55" s="758"/>
      <c r="E55" s="758"/>
      <c r="F55" s="758"/>
      <c r="G55" s="758"/>
      <c r="H55" s="25"/>
      <c r="I55" s="257"/>
      <c r="J55" s="758"/>
      <c r="K55" s="666"/>
      <c r="L55" s="775"/>
      <c r="M55" s="773"/>
      <c r="N55" s="889"/>
      <c r="O55" s="776"/>
      <c r="P55" s="818"/>
      <c r="Q55" s="802"/>
      <c r="R55" s="802"/>
      <c r="S55" s="775"/>
      <c r="T55" s="773"/>
      <c r="U55" s="802"/>
      <c r="V55" s="802"/>
      <c r="W55" s="8"/>
    </row>
    <row r="56" spans="1:24" s="755" customFormat="1">
      <c r="A56" s="759"/>
      <c r="B56" s="760" t="s">
        <v>249</v>
      </c>
      <c r="C56" s="535">
        <f>SUM(C6:C55)</f>
        <v>179945440</v>
      </c>
      <c r="D56" s="535">
        <v>22440000</v>
      </c>
      <c r="E56" s="535">
        <f>$W$56</f>
        <v>1633000</v>
      </c>
      <c r="F56" s="535">
        <v>9640000</v>
      </c>
      <c r="G56" s="535">
        <v>18250000</v>
      </c>
      <c r="H56" s="535">
        <f>ROUND(SUM(H6:H55),0)</f>
        <v>231908440</v>
      </c>
      <c r="I56" s="535">
        <f>ROUND(SUM(I6:I55),0)</f>
        <v>28625</v>
      </c>
      <c r="J56" s="535"/>
      <c r="K56" s="768"/>
      <c r="L56" s="778"/>
      <c r="M56" s="779"/>
      <c r="N56" s="779"/>
      <c r="O56" s="780"/>
      <c r="P56" s="819">
        <f>SUM(P6:P55)</f>
        <v>13221</v>
      </c>
      <c r="Q56" s="47"/>
      <c r="R56" s="47">
        <f>SUM(R6:R55)</f>
        <v>179945440</v>
      </c>
      <c r="S56" s="778"/>
      <c r="T56" s="779"/>
      <c r="U56" s="792"/>
      <c r="V56" s="27"/>
      <c r="W56" s="47">
        <f>SUM(W6:W55)</f>
        <v>1633000</v>
      </c>
    </row>
    <row r="57" spans="1:24" s="755" customFormat="1">
      <c r="A57" s="761"/>
      <c r="B57" s="762"/>
      <c r="C57" s="756"/>
      <c r="D57" s="756"/>
      <c r="E57" s="756"/>
      <c r="F57" s="756"/>
      <c r="G57" s="756"/>
      <c r="H57" s="756">
        <v>240045655</v>
      </c>
      <c r="I57" s="756"/>
      <c r="J57" s="756"/>
      <c r="K57" s="768"/>
      <c r="L57" s="450"/>
      <c r="M57" s="781"/>
      <c r="N57" s="781"/>
      <c r="O57" s="782"/>
      <c r="P57" s="820"/>
      <c r="Q57" s="770"/>
      <c r="R57" s="783"/>
      <c r="S57" s="450"/>
      <c r="T57" s="781"/>
      <c r="U57" s="770"/>
      <c r="V57" s="770"/>
      <c r="W57" s="754"/>
    </row>
    <row r="58" spans="1:24">
      <c r="C58" s="763"/>
      <c r="D58" s="763"/>
      <c r="E58" s="764"/>
      <c r="F58" s="764"/>
      <c r="H58" s="784">
        <f>H57-H56</f>
        <v>8137215</v>
      </c>
      <c r="I58" s="756"/>
      <c r="L58" s="450"/>
      <c r="M58" s="781"/>
      <c r="N58" s="781"/>
      <c r="O58" s="782"/>
      <c r="P58" s="820"/>
      <c r="Q58" s="770"/>
      <c r="R58" s="783"/>
      <c r="S58" s="450"/>
      <c r="T58" s="781"/>
      <c r="U58" s="770"/>
      <c r="V58" s="770"/>
    </row>
    <row r="59" spans="1:24" ht="18" hidden="1" customHeight="1">
      <c r="A59" s="572" t="str">
        <f>TH!$A$1</f>
        <v>Đơn vị: CÔNG TY TNHH SX TM KIM DUNG PHÁT</v>
      </c>
      <c r="B59" s="755"/>
      <c r="C59" s="293"/>
      <c r="D59" s="293"/>
      <c r="E59" s="293"/>
      <c r="F59" s="293"/>
      <c r="G59" s="293"/>
      <c r="H59" s="293"/>
      <c r="I59" s="600"/>
      <c r="J59" s="293"/>
      <c r="K59" s="768"/>
      <c r="L59" s="450"/>
      <c r="M59" s="781"/>
      <c r="N59" s="781"/>
      <c r="O59" s="782"/>
      <c r="P59" s="820"/>
      <c r="Q59" s="770"/>
      <c r="R59" s="783"/>
      <c r="S59" s="450"/>
      <c r="T59" s="781"/>
      <c r="U59" s="770"/>
      <c r="V59" s="770"/>
      <c r="X59" s="763"/>
    </row>
    <row r="60" spans="1:24" ht="18.75" customHeight="1">
      <c r="A60" s="756" t="s">
        <v>1165</v>
      </c>
      <c r="B60" s="756"/>
      <c r="C60" s="756"/>
      <c r="D60" s="756"/>
      <c r="E60" s="756"/>
      <c r="F60" s="756"/>
      <c r="G60" s="756"/>
      <c r="H60" s="756"/>
      <c r="I60" s="756"/>
      <c r="J60" s="756"/>
      <c r="K60" s="768"/>
      <c r="L60" s="450"/>
      <c r="M60" s="781"/>
      <c r="N60" s="781"/>
      <c r="O60" s="782"/>
      <c r="P60" s="820"/>
      <c r="Q60" s="770"/>
      <c r="R60" s="783"/>
      <c r="S60" s="450"/>
      <c r="T60" s="781"/>
      <c r="U60" s="770"/>
      <c r="V60" s="770"/>
    </row>
    <row r="61" spans="1:24" ht="12.75" customHeight="1">
      <c r="A61" s="807"/>
      <c r="B61" s="799"/>
      <c r="C61" s="799"/>
      <c r="D61" s="799"/>
      <c r="E61" s="799"/>
      <c r="F61" s="799"/>
      <c r="G61" s="799"/>
      <c r="H61" s="799"/>
      <c r="I61" s="769"/>
      <c r="J61" s="799"/>
      <c r="K61" s="768"/>
      <c r="L61" s="450"/>
      <c r="M61" s="781"/>
      <c r="N61" s="781"/>
      <c r="O61" s="782"/>
      <c r="P61" s="820"/>
      <c r="Q61" s="770"/>
      <c r="R61" s="783"/>
      <c r="S61" s="450"/>
      <c r="T61" s="781"/>
      <c r="U61" s="770"/>
      <c r="V61" s="770"/>
    </row>
    <row r="62" spans="1:24" s="447" customFormat="1" ht="30.75" customHeight="1">
      <c r="A62" s="826" t="s">
        <v>35</v>
      </c>
      <c r="B62" s="442" t="s">
        <v>240</v>
      </c>
      <c r="C62" s="443" t="s">
        <v>243</v>
      </c>
      <c r="D62" s="443" t="s">
        <v>440</v>
      </c>
      <c r="E62" s="443" t="s">
        <v>244</v>
      </c>
      <c r="F62" s="443" t="s">
        <v>433</v>
      </c>
      <c r="G62" s="444" t="s">
        <v>245</v>
      </c>
      <c r="H62" s="443" t="s">
        <v>246</v>
      </c>
      <c r="I62" s="445" t="s">
        <v>241</v>
      </c>
      <c r="J62" s="443" t="s">
        <v>247</v>
      </c>
      <c r="K62" s="446"/>
      <c r="L62" s="442" t="s">
        <v>240</v>
      </c>
      <c r="M62" s="443" t="s">
        <v>234</v>
      </c>
      <c r="N62" s="443"/>
      <c r="O62" s="750"/>
      <c r="P62" s="817" t="s">
        <v>199</v>
      </c>
      <c r="Q62" s="443" t="s">
        <v>242</v>
      </c>
      <c r="R62" s="443" t="s">
        <v>248</v>
      </c>
      <c r="S62" s="442" t="s">
        <v>240</v>
      </c>
      <c r="T62" s="443" t="s">
        <v>234</v>
      </c>
      <c r="U62" s="443" t="s">
        <v>199</v>
      </c>
      <c r="V62" s="443" t="s">
        <v>242</v>
      </c>
      <c r="W62" s="442" t="s">
        <v>248</v>
      </c>
    </row>
    <row r="63" spans="1:24">
      <c r="A63" s="757">
        <f>IF(B63&lt;&gt;"",ROW()-62,"")</f>
        <v>1</v>
      </c>
      <c r="B63" s="825" t="s">
        <v>1127</v>
      </c>
      <c r="C63" s="798">
        <f>R63</f>
        <v>7725000</v>
      </c>
      <c r="D63" s="798">
        <f t="shared" ref="D63:G82" si="12">IF($I$136&lt;&gt;0,D$136/$I$136*$I63,0)</f>
        <v>209207.47804536394</v>
      </c>
      <c r="E63" s="798">
        <f t="shared" si="12"/>
        <v>15547.204712389777</v>
      </c>
      <c r="F63" s="796">
        <f t="shared" si="12"/>
        <v>64926.458703733631</v>
      </c>
      <c r="G63" s="796">
        <f t="shared" si="12"/>
        <v>168790.2950631252</v>
      </c>
      <c r="H63" s="798">
        <f t="shared" ref="H63:H94" si="13">ROUND(SUM(C63:G63),0)</f>
        <v>8183471</v>
      </c>
      <c r="I63" s="798">
        <v>515</v>
      </c>
      <c r="J63" s="796">
        <f>IF(I63&lt;&gt;"",H63/I63,"")</f>
        <v>15890.23495145631</v>
      </c>
      <c r="K63" s="666"/>
      <c r="L63" s="192" t="s">
        <v>709</v>
      </c>
      <c r="M63" s="773">
        <f>N63-3</f>
        <v>41364</v>
      </c>
      <c r="N63" s="771">
        <v>41367</v>
      </c>
      <c r="O63" s="772" t="s">
        <v>787</v>
      </c>
      <c r="P63" s="305">
        <f>I63</f>
        <v>515</v>
      </c>
      <c r="Q63" s="803">
        <v>15000</v>
      </c>
      <c r="R63" s="25">
        <f>P63*Q63</f>
        <v>7725000</v>
      </c>
      <c r="S63" s="448" t="s">
        <v>373</v>
      </c>
      <c r="T63" s="771">
        <v>41365</v>
      </c>
      <c r="U63" s="803">
        <v>25</v>
      </c>
      <c r="V63" s="803">
        <v>25000</v>
      </c>
      <c r="W63" s="25">
        <f>U63*V63</f>
        <v>625000</v>
      </c>
    </row>
    <row r="64" spans="1:24">
      <c r="A64" s="797">
        <f t="shared" ref="A64:A127" si="14">IF(B64&lt;&gt;"",ROW()-62,"")</f>
        <v>2</v>
      </c>
      <c r="B64" s="298" t="s">
        <v>739</v>
      </c>
      <c r="C64" s="824">
        <f t="shared" ref="C64" si="15">R64</f>
        <v>3499750</v>
      </c>
      <c r="D64" s="534">
        <f t="shared" si="12"/>
        <v>203114.05635472227</v>
      </c>
      <c r="E64" s="534">
        <f t="shared" si="12"/>
        <v>15094.373507174541</v>
      </c>
      <c r="F64" s="534">
        <f t="shared" si="12"/>
        <v>63035.396799741393</v>
      </c>
      <c r="G64" s="534">
        <f t="shared" si="12"/>
        <v>163874.07287682057</v>
      </c>
      <c r="H64" s="798">
        <f t="shared" si="13"/>
        <v>3944868</v>
      </c>
      <c r="I64" s="534">
        <v>500</v>
      </c>
      <c r="J64" s="534">
        <f t="shared" ref="J64" si="16">IF(I64&lt;&gt;"",H64/I64,"")</f>
        <v>7889.7359999999999</v>
      </c>
      <c r="K64" s="666"/>
      <c r="L64" s="843" t="s">
        <v>1227</v>
      </c>
      <c r="M64" s="773">
        <f t="shared" ref="M64:M127" si="17">N64-3</f>
        <v>41365</v>
      </c>
      <c r="N64" s="771">
        <v>41368</v>
      </c>
      <c r="O64" s="772" t="s">
        <v>789</v>
      </c>
      <c r="P64" s="305">
        <v>250</v>
      </c>
      <c r="Q64" s="803">
        <v>13999</v>
      </c>
      <c r="R64" s="25">
        <f t="shared" ref="R64" si="18">P64*Q64</f>
        <v>3499750</v>
      </c>
      <c r="S64" s="449" t="s">
        <v>346</v>
      </c>
      <c r="T64" s="771">
        <v>41365</v>
      </c>
      <c r="U64" s="801">
        <v>24</v>
      </c>
      <c r="V64" s="801">
        <v>44000</v>
      </c>
      <c r="W64" s="8">
        <f t="shared" ref="W64" si="19">U64*V64</f>
        <v>1056000</v>
      </c>
    </row>
    <row r="65" spans="1:23">
      <c r="A65" s="797">
        <f t="shared" si="14"/>
        <v>3</v>
      </c>
      <c r="B65" s="297" t="s">
        <v>481</v>
      </c>
      <c r="C65" s="824">
        <f t="shared" ref="C65:C128" si="20">R65</f>
        <v>4240384</v>
      </c>
      <c r="D65" s="534">
        <f t="shared" si="12"/>
        <v>162491.24508377782</v>
      </c>
      <c r="E65" s="534">
        <f t="shared" si="12"/>
        <v>12075.498805739633</v>
      </c>
      <c r="F65" s="534">
        <f t="shared" si="12"/>
        <v>50428.317439793114</v>
      </c>
      <c r="G65" s="534">
        <f t="shared" si="12"/>
        <v>131099.25830145646</v>
      </c>
      <c r="H65" s="798">
        <f t="shared" si="13"/>
        <v>4596478</v>
      </c>
      <c r="I65" s="534">
        <v>400</v>
      </c>
      <c r="J65" s="534">
        <f t="shared" ref="J65:J128" si="21">IF(I65&lt;&gt;"",H65/I65,"")</f>
        <v>11491.195</v>
      </c>
      <c r="K65" s="666"/>
      <c r="L65" s="843" t="s">
        <v>1170</v>
      </c>
      <c r="M65" s="773">
        <f t="shared" si="17"/>
        <v>41365</v>
      </c>
      <c r="N65" s="771">
        <v>41368</v>
      </c>
      <c r="O65" s="772" t="s">
        <v>790</v>
      </c>
      <c r="P65" s="821">
        <v>202</v>
      </c>
      <c r="Q65" s="256">
        <v>20992</v>
      </c>
      <c r="R65" s="8">
        <f t="shared" ref="R65" si="22">P65*Q65</f>
        <v>4240384</v>
      </c>
      <c r="S65" s="449"/>
      <c r="T65" s="771"/>
      <c r="U65" s="801"/>
      <c r="V65" s="801"/>
      <c r="W65" s="8">
        <f t="shared" ref="W65:W66" si="23">U65*V65</f>
        <v>0</v>
      </c>
    </row>
    <row r="66" spans="1:23">
      <c r="A66" s="797">
        <f t="shared" si="14"/>
        <v>4</v>
      </c>
      <c r="B66" s="297" t="s">
        <v>481</v>
      </c>
      <c r="C66" s="824">
        <f t="shared" si="20"/>
        <v>5255750</v>
      </c>
      <c r="D66" s="534">
        <f t="shared" si="12"/>
        <v>203114.05635472227</v>
      </c>
      <c r="E66" s="534">
        <f t="shared" si="12"/>
        <v>15094.373507174541</v>
      </c>
      <c r="F66" s="534">
        <f t="shared" si="12"/>
        <v>63035.396799741393</v>
      </c>
      <c r="G66" s="534">
        <f t="shared" si="12"/>
        <v>163874.07287682057</v>
      </c>
      <c r="H66" s="798">
        <f t="shared" si="13"/>
        <v>5700868</v>
      </c>
      <c r="I66" s="534">
        <v>500</v>
      </c>
      <c r="J66" s="534">
        <f t="shared" si="21"/>
        <v>11401.736000000001</v>
      </c>
      <c r="K66" s="666"/>
      <c r="L66" s="843" t="s">
        <v>1246</v>
      </c>
      <c r="M66" s="773">
        <f t="shared" si="17"/>
        <v>41366</v>
      </c>
      <c r="N66" s="771">
        <v>41369</v>
      </c>
      <c r="O66" s="772" t="s">
        <v>577</v>
      </c>
      <c r="P66" s="821">
        <f>I66/2</f>
        <v>250</v>
      </c>
      <c r="Q66" s="256">
        <v>21023</v>
      </c>
      <c r="R66" s="8">
        <f t="shared" ref="R66:R67" si="24">P66*Q66</f>
        <v>5255750</v>
      </c>
      <c r="S66" s="449"/>
      <c r="T66" s="773"/>
      <c r="U66" s="801"/>
      <c r="V66" s="801"/>
      <c r="W66" s="8">
        <f t="shared" si="23"/>
        <v>0</v>
      </c>
    </row>
    <row r="67" spans="1:23">
      <c r="A67" s="797">
        <f t="shared" si="14"/>
        <v>5</v>
      </c>
      <c r="B67" s="297" t="s">
        <v>793</v>
      </c>
      <c r="C67" s="824">
        <f t="shared" si="20"/>
        <v>11512804</v>
      </c>
      <c r="D67" s="534">
        <f t="shared" si="12"/>
        <v>406228.11270944454</v>
      </c>
      <c r="E67" s="534">
        <f t="shared" si="12"/>
        <v>30188.747014349083</v>
      </c>
      <c r="F67" s="534">
        <f t="shared" si="12"/>
        <v>126070.79359948279</v>
      </c>
      <c r="G67" s="534">
        <f t="shared" si="12"/>
        <v>327748.14575364115</v>
      </c>
      <c r="H67" s="798">
        <f t="shared" si="13"/>
        <v>12403040</v>
      </c>
      <c r="I67" s="534">
        <v>1000</v>
      </c>
      <c r="J67" s="534">
        <f t="shared" si="21"/>
        <v>12403.04</v>
      </c>
      <c r="K67" s="666"/>
      <c r="L67" s="843" t="s">
        <v>1174</v>
      </c>
      <c r="M67" s="773">
        <f t="shared" si="17"/>
        <v>41366</v>
      </c>
      <c r="N67" s="771">
        <v>41369</v>
      </c>
      <c r="O67" s="772" t="s">
        <v>794</v>
      </c>
      <c r="P67" s="821">
        <v>508</v>
      </c>
      <c r="Q67" s="258">
        <v>22663</v>
      </c>
      <c r="R67" s="8">
        <f t="shared" si="24"/>
        <v>11512804</v>
      </c>
      <c r="S67" s="449"/>
      <c r="T67" s="773"/>
      <c r="U67" s="801"/>
      <c r="V67" s="801"/>
      <c r="W67" s="8">
        <f t="shared" ref="W67" si="25">U67*V67</f>
        <v>0</v>
      </c>
    </row>
    <row r="68" spans="1:23">
      <c r="A68" s="797">
        <f t="shared" si="14"/>
        <v>6</v>
      </c>
      <c r="B68" s="297" t="s">
        <v>795</v>
      </c>
      <c r="C68" s="824">
        <f t="shared" si="20"/>
        <v>5665750</v>
      </c>
      <c r="D68" s="534">
        <f t="shared" si="12"/>
        <v>203114.05635472227</v>
      </c>
      <c r="E68" s="534">
        <f t="shared" si="12"/>
        <v>15094.373507174541</v>
      </c>
      <c r="F68" s="534">
        <f t="shared" si="12"/>
        <v>63035.396799741393</v>
      </c>
      <c r="G68" s="534">
        <f t="shared" si="12"/>
        <v>163874.07287682057</v>
      </c>
      <c r="H68" s="798">
        <f t="shared" si="13"/>
        <v>6110868</v>
      </c>
      <c r="I68" s="534">
        <v>500</v>
      </c>
      <c r="J68" s="534">
        <f t="shared" si="21"/>
        <v>12221.736000000001</v>
      </c>
      <c r="K68" s="666"/>
      <c r="L68" s="843" t="s">
        <v>1174</v>
      </c>
      <c r="M68" s="773">
        <f t="shared" si="17"/>
        <v>41367</v>
      </c>
      <c r="N68" s="771">
        <v>41370</v>
      </c>
      <c r="O68" s="772" t="s">
        <v>796</v>
      </c>
      <c r="P68" s="821">
        <f>I68/2</f>
        <v>250</v>
      </c>
      <c r="Q68" s="258">
        <v>22663</v>
      </c>
      <c r="R68" s="8">
        <f t="shared" ref="R68:R106" si="26">P68*Q68</f>
        <v>5665750</v>
      </c>
      <c r="S68" s="449"/>
      <c r="T68" s="773"/>
      <c r="U68" s="801"/>
      <c r="V68" s="801"/>
      <c r="W68" s="8">
        <f t="shared" ref="W68:W99" si="27">U68*V68</f>
        <v>0</v>
      </c>
    </row>
    <row r="69" spans="1:23">
      <c r="A69" s="797">
        <f t="shared" si="14"/>
        <v>7</v>
      </c>
      <c r="B69" s="297" t="s">
        <v>795</v>
      </c>
      <c r="C69" s="824">
        <f t="shared" si="20"/>
        <v>1133150</v>
      </c>
      <c r="D69" s="534">
        <f t="shared" si="12"/>
        <v>40622.811270944454</v>
      </c>
      <c r="E69" s="534">
        <f t="shared" si="12"/>
        <v>3018.8747014349083</v>
      </c>
      <c r="F69" s="534">
        <f t="shared" si="12"/>
        <v>12607.079359948279</v>
      </c>
      <c r="G69" s="534">
        <f t="shared" si="12"/>
        <v>32774.814575364115</v>
      </c>
      <c r="H69" s="798">
        <f t="shared" si="13"/>
        <v>1222174</v>
      </c>
      <c r="I69" s="534">
        <v>100</v>
      </c>
      <c r="J69" s="534">
        <f t="shared" si="21"/>
        <v>12221.74</v>
      </c>
      <c r="K69" s="666"/>
      <c r="L69" s="843" t="s">
        <v>1174</v>
      </c>
      <c r="M69" s="773">
        <f t="shared" si="17"/>
        <v>41367</v>
      </c>
      <c r="N69" s="771">
        <v>41370</v>
      </c>
      <c r="O69" s="772" t="s">
        <v>796</v>
      </c>
      <c r="P69" s="821">
        <f>I69/2</f>
        <v>50</v>
      </c>
      <c r="Q69" s="258">
        <v>22663</v>
      </c>
      <c r="R69" s="8">
        <f t="shared" si="26"/>
        <v>1133150</v>
      </c>
      <c r="S69" s="449"/>
      <c r="T69" s="773"/>
      <c r="U69" s="801"/>
      <c r="V69" s="801"/>
      <c r="W69" s="8">
        <f t="shared" si="27"/>
        <v>0</v>
      </c>
    </row>
    <row r="70" spans="1:23">
      <c r="A70" s="797">
        <f t="shared" si="14"/>
        <v>8</v>
      </c>
      <c r="B70" s="297" t="s">
        <v>1161</v>
      </c>
      <c r="C70" s="824">
        <f t="shared" si="20"/>
        <v>17625000</v>
      </c>
      <c r="D70" s="534">
        <f t="shared" si="12"/>
        <v>1620850.1697106836</v>
      </c>
      <c r="E70" s="534">
        <f t="shared" si="12"/>
        <v>120453.10058725285</v>
      </c>
      <c r="F70" s="534">
        <f t="shared" si="12"/>
        <v>503022.4664619363</v>
      </c>
      <c r="G70" s="534">
        <f t="shared" si="12"/>
        <v>1307715.1015570282</v>
      </c>
      <c r="H70" s="798">
        <f t="shared" si="13"/>
        <v>21177041</v>
      </c>
      <c r="I70" s="534">
        <v>3990</v>
      </c>
      <c r="J70" s="534">
        <f t="shared" si="21"/>
        <v>5307.5290726817038</v>
      </c>
      <c r="K70" s="666"/>
      <c r="L70" s="843" t="s">
        <v>1240</v>
      </c>
      <c r="M70" s="773">
        <f t="shared" si="17"/>
        <v>41372</v>
      </c>
      <c r="N70" s="771">
        <v>41375</v>
      </c>
      <c r="O70" s="772" t="s">
        <v>797</v>
      </c>
      <c r="P70" s="821">
        <v>1000</v>
      </c>
      <c r="Q70" s="258">
        <v>17625</v>
      </c>
      <c r="R70" s="8">
        <f t="shared" si="26"/>
        <v>17625000</v>
      </c>
      <c r="S70" s="449"/>
      <c r="T70" s="773"/>
      <c r="U70" s="801"/>
      <c r="V70" s="801"/>
      <c r="W70" s="8">
        <f t="shared" si="27"/>
        <v>0</v>
      </c>
    </row>
    <row r="71" spans="1:23">
      <c r="A71" s="797">
        <f t="shared" si="14"/>
        <v>9</v>
      </c>
      <c r="B71" s="297" t="s">
        <v>1135</v>
      </c>
      <c r="C71" s="824">
        <f t="shared" si="20"/>
        <v>13757851.128475361</v>
      </c>
      <c r="D71" s="534">
        <f t="shared" si="12"/>
        <v>1122408.2754161952</v>
      </c>
      <c r="E71" s="534">
        <f t="shared" si="12"/>
        <v>83411.508000646514</v>
      </c>
      <c r="F71" s="534">
        <f t="shared" si="12"/>
        <v>348333.60271537094</v>
      </c>
      <c r="G71" s="534">
        <f t="shared" si="12"/>
        <v>905568.12671731052</v>
      </c>
      <c r="H71" s="798">
        <f t="shared" si="13"/>
        <v>16217573</v>
      </c>
      <c r="I71" s="534">
        <v>2763</v>
      </c>
      <c r="J71" s="534">
        <f t="shared" si="21"/>
        <v>5869.5522982265657</v>
      </c>
      <c r="K71" s="666"/>
      <c r="L71" s="843" t="s">
        <v>1241</v>
      </c>
      <c r="M71" s="773">
        <f t="shared" si="17"/>
        <v>41372</v>
      </c>
      <c r="N71" s="771">
        <v>41375</v>
      </c>
      <c r="O71" s="772" t="s">
        <v>797</v>
      </c>
      <c r="P71" s="305">
        <v>691</v>
      </c>
      <c r="Q71" s="258">
        <v>19910.059520224833</v>
      </c>
      <c r="R71" s="8">
        <f t="shared" si="26"/>
        <v>13757851.128475361</v>
      </c>
      <c r="S71" s="449"/>
      <c r="T71" s="773"/>
      <c r="U71" s="801"/>
      <c r="V71" s="801"/>
      <c r="W71" s="8">
        <f t="shared" si="27"/>
        <v>0</v>
      </c>
    </row>
    <row r="72" spans="1:23">
      <c r="A72" s="797">
        <f t="shared" si="14"/>
        <v>10</v>
      </c>
      <c r="B72" s="297" t="s">
        <v>1142</v>
      </c>
      <c r="C72" s="824">
        <f t="shared" si="20"/>
        <v>1676634</v>
      </c>
      <c r="D72" s="534">
        <f t="shared" si="12"/>
        <v>41841.495609072786</v>
      </c>
      <c r="E72" s="534">
        <f t="shared" si="12"/>
        <v>3109.4409424779556</v>
      </c>
      <c r="F72" s="534">
        <f t="shared" si="12"/>
        <v>12985.291740746727</v>
      </c>
      <c r="G72" s="534">
        <f t="shared" si="12"/>
        <v>33758.059012625039</v>
      </c>
      <c r="H72" s="798">
        <f t="shared" si="13"/>
        <v>1768328</v>
      </c>
      <c r="I72" s="534">
        <v>103</v>
      </c>
      <c r="J72" s="534">
        <f t="shared" si="21"/>
        <v>17168.233009708736</v>
      </c>
      <c r="K72" s="666"/>
      <c r="L72" s="843" t="s">
        <v>1206</v>
      </c>
      <c r="M72" s="773">
        <f t="shared" si="17"/>
        <v>41372</v>
      </c>
      <c r="N72" s="771">
        <v>41375</v>
      </c>
      <c r="O72" s="772" t="s">
        <v>798</v>
      </c>
      <c r="P72" s="305">
        <v>103</v>
      </c>
      <c r="Q72" s="256">
        <v>16278</v>
      </c>
      <c r="R72" s="8">
        <f t="shared" si="26"/>
        <v>1676634</v>
      </c>
      <c r="S72" s="449"/>
      <c r="T72" s="773"/>
      <c r="U72" s="801"/>
      <c r="V72" s="801"/>
      <c r="W72" s="8">
        <f t="shared" si="27"/>
        <v>0</v>
      </c>
    </row>
    <row r="73" spans="1:23">
      <c r="A73" s="797">
        <f t="shared" si="14"/>
        <v>11</v>
      </c>
      <c r="B73" s="297" t="s">
        <v>799</v>
      </c>
      <c r="C73" s="824">
        <f t="shared" si="20"/>
        <v>93240</v>
      </c>
      <c r="D73" s="534">
        <f t="shared" si="12"/>
        <v>81245.622541888908</v>
      </c>
      <c r="E73" s="534">
        <f t="shared" si="12"/>
        <v>6037.7494028698165</v>
      </c>
      <c r="F73" s="534">
        <f t="shared" si="12"/>
        <v>25214.158719896557</v>
      </c>
      <c r="G73" s="534">
        <f t="shared" si="12"/>
        <v>65549.629150728229</v>
      </c>
      <c r="H73" s="798">
        <f t="shared" si="13"/>
        <v>271287</v>
      </c>
      <c r="I73" s="534">
        <v>200</v>
      </c>
      <c r="J73" s="534">
        <f t="shared" si="21"/>
        <v>1356.4349999999999</v>
      </c>
      <c r="K73" s="666"/>
      <c r="L73" s="843" t="s">
        <v>1190</v>
      </c>
      <c r="M73" s="773">
        <f t="shared" si="17"/>
        <v>41372</v>
      </c>
      <c r="N73" s="771">
        <v>41375</v>
      </c>
      <c r="O73" s="772" t="s">
        <v>798</v>
      </c>
      <c r="P73" s="305">
        <v>10</v>
      </c>
      <c r="Q73" s="258">
        <v>9324</v>
      </c>
      <c r="R73" s="8">
        <f t="shared" si="26"/>
        <v>93240</v>
      </c>
      <c r="S73" s="449"/>
      <c r="T73" s="773"/>
      <c r="U73" s="801"/>
      <c r="V73" s="801"/>
      <c r="W73" s="8">
        <f t="shared" si="27"/>
        <v>0</v>
      </c>
    </row>
    <row r="74" spans="1:23">
      <c r="A74" s="797">
        <f t="shared" si="14"/>
        <v>12</v>
      </c>
      <c r="B74" s="297" t="s">
        <v>1140</v>
      </c>
      <c r="C74" s="824">
        <f t="shared" si="20"/>
        <v>4329395</v>
      </c>
      <c r="D74" s="534">
        <f t="shared" si="12"/>
        <v>402165.83158235007</v>
      </c>
      <c r="E74" s="534">
        <f t="shared" si="12"/>
        <v>29886.859544205592</v>
      </c>
      <c r="F74" s="534">
        <f t="shared" si="12"/>
        <v>124810.08566348796</v>
      </c>
      <c r="G74" s="534">
        <f t="shared" si="12"/>
        <v>324470.66429610475</v>
      </c>
      <c r="H74" s="798">
        <f t="shared" si="13"/>
        <v>5210728</v>
      </c>
      <c r="I74" s="534">
        <v>990</v>
      </c>
      <c r="J74" s="534">
        <f t="shared" si="21"/>
        <v>5263.3616161616164</v>
      </c>
      <c r="K74" s="666"/>
      <c r="L74" s="843" t="s">
        <v>1269</v>
      </c>
      <c r="M74" s="773">
        <f t="shared" si="17"/>
        <v>41372</v>
      </c>
      <c r="N74" s="771">
        <v>41375</v>
      </c>
      <c r="O74" s="772" t="s">
        <v>798</v>
      </c>
      <c r="P74" s="821">
        <v>205</v>
      </c>
      <c r="Q74" s="256">
        <v>21119</v>
      </c>
      <c r="R74" s="8">
        <f t="shared" si="26"/>
        <v>4329395</v>
      </c>
      <c r="S74" s="449"/>
      <c r="T74" s="773"/>
      <c r="U74" s="801"/>
      <c r="V74" s="801"/>
      <c r="W74" s="8">
        <f t="shared" si="27"/>
        <v>0</v>
      </c>
    </row>
    <row r="75" spans="1:23">
      <c r="A75" s="797">
        <f t="shared" si="14"/>
        <v>13</v>
      </c>
      <c r="B75" s="297" t="s">
        <v>753</v>
      </c>
      <c r="C75" s="824">
        <f t="shared" si="20"/>
        <v>13426420</v>
      </c>
      <c r="D75" s="534">
        <f t="shared" si="12"/>
        <v>444819.78341684176</v>
      </c>
      <c r="E75" s="534">
        <f t="shared" si="12"/>
        <v>33056.677980712244</v>
      </c>
      <c r="F75" s="534">
        <f t="shared" si="12"/>
        <v>138047.51899143364</v>
      </c>
      <c r="G75" s="534">
        <f t="shared" si="12"/>
        <v>358884.21960023709</v>
      </c>
      <c r="H75" s="798">
        <f t="shared" si="13"/>
        <v>14401228</v>
      </c>
      <c r="I75" s="534">
        <v>1095</v>
      </c>
      <c r="J75" s="534">
        <f t="shared" si="21"/>
        <v>13151.806392694063</v>
      </c>
      <c r="K75" s="666"/>
      <c r="L75" s="843" t="s">
        <v>1252</v>
      </c>
      <c r="M75" s="773">
        <f t="shared" si="17"/>
        <v>41373</v>
      </c>
      <c r="N75" s="771">
        <v>41376</v>
      </c>
      <c r="O75" s="772" t="s">
        <v>800</v>
      </c>
      <c r="P75" s="821">
        <v>580</v>
      </c>
      <c r="Q75" s="256">
        <v>23149</v>
      </c>
      <c r="R75" s="8">
        <f t="shared" si="26"/>
        <v>13426420</v>
      </c>
      <c r="S75" s="449"/>
      <c r="T75" s="773"/>
      <c r="U75" s="801"/>
      <c r="V75" s="801"/>
      <c r="W75" s="8">
        <f t="shared" si="27"/>
        <v>0</v>
      </c>
    </row>
    <row r="76" spans="1:23">
      <c r="A76" s="797">
        <f t="shared" si="14"/>
        <v>14</v>
      </c>
      <c r="B76" s="297" t="s">
        <v>750</v>
      </c>
      <c r="C76" s="824">
        <f t="shared" si="20"/>
        <v>4079340</v>
      </c>
      <c r="D76" s="534">
        <f t="shared" si="12"/>
        <v>146242.12057540004</v>
      </c>
      <c r="E76" s="534">
        <f t="shared" si="12"/>
        <v>10867.948925165671</v>
      </c>
      <c r="F76" s="534">
        <f t="shared" si="12"/>
        <v>45385.485695813804</v>
      </c>
      <c r="G76" s="534">
        <f t="shared" si="12"/>
        <v>117989.33247131082</v>
      </c>
      <c r="H76" s="798">
        <f t="shared" si="13"/>
        <v>4399825</v>
      </c>
      <c r="I76" s="534">
        <v>360</v>
      </c>
      <c r="J76" s="534">
        <f t="shared" si="21"/>
        <v>12221.736111111111</v>
      </c>
      <c r="K76" s="666"/>
      <c r="L76" s="843" t="s">
        <v>1174</v>
      </c>
      <c r="M76" s="773">
        <f t="shared" si="17"/>
        <v>41373</v>
      </c>
      <c r="N76" s="771">
        <v>41376</v>
      </c>
      <c r="O76" s="772" t="s">
        <v>800</v>
      </c>
      <c r="P76" s="821">
        <f>I76/2</f>
        <v>180</v>
      </c>
      <c r="Q76" s="258">
        <v>22663</v>
      </c>
      <c r="R76" s="8">
        <f t="shared" si="26"/>
        <v>4079340</v>
      </c>
      <c r="S76" s="449"/>
      <c r="T76" s="773"/>
      <c r="U76" s="801"/>
      <c r="V76" s="801"/>
      <c r="W76" s="8">
        <f t="shared" si="27"/>
        <v>0</v>
      </c>
    </row>
    <row r="77" spans="1:23">
      <c r="A77" s="797">
        <f t="shared" si="14"/>
        <v>15</v>
      </c>
      <c r="B77" s="297" t="s">
        <v>1135</v>
      </c>
      <c r="C77" s="824">
        <f t="shared" si="20"/>
        <v>19571588.508381013</v>
      </c>
      <c r="D77" s="534">
        <f t="shared" si="12"/>
        <v>1596476.482948117</v>
      </c>
      <c r="E77" s="534">
        <f t="shared" si="12"/>
        <v>118641.77576639189</v>
      </c>
      <c r="F77" s="534">
        <f t="shared" si="12"/>
        <v>495458.21884596732</v>
      </c>
      <c r="G77" s="534">
        <f t="shared" si="12"/>
        <v>1288050.2128118097</v>
      </c>
      <c r="H77" s="798">
        <f t="shared" si="13"/>
        <v>23070215</v>
      </c>
      <c r="I77" s="534">
        <v>3930</v>
      </c>
      <c r="J77" s="534">
        <f t="shared" si="21"/>
        <v>5870.2837150127225</v>
      </c>
      <c r="K77" s="666"/>
      <c r="L77" s="843" t="s">
        <v>1241</v>
      </c>
      <c r="M77" s="773">
        <f t="shared" si="17"/>
        <v>41377</v>
      </c>
      <c r="N77" s="771">
        <v>41380</v>
      </c>
      <c r="O77" s="772" t="s">
        <v>801</v>
      </c>
      <c r="P77" s="305">
        <v>983</v>
      </c>
      <c r="Q77" s="258">
        <v>19910.059520224833</v>
      </c>
      <c r="R77" s="8">
        <f t="shared" si="26"/>
        <v>19571588.508381013</v>
      </c>
      <c r="S77" s="449"/>
      <c r="T77" s="773"/>
      <c r="U77" s="801"/>
      <c r="V77" s="801"/>
      <c r="W77" s="8">
        <f t="shared" si="27"/>
        <v>0</v>
      </c>
    </row>
    <row r="78" spans="1:23">
      <c r="A78" s="797">
        <f t="shared" si="14"/>
        <v>16</v>
      </c>
      <c r="B78" s="298" t="s">
        <v>838</v>
      </c>
      <c r="C78" s="824">
        <f t="shared" si="20"/>
        <v>5721750</v>
      </c>
      <c r="D78" s="534">
        <f t="shared" si="12"/>
        <v>422477.23721782229</v>
      </c>
      <c r="E78" s="534">
        <f t="shared" si="12"/>
        <v>31396.296894923045</v>
      </c>
      <c r="F78" s="534">
        <f t="shared" si="12"/>
        <v>131113.6253434621</v>
      </c>
      <c r="G78" s="534">
        <f t="shared" si="12"/>
        <v>340858.0715837868</v>
      </c>
      <c r="H78" s="798">
        <f t="shared" si="13"/>
        <v>6647595</v>
      </c>
      <c r="I78" s="534">
        <v>1040</v>
      </c>
      <c r="J78" s="534">
        <f t="shared" si="21"/>
        <v>6391.9182692307695</v>
      </c>
      <c r="K78" s="666"/>
      <c r="L78" s="843" t="s">
        <v>1260</v>
      </c>
      <c r="M78" s="773">
        <f t="shared" si="17"/>
        <v>41377</v>
      </c>
      <c r="N78" s="771">
        <v>41380</v>
      </c>
      <c r="O78" s="772" t="s">
        <v>802</v>
      </c>
      <c r="P78" s="305">
        <v>250</v>
      </c>
      <c r="Q78" s="258">
        <v>22887</v>
      </c>
      <c r="R78" s="8">
        <f t="shared" si="26"/>
        <v>5721750</v>
      </c>
      <c r="S78" s="449"/>
      <c r="T78" s="773"/>
      <c r="U78" s="801"/>
      <c r="V78" s="801"/>
      <c r="W78" s="8">
        <f t="shared" si="27"/>
        <v>0</v>
      </c>
    </row>
    <row r="79" spans="1:23">
      <c r="A79" s="797">
        <f t="shared" si="14"/>
        <v>17</v>
      </c>
      <c r="B79" s="297" t="s">
        <v>739</v>
      </c>
      <c r="C79" s="824">
        <f t="shared" si="20"/>
        <v>4607720</v>
      </c>
      <c r="D79" s="534">
        <f t="shared" si="12"/>
        <v>272172.83551532781</v>
      </c>
      <c r="E79" s="534">
        <f t="shared" si="12"/>
        <v>20226.460499613884</v>
      </c>
      <c r="F79" s="534">
        <f t="shared" si="12"/>
        <v>84467.431711653466</v>
      </c>
      <c r="G79" s="534">
        <f t="shared" si="12"/>
        <v>219591.25765493957</v>
      </c>
      <c r="H79" s="798">
        <f t="shared" si="13"/>
        <v>5204178</v>
      </c>
      <c r="I79" s="534">
        <v>670</v>
      </c>
      <c r="J79" s="534">
        <f t="shared" si="21"/>
        <v>7767.429850746269</v>
      </c>
      <c r="K79" s="666"/>
      <c r="L79" s="843" t="s">
        <v>1208</v>
      </c>
      <c r="M79" s="773">
        <f t="shared" si="17"/>
        <v>41378</v>
      </c>
      <c r="N79" s="771">
        <v>41381</v>
      </c>
      <c r="O79" s="772" t="s">
        <v>482</v>
      </c>
      <c r="P79" s="305">
        <v>260</v>
      </c>
      <c r="Q79" s="258">
        <v>17722</v>
      </c>
      <c r="R79" s="8">
        <f t="shared" si="26"/>
        <v>4607720</v>
      </c>
      <c r="S79" s="449"/>
      <c r="T79" s="773"/>
      <c r="U79" s="801"/>
      <c r="V79" s="801"/>
      <c r="W79" s="8">
        <f t="shared" si="27"/>
        <v>0</v>
      </c>
    </row>
    <row r="80" spans="1:23">
      <c r="A80" s="797">
        <f t="shared" si="14"/>
        <v>18</v>
      </c>
      <c r="B80" s="297" t="s">
        <v>803</v>
      </c>
      <c r="C80" s="824">
        <f t="shared" si="20"/>
        <v>3639740</v>
      </c>
      <c r="D80" s="534">
        <f t="shared" si="12"/>
        <v>208801.24993265449</v>
      </c>
      <c r="E80" s="534">
        <f t="shared" si="12"/>
        <v>15517.015965375429</v>
      </c>
      <c r="F80" s="534">
        <f t="shared" si="12"/>
        <v>64800.387910134152</v>
      </c>
      <c r="G80" s="534">
        <f t="shared" si="12"/>
        <v>168462.54691737154</v>
      </c>
      <c r="H80" s="798">
        <f t="shared" si="13"/>
        <v>4097321</v>
      </c>
      <c r="I80" s="534">
        <v>514</v>
      </c>
      <c r="J80" s="534">
        <f t="shared" si="21"/>
        <v>7971.4416342412451</v>
      </c>
      <c r="K80" s="666"/>
      <c r="L80" s="843" t="s">
        <v>1227</v>
      </c>
      <c r="M80" s="773">
        <f t="shared" si="17"/>
        <v>41384</v>
      </c>
      <c r="N80" s="771">
        <v>41387</v>
      </c>
      <c r="O80" s="772" t="s">
        <v>804</v>
      </c>
      <c r="P80" s="305">
        <v>260</v>
      </c>
      <c r="Q80" s="258">
        <v>13999</v>
      </c>
      <c r="R80" s="8">
        <f t="shared" si="26"/>
        <v>3639740</v>
      </c>
      <c r="S80" s="449"/>
      <c r="T80" s="773"/>
      <c r="U80" s="801"/>
      <c r="V80" s="801"/>
      <c r="W80" s="8">
        <f t="shared" si="27"/>
        <v>0</v>
      </c>
    </row>
    <row r="81" spans="1:23">
      <c r="A81" s="797">
        <f t="shared" si="14"/>
        <v>19</v>
      </c>
      <c r="B81" s="297" t="s">
        <v>806</v>
      </c>
      <c r="C81" s="824">
        <f t="shared" si="20"/>
        <v>4183446</v>
      </c>
      <c r="D81" s="534">
        <f t="shared" si="12"/>
        <v>211238.61860891114</v>
      </c>
      <c r="E81" s="534">
        <f t="shared" si="12"/>
        <v>15698.148447461523</v>
      </c>
      <c r="F81" s="534">
        <f t="shared" si="12"/>
        <v>65556.812671731052</v>
      </c>
      <c r="G81" s="534">
        <f t="shared" si="12"/>
        <v>170429.0357918934</v>
      </c>
      <c r="H81" s="798">
        <f t="shared" si="13"/>
        <v>4646369</v>
      </c>
      <c r="I81" s="534">
        <v>520</v>
      </c>
      <c r="J81" s="534">
        <f t="shared" si="21"/>
        <v>8935.3250000000007</v>
      </c>
      <c r="K81" s="666"/>
      <c r="L81" s="843" t="s">
        <v>1206</v>
      </c>
      <c r="M81" s="773">
        <f t="shared" si="17"/>
        <v>41384</v>
      </c>
      <c r="N81" s="771">
        <v>41387</v>
      </c>
      <c r="O81" s="772" t="s">
        <v>804</v>
      </c>
      <c r="P81" s="305">
        <v>257</v>
      </c>
      <c r="Q81" s="258">
        <v>16278</v>
      </c>
      <c r="R81" s="8">
        <f t="shared" si="26"/>
        <v>4183446</v>
      </c>
      <c r="S81" s="449"/>
      <c r="T81" s="773"/>
      <c r="U81" s="801"/>
      <c r="V81" s="801"/>
      <c r="W81" s="8">
        <f t="shared" si="27"/>
        <v>0</v>
      </c>
    </row>
    <row r="82" spans="1:23">
      <c r="A82" s="797">
        <f t="shared" si="14"/>
        <v>20</v>
      </c>
      <c r="B82" s="297" t="s">
        <v>1139</v>
      </c>
      <c r="C82" s="824">
        <f t="shared" si="20"/>
        <v>1554400</v>
      </c>
      <c r="D82" s="534">
        <f t="shared" si="12"/>
        <v>40622.811270944454</v>
      </c>
      <c r="E82" s="534">
        <f t="shared" si="12"/>
        <v>3018.8747014349083</v>
      </c>
      <c r="F82" s="534">
        <f t="shared" si="12"/>
        <v>12607.079359948279</v>
      </c>
      <c r="G82" s="534">
        <f t="shared" si="12"/>
        <v>32774.814575364115</v>
      </c>
      <c r="H82" s="798">
        <f t="shared" si="13"/>
        <v>1643424</v>
      </c>
      <c r="I82" s="534">
        <v>100</v>
      </c>
      <c r="J82" s="534">
        <f t="shared" si="21"/>
        <v>16434.240000000002</v>
      </c>
      <c r="K82" s="666"/>
      <c r="L82" s="843" t="s">
        <v>1194</v>
      </c>
      <c r="M82" s="773">
        <f t="shared" si="17"/>
        <v>41385</v>
      </c>
      <c r="N82" s="771">
        <v>41388</v>
      </c>
      <c r="O82" s="772" t="s">
        <v>807</v>
      </c>
      <c r="P82" s="305">
        <v>100</v>
      </c>
      <c r="Q82" s="256">
        <v>15544</v>
      </c>
      <c r="R82" s="8">
        <f t="shared" si="26"/>
        <v>1554400</v>
      </c>
      <c r="S82" s="449"/>
      <c r="T82" s="773"/>
      <c r="U82" s="801"/>
      <c r="V82" s="801"/>
      <c r="W82" s="8">
        <f t="shared" si="27"/>
        <v>0</v>
      </c>
    </row>
    <row r="83" spans="1:23">
      <c r="A83" s="797">
        <f t="shared" si="14"/>
        <v>21</v>
      </c>
      <c r="B83" s="297" t="s">
        <v>1145</v>
      </c>
      <c r="C83" s="824">
        <f t="shared" si="20"/>
        <v>1383129</v>
      </c>
      <c r="D83" s="534">
        <f t="shared" ref="D83:G102" si="28">IF($I$136&lt;&gt;0,D$136/$I$136*$I83,0)</f>
        <v>40216.583158235007</v>
      </c>
      <c r="E83" s="534">
        <f t="shared" si="28"/>
        <v>2988.685954420559</v>
      </c>
      <c r="F83" s="534">
        <f t="shared" si="28"/>
        <v>12481.008566348795</v>
      </c>
      <c r="G83" s="534">
        <f t="shared" si="28"/>
        <v>32447.066429610473</v>
      </c>
      <c r="H83" s="798">
        <f t="shared" si="13"/>
        <v>1471262</v>
      </c>
      <c r="I83" s="534">
        <v>99</v>
      </c>
      <c r="J83" s="534">
        <f t="shared" si="21"/>
        <v>14861.232323232323</v>
      </c>
      <c r="K83" s="666"/>
      <c r="L83" s="843" t="s">
        <v>1226</v>
      </c>
      <c r="M83" s="773">
        <f t="shared" si="17"/>
        <v>41385</v>
      </c>
      <c r="N83" s="771">
        <v>41388</v>
      </c>
      <c r="O83" s="772" t="s">
        <v>807</v>
      </c>
      <c r="P83" s="821">
        <f>I83</f>
        <v>99</v>
      </c>
      <c r="Q83" s="258">
        <v>13971</v>
      </c>
      <c r="R83" s="8">
        <f t="shared" si="26"/>
        <v>1383129</v>
      </c>
      <c r="S83" s="449"/>
      <c r="T83" s="773"/>
      <c r="U83" s="801"/>
      <c r="V83" s="801"/>
      <c r="W83" s="8">
        <f t="shared" si="27"/>
        <v>0</v>
      </c>
    </row>
    <row r="84" spans="1:23">
      <c r="A84" s="797">
        <f t="shared" si="14"/>
        <v>22</v>
      </c>
      <c r="B84" s="297" t="s">
        <v>808</v>
      </c>
      <c r="C84" s="824">
        <f t="shared" si="20"/>
        <v>1012800</v>
      </c>
      <c r="D84" s="534">
        <f t="shared" si="28"/>
        <v>81245.622541888908</v>
      </c>
      <c r="E84" s="534">
        <f t="shared" si="28"/>
        <v>6037.7494028698165</v>
      </c>
      <c r="F84" s="534">
        <f t="shared" si="28"/>
        <v>25214.158719896557</v>
      </c>
      <c r="G84" s="534">
        <f t="shared" si="28"/>
        <v>65549.629150728229</v>
      </c>
      <c r="H84" s="798">
        <f t="shared" si="13"/>
        <v>1190847</v>
      </c>
      <c r="I84" s="534">
        <v>200</v>
      </c>
      <c r="J84" s="534">
        <f t="shared" si="21"/>
        <v>5954.2349999999997</v>
      </c>
      <c r="K84" s="666"/>
      <c r="L84" s="843" t="s">
        <v>1236</v>
      </c>
      <c r="M84" s="773">
        <f t="shared" si="17"/>
        <v>41385</v>
      </c>
      <c r="N84" s="771">
        <v>41388</v>
      </c>
      <c r="O84" s="772" t="s">
        <v>809</v>
      </c>
      <c r="P84" s="305">
        <v>64</v>
      </c>
      <c r="Q84" s="258">
        <v>15825</v>
      </c>
      <c r="R84" s="8">
        <f t="shared" si="26"/>
        <v>1012800</v>
      </c>
      <c r="S84" s="449"/>
      <c r="T84" s="773"/>
      <c r="U84" s="801"/>
      <c r="V84" s="801"/>
      <c r="W84" s="8">
        <f t="shared" si="27"/>
        <v>0</v>
      </c>
    </row>
    <row r="85" spans="1:23">
      <c r="A85" s="797">
        <f t="shared" si="14"/>
        <v>23</v>
      </c>
      <c r="B85" s="297" t="s">
        <v>810</v>
      </c>
      <c r="C85" s="824">
        <f t="shared" si="20"/>
        <v>845163.58620689658</v>
      </c>
      <c r="D85" s="534">
        <f t="shared" si="28"/>
        <v>82870.53499272668</v>
      </c>
      <c r="E85" s="534">
        <f t="shared" si="28"/>
        <v>6158.5043909272126</v>
      </c>
      <c r="F85" s="534">
        <f t="shared" si="28"/>
        <v>25718.441894294487</v>
      </c>
      <c r="G85" s="534">
        <f t="shared" si="28"/>
        <v>66860.621733742795</v>
      </c>
      <c r="H85" s="798">
        <f t="shared" si="13"/>
        <v>1026772</v>
      </c>
      <c r="I85" s="534">
        <v>204</v>
      </c>
      <c r="J85" s="534">
        <f t="shared" si="21"/>
        <v>5033.1960784313724</v>
      </c>
      <c r="K85" s="666"/>
      <c r="L85" s="843" t="s">
        <v>1222</v>
      </c>
      <c r="M85" s="773">
        <f t="shared" si="17"/>
        <v>41385</v>
      </c>
      <c r="N85" s="771">
        <v>41388</v>
      </c>
      <c r="O85" s="772" t="s">
        <v>809</v>
      </c>
      <c r="P85" s="305">
        <v>70</v>
      </c>
      <c r="Q85" s="258">
        <v>12073.76551724138</v>
      </c>
      <c r="R85" s="8">
        <f t="shared" si="26"/>
        <v>845163.58620689658</v>
      </c>
      <c r="S85" s="449"/>
      <c r="T85" s="773"/>
      <c r="U85" s="801"/>
      <c r="V85" s="801"/>
      <c r="W85" s="8">
        <f t="shared" si="27"/>
        <v>0</v>
      </c>
    </row>
    <row r="86" spans="1:23">
      <c r="A86" s="797">
        <f t="shared" si="14"/>
        <v>24</v>
      </c>
      <c r="B86" s="297" t="s">
        <v>1135</v>
      </c>
      <c r="C86" s="824">
        <f t="shared" si="20"/>
        <v>20308260.710629329</v>
      </c>
      <c r="D86" s="534">
        <f t="shared" si="28"/>
        <v>1657410.6998545337</v>
      </c>
      <c r="E86" s="534">
        <f t="shared" si="28"/>
        <v>123170.08781854426</v>
      </c>
      <c r="F86" s="534">
        <f t="shared" si="28"/>
        <v>514368.83788588975</v>
      </c>
      <c r="G86" s="534">
        <f t="shared" si="28"/>
        <v>1337212.434674856</v>
      </c>
      <c r="H86" s="798">
        <f t="shared" si="13"/>
        <v>23940423</v>
      </c>
      <c r="I86" s="534">
        <v>4080</v>
      </c>
      <c r="J86" s="534">
        <f t="shared" si="21"/>
        <v>5867.7507352941175</v>
      </c>
      <c r="K86" s="666"/>
      <c r="L86" s="843" t="s">
        <v>1241</v>
      </c>
      <c r="M86" s="773">
        <f t="shared" si="17"/>
        <v>41386</v>
      </c>
      <c r="N86" s="771">
        <v>41389</v>
      </c>
      <c r="O86" s="772" t="s">
        <v>811</v>
      </c>
      <c r="P86" s="305">
        <f>I86/4</f>
        <v>1020</v>
      </c>
      <c r="Q86" s="258">
        <v>19910.059520224833</v>
      </c>
      <c r="R86" s="8">
        <f t="shared" si="26"/>
        <v>20308260.710629329</v>
      </c>
      <c r="S86" s="449"/>
      <c r="T86" s="773"/>
      <c r="U86" s="801"/>
      <c r="V86" s="801"/>
      <c r="W86" s="8">
        <f t="shared" si="27"/>
        <v>0</v>
      </c>
    </row>
    <row r="87" spans="1:23">
      <c r="A87" s="797">
        <f t="shared" si="14"/>
        <v>25</v>
      </c>
      <c r="B87" s="297" t="s">
        <v>812</v>
      </c>
      <c r="C87" s="824">
        <f t="shared" si="20"/>
        <v>2834560</v>
      </c>
      <c r="D87" s="534">
        <f t="shared" si="28"/>
        <v>125930.7149399278</v>
      </c>
      <c r="E87" s="534">
        <f t="shared" si="28"/>
        <v>9358.5115744482155</v>
      </c>
      <c r="F87" s="534">
        <f t="shared" si="28"/>
        <v>39081.946015839661</v>
      </c>
      <c r="G87" s="534">
        <f t="shared" si="28"/>
        <v>101601.92518362876</v>
      </c>
      <c r="H87" s="798">
        <f t="shared" si="13"/>
        <v>3110533</v>
      </c>
      <c r="I87" s="534">
        <v>310</v>
      </c>
      <c r="J87" s="534">
        <f t="shared" si="21"/>
        <v>10033.977419354838</v>
      </c>
      <c r="K87" s="666"/>
      <c r="L87" s="843" t="s">
        <v>1199</v>
      </c>
      <c r="M87" s="773">
        <f t="shared" si="17"/>
        <v>41388</v>
      </c>
      <c r="N87" s="771">
        <v>41391</v>
      </c>
      <c r="O87" s="772" t="s">
        <v>813</v>
      </c>
      <c r="P87" s="821">
        <v>160</v>
      </c>
      <c r="Q87" s="258">
        <v>17716</v>
      </c>
      <c r="R87" s="8">
        <f t="shared" si="26"/>
        <v>2834560</v>
      </c>
      <c r="S87" s="449"/>
      <c r="T87" s="773"/>
      <c r="U87" s="801"/>
      <c r="V87" s="801"/>
      <c r="W87" s="8">
        <f t="shared" si="27"/>
        <v>0</v>
      </c>
    </row>
    <row r="88" spans="1:23">
      <c r="A88" s="797">
        <f t="shared" si="14"/>
        <v>26</v>
      </c>
      <c r="B88" s="297" t="s">
        <v>814</v>
      </c>
      <c r="C88" s="824">
        <f t="shared" si="20"/>
        <v>1595886</v>
      </c>
      <c r="D88" s="534">
        <f t="shared" si="28"/>
        <v>91401.325359625014</v>
      </c>
      <c r="E88" s="534">
        <f t="shared" si="28"/>
        <v>6792.4680782285441</v>
      </c>
      <c r="F88" s="534">
        <f t="shared" si="28"/>
        <v>28365.928559883625</v>
      </c>
      <c r="G88" s="534">
        <f t="shared" si="28"/>
        <v>73743.332794569258</v>
      </c>
      <c r="H88" s="798">
        <f t="shared" si="13"/>
        <v>1796189</v>
      </c>
      <c r="I88" s="534">
        <v>225</v>
      </c>
      <c r="J88" s="534">
        <f t="shared" si="21"/>
        <v>7983.0622222222219</v>
      </c>
      <c r="K88" s="666"/>
      <c r="L88" s="843" t="s">
        <v>1227</v>
      </c>
      <c r="M88" s="773">
        <f t="shared" si="17"/>
        <v>41388</v>
      </c>
      <c r="N88" s="771">
        <v>41391</v>
      </c>
      <c r="O88" s="772" t="s">
        <v>813</v>
      </c>
      <c r="P88" s="305">
        <v>114</v>
      </c>
      <c r="Q88" s="258">
        <v>13999</v>
      </c>
      <c r="R88" s="8">
        <f t="shared" si="26"/>
        <v>1595886</v>
      </c>
      <c r="S88" s="449"/>
      <c r="T88" s="773"/>
      <c r="U88" s="801"/>
      <c r="V88" s="801"/>
      <c r="W88" s="8">
        <f t="shared" si="27"/>
        <v>0</v>
      </c>
    </row>
    <row r="89" spans="1:23">
      <c r="A89" s="797">
        <f t="shared" si="14"/>
        <v>27</v>
      </c>
      <c r="B89" s="297" t="s">
        <v>815</v>
      </c>
      <c r="C89" s="824">
        <f t="shared" si="20"/>
        <v>8306620.7230483275</v>
      </c>
      <c r="D89" s="534">
        <f t="shared" si="28"/>
        <v>208801.24993265449</v>
      </c>
      <c r="E89" s="534">
        <f t="shared" si="28"/>
        <v>15517.015965375429</v>
      </c>
      <c r="F89" s="534">
        <f t="shared" si="28"/>
        <v>64800.387910134152</v>
      </c>
      <c r="G89" s="534">
        <f t="shared" si="28"/>
        <v>168462.54691737154</v>
      </c>
      <c r="H89" s="798">
        <f t="shared" si="13"/>
        <v>8764202</v>
      </c>
      <c r="I89" s="534">
        <v>514</v>
      </c>
      <c r="J89" s="534">
        <f t="shared" si="21"/>
        <v>17050.9766536965</v>
      </c>
      <c r="K89" s="666"/>
      <c r="L89" s="843" t="s">
        <v>1247</v>
      </c>
      <c r="M89" s="773">
        <f t="shared" si="17"/>
        <v>41397</v>
      </c>
      <c r="N89" s="771">
        <v>41400</v>
      </c>
      <c r="O89" s="772" t="s">
        <v>816</v>
      </c>
      <c r="P89" s="821">
        <f>I89/2</f>
        <v>257</v>
      </c>
      <c r="Q89" s="803">
        <v>32321.481412639405</v>
      </c>
      <c r="R89" s="8">
        <f t="shared" si="26"/>
        <v>8306620.7230483275</v>
      </c>
      <c r="S89" s="449"/>
      <c r="T89" s="773"/>
      <c r="U89" s="801"/>
      <c r="V89" s="801"/>
      <c r="W89" s="8">
        <f t="shared" si="27"/>
        <v>0</v>
      </c>
    </row>
    <row r="90" spans="1:23">
      <c r="A90" s="797">
        <f t="shared" si="14"/>
        <v>28</v>
      </c>
      <c r="B90" s="297" t="s">
        <v>817</v>
      </c>
      <c r="C90" s="824">
        <f t="shared" si="20"/>
        <v>159016</v>
      </c>
      <c r="D90" s="534">
        <f t="shared" si="28"/>
        <v>406228.11270944454</v>
      </c>
      <c r="E90" s="534">
        <f t="shared" si="28"/>
        <v>30188.747014349083</v>
      </c>
      <c r="F90" s="534">
        <f t="shared" si="28"/>
        <v>126070.79359948279</v>
      </c>
      <c r="G90" s="534">
        <f t="shared" si="28"/>
        <v>327748.14575364115</v>
      </c>
      <c r="H90" s="798">
        <f t="shared" si="13"/>
        <v>1049252</v>
      </c>
      <c r="I90" s="534">
        <v>1000</v>
      </c>
      <c r="J90" s="534">
        <f t="shared" si="21"/>
        <v>1049.252</v>
      </c>
      <c r="K90" s="666"/>
      <c r="L90" s="843" t="s">
        <v>1184</v>
      </c>
      <c r="M90" s="773">
        <f t="shared" si="17"/>
        <v>41397</v>
      </c>
      <c r="N90" s="771">
        <v>41400</v>
      </c>
      <c r="O90" s="772" t="s">
        <v>816</v>
      </c>
      <c r="P90" s="305">
        <v>11</v>
      </c>
      <c r="Q90" s="258">
        <v>14456</v>
      </c>
      <c r="R90" s="8">
        <f t="shared" si="26"/>
        <v>159016</v>
      </c>
      <c r="S90" s="449"/>
      <c r="T90" s="773"/>
      <c r="U90" s="801"/>
      <c r="V90" s="801"/>
      <c r="W90" s="8">
        <f t="shared" si="27"/>
        <v>0</v>
      </c>
    </row>
    <row r="91" spans="1:23">
      <c r="A91" s="797">
        <f t="shared" si="14"/>
        <v>29</v>
      </c>
      <c r="B91" s="297" t="s">
        <v>818</v>
      </c>
      <c r="C91" s="824">
        <f t="shared" si="20"/>
        <v>3681500</v>
      </c>
      <c r="D91" s="534">
        <f t="shared" si="28"/>
        <v>203114.05635472227</v>
      </c>
      <c r="E91" s="534">
        <f t="shared" si="28"/>
        <v>15094.373507174541</v>
      </c>
      <c r="F91" s="534">
        <f t="shared" si="28"/>
        <v>63035.396799741393</v>
      </c>
      <c r="G91" s="534">
        <f t="shared" si="28"/>
        <v>163874.07287682057</v>
      </c>
      <c r="H91" s="798">
        <f t="shared" si="13"/>
        <v>4126618</v>
      </c>
      <c r="I91" s="534">
        <v>500</v>
      </c>
      <c r="J91" s="534">
        <f t="shared" si="21"/>
        <v>8253.2360000000008</v>
      </c>
      <c r="K91" s="666"/>
      <c r="L91" s="843" t="s">
        <v>1243</v>
      </c>
      <c r="M91" s="773">
        <f t="shared" si="17"/>
        <v>41398</v>
      </c>
      <c r="N91" s="771">
        <v>41401</v>
      </c>
      <c r="O91" s="772" t="s">
        <v>819</v>
      </c>
      <c r="P91" s="305">
        <v>250</v>
      </c>
      <c r="Q91" s="258">
        <v>14726</v>
      </c>
      <c r="R91" s="8">
        <f t="shared" si="26"/>
        <v>3681500</v>
      </c>
      <c r="S91" s="449"/>
      <c r="T91" s="773"/>
      <c r="U91" s="801"/>
      <c r="V91" s="801"/>
      <c r="W91" s="8">
        <f t="shared" si="27"/>
        <v>0</v>
      </c>
    </row>
    <row r="92" spans="1:23">
      <c r="A92" s="797">
        <f t="shared" si="14"/>
        <v>30</v>
      </c>
      <c r="B92" s="297" t="s">
        <v>812</v>
      </c>
      <c r="C92" s="824">
        <f t="shared" si="20"/>
        <v>1062960</v>
      </c>
      <c r="D92" s="534">
        <f t="shared" si="28"/>
        <v>45903.77673616723</v>
      </c>
      <c r="E92" s="534">
        <f t="shared" si="28"/>
        <v>3411.3284126214462</v>
      </c>
      <c r="F92" s="534">
        <f t="shared" si="28"/>
        <v>14245.999676741554</v>
      </c>
      <c r="G92" s="534">
        <f t="shared" si="28"/>
        <v>37035.540470161453</v>
      </c>
      <c r="H92" s="798">
        <f t="shared" si="13"/>
        <v>1163557</v>
      </c>
      <c r="I92" s="534">
        <v>113</v>
      </c>
      <c r="J92" s="534">
        <f t="shared" si="21"/>
        <v>10296.964601769912</v>
      </c>
      <c r="K92" s="666"/>
      <c r="L92" s="843" t="s">
        <v>1199</v>
      </c>
      <c r="M92" s="773">
        <f t="shared" si="17"/>
        <v>41406</v>
      </c>
      <c r="N92" s="771">
        <v>41409</v>
      </c>
      <c r="O92" s="772" t="s">
        <v>820</v>
      </c>
      <c r="P92" s="821">
        <v>60</v>
      </c>
      <c r="Q92" s="258">
        <v>17716</v>
      </c>
      <c r="R92" s="8">
        <f t="shared" si="26"/>
        <v>1062960</v>
      </c>
      <c r="S92" s="449"/>
      <c r="T92" s="773"/>
      <c r="U92" s="801"/>
      <c r="V92" s="801"/>
      <c r="W92" s="8">
        <f t="shared" si="27"/>
        <v>0</v>
      </c>
    </row>
    <row r="93" spans="1:23">
      <c r="A93" s="797">
        <f t="shared" si="14"/>
        <v>31</v>
      </c>
      <c r="B93" s="297" t="s">
        <v>1129</v>
      </c>
      <c r="C93" s="824">
        <f t="shared" si="20"/>
        <v>1088100</v>
      </c>
      <c r="D93" s="534">
        <f t="shared" si="28"/>
        <v>80433.166316470015</v>
      </c>
      <c r="E93" s="534">
        <f t="shared" si="28"/>
        <v>5977.3719088411181</v>
      </c>
      <c r="F93" s="534">
        <f t="shared" si="28"/>
        <v>24962.017132697591</v>
      </c>
      <c r="G93" s="534">
        <f t="shared" si="28"/>
        <v>64894.132859220947</v>
      </c>
      <c r="H93" s="798">
        <f t="shared" si="13"/>
        <v>1264367</v>
      </c>
      <c r="I93" s="534">
        <v>198</v>
      </c>
      <c r="J93" s="534">
        <f t="shared" si="21"/>
        <v>6385.6919191919196</v>
      </c>
      <c r="K93" s="666"/>
      <c r="L93" s="843" t="s">
        <v>1213</v>
      </c>
      <c r="M93" s="773">
        <f t="shared" si="17"/>
        <v>41406</v>
      </c>
      <c r="N93" s="771">
        <v>41409</v>
      </c>
      <c r="O93" s="772" t="s">
        <v>820</v>
      </c>
      <c r="P93" s="305">
        <v>50</v>
      </c>
      <c r="Q93" s="256">
        <v>21762</v>
      </c>
      <c r="R93" s="8">
        <f t="shared" si="26"/>
        <v>1088100</v>
      </c>
      <c r="S93" s="449"/>
      <c r="T93" s="773"/>
      <c r="U93" s="801"/>
      <c r="V93" s="801"/>
      <c r="W93" s="8">
        <f t="shared" si="27"/>
        <v>0</v>
      </c>
    </row>
    <row r="94" spans="1:23">
      <c r="A94" s="797">
        <f t="shared" si="14"/>
        <v>32</v>
      </c>
      <c r="B94" s="298" t="s">
        <v>1128</v>
      </c>
      <c r="C94" s="824">
        <f t="shared" si="20"/>
        <v>1328114.2068965519</v>
      </c>
      <c r="D94" s="534">
        <f t="shared" si="28"/>
        <v>42247.723721782233</v>
      </c>
      <c r="E94" s="534">
        <f t="shared" si="28"/>
        <v>3139.6296894923048</v>
      </c>
      <c r="F94" s="534">
        <f t="shared" si="28"/>
        <v>13111.36253434621</v>
      </c>
      <c r="G94" s="534">
        <f t="shared" si="28"/>
        <v>34085.80715837868</v>
      </c>
      <c r="H94" s="798">
        <f t="shared" si="13"/>
        <v>1420699</v>
      </c>
      <c r="I94" s="534">
        <v>104</v>
      </c>
      <c r="J94" s="534">
        <f t="shared" si="21"/>
        <v>13660.567307692309</v>
      </c>
      <c r="K94" s="666"/>
      <c r="L94" s="843" t="s">
        <v>1222</v>
      </c>
      <c r="M94" s="773">
        <f t="shared" si="17"/>
        <v>41406</v>
      </c>
      <c r="N94" s="771">
        <v>41409</v>
      </c>
      <c r="O94" s="772" t="s">
        <v>820</v>
      </c>
      <c r="P94" s="821">
        <v>110</v>
      </c>
      <c r="Q94" s="258">
        <v>12073.76551724138</v>
      </c>
      <c r="R94" s="8">
        <f t="shared" si="26"/>
        <v>1328114.2068965519</v>
      </c>
      <c r="S94" s="449"/>
      <c r="T94" s="773"/>
      <c r="U94" s="801"/>
      <c r="V94" s="801"/>
      <c r="W94" s="8">
        <f t="shared" si="27"/>
        <v>0</v>
      </c>
    </row>
    <row r="95" spans="1:23">
      <c r="A95" s="797">
        <f t="shared" si="14"/>
        <v>33</v>
      </c>
      <c r="B95" s="297" t="s">
        <v>814</v>
      </c>
      <c r="C95" s="824">
        <f t="shared" si="20"/>
        <v>1483894</v>
      </c>
      <c r="D95" s="534">
        <f t="shared" si="28"/>
        <v>85714.131781692791</v>
      </c>
      <c r="E95" s="534">
        <f t="shared" si="28"/>
        <v>6369.8256200276564</v>
      </c>
      <c r="F95" s="534">
        <f t="shared" si="28"/>
        <v>26600.937449490866</v>
      </c>
      <c r="G95" s="534">
        <f t="shared" si="28"/>
        <v>69154.858754018278</v>
      </c>
      <c r="H95" s="798">
        <f t="shared" ref="H95:H126" si="29">ROUND(SUM(C95:G95),0)</f>
        <v>1671734</v>
      </c>
      <c r="I95" s="534">
        <v>211</v>
      </c>
      <c r="J95" s="534">
        <f t="shared" si="21"/>
        <v>7922.9099526066348</v>
      </c>
      <c r="K95" s="666"/>
      <c r="L95" s="843" t="s">
        <v>1227</v>
      </c>
      <c r="M95" s="773">
        <f t="shared" si="17"/>
        <v>41406</v>
      </c>
      <c r="N95" s="771">
        <v>41409</v>
      </c>
      <c r="O95" s="772" t="s">
        <v>820</v>
      </c>
      <c r="P95" s="305">
        <v>106</v>
      </c>
      <c r="Q95" s="258">
        <v>13999</v>
      </c>
      <c r="R95" s="8">
        <f t="shared" si="26"/>
        <v>1483894</v>
      </c>
      <c r="S95" s="449"/>
      <c r="T95" s="773"/>
      <c r="U95" s="801"/>
      <c r="V95" s="801"/>
      <c r="W95" s="8">
        <f t="shared" si="27"/>
        <v>0</v>
      </c>
    </row>
    <row r="96" spans="1:23">
      <c r="A96" s="797">
        <f t="shared" si="14"/>
        <v>34</v>
      </c>
      <c r="B96" s="297" t="s">
        <v>481</v>
      </c>
      <c r="C96" s="824">
        <f t="shared" si="20"/>
        <v>15819400</v>
      </c>
      <c r="D96" s="534">
        <f t="shared" si="28"/>
        <v>812456.22541888908</v>
      </c>
      <c r="E96" s="534">
        <f t="shared" si="28"/>
        <v>60377.494028698165</v>
      </c>
      <c r="F96" s="534">
        <f t="shared" si="28"/>
        <v>252141.58719896557</v>
      </c>
      <c r="G96" s="534">
        <f t="shared" si="28"/>
        <v>655496.29150728229</v>
      </c>
      <c r="H96" s="798">
        <f t="shared" si="29"/>
        <v>17599872</v>
      </c>
      <c r="I96" s="534">
        <v>2000</v>
      </c>
      <c r="J96" s="534">
        <f t="shared" si="21"/>
        <v>8799.9359999999997</v>
      </c>
      <c r="K96" s="666"/>
      <c r="L96" s="843" t="s">
        <v>1171</v>
      </c>
      <c r="M96" s="773">
        <f t="shared" si="17"/>
        <v>41406</v>
      </c>
      <c r="N96" s="771">
        <v>41409</v>
      </c>
      <c r="O96" s="772" t="s">
        <v>821</v>
      </c>
      <c r="P96" s="821">
        <v>760</v>
      </c>
      <c r="Q96" s="258">
        <v>20815</v>
      </c>
      <c r="R96" s="8">
        <f t="shared" si="26"/>
        <v>15819400</v>
      </c>
      <c r="S96" s="449"/>
      <c r="T96" s="773"/>
      <c r="U96" s="801"/>
      <c r="V96" s="801"/>
      <c r="W96" s="8">
        <f t="shared" si="27"/>
        <v>0</v>
      </c>
    </row>
    <row r="97" spans="1:23">
      <c r="A97" s="797">
        <f t="shared" si="14"/>
        <v>35</v>
      </c>
      <c r="B97" s="298" t="s">
        <v>481</v>
      </c>
      <c r="C97" s="824">
        <f t="shared" si="20"/>
        <v>14468125</v>
      </c>
      <c r="D97" s="534">
        <f t="shared" si="28"/>
        <v>1015570.2817736113</v>
      </c>
      <c r="E97" s="534">
        <f t="shared" si="28"/>
        <v>75471.867535872705</v>
      </c>
      <c r="F97" s="534">
        <f t="shared" si="28"/>
        <v>315176.98399870697</v>
      </c>
      <c r="G97" s="534">
        <f t="shared" si="28"/>
        <v>819370.36438410287</v>
      </c>
      <c r="H97" s="798">
        <f t="shared" si="29"/>
        <v>16693714</v>
      </c>
      <c r="I97" s="534">
        <v>2500</v>
      </c>
      <c r="J97" s="534">
        <f t="shared" si="21"/>
        <v>6677.4856</v>
      </c>
      <c r="K97" s="666"/>
      <c r="L97" s="843" t="s">
        <v>1252</v>
      </c>
      <c r="M97" s="773">
        <f t="shared" si="17"/>
        <v>41407</v>
      </c>
      <c r="N97" s="771">
        <v>41410</v>
      </c>
      <c r="O97" s="772" t="s">
        <v>823</v>
      </c>
      <c r="P97" s="821">
        <f>I97/4</f>
        <v>625</v>
      </c>
      <c r="Q97" s="258">
        <v>23149</v>
      </c>
      <c r="R97" s="8">
        <f t="shared" si="26"/>
        <v>14468125</v>
      </c>
      <c r="S97" s="449"/>
      <c r="T97" s="773"/>
      <c r="U97" s="801"/>
      <c r="V97" s="801"/>
      <c r="W97" s="8">
        <f t="shared" si="27"/>
        <v>0</v>
      </c>
    </row>
    <row r="98" spans="1:23">
      <c r="A98" s="797">
        <f t="shared" si="14"/>
        <v>36</v>
      </c>
      <c r="B98" s="298" t="s">
        <v>729</v>
      </c>
      <c r="C98" s="824">
        <f t="shared" si="20"/>
        <v>7279480</v>
      </c>
      <c r="D98" s="534">
        <f t="shared" si="28"/>
        <v>420446.09665427508</v>
      </c>
      <c r="E98" s="534">
        <f t="shared" si="28"/>
        <v>31245.3531598513</v>
      </c>
      <c r="F98" s="534">
        <f t="shared" si="28"/>
        <v>130483.27137546468</v>
      </c>
      <c r="G98" s="534">
        <f t="shared" si="28"/>
        <v>339219.33085501858</v>
      </c>
      <c r="H98" s="798">
        <f t="shared" si="29"/>
        <v>8200874</v>
      </c>
      <c r="I98" s="534">
        <v>1035</v>
      </c>
      <c r="J98" s="534">
        <f t="shared" si="21"/>
        <v>7923.5497584541063</v>
      </c>
      <c r="K98" s="666"/>
      <c r="L98" s="843" t="s">
        <v>1227</v>
      </c>
      <c r="M98" s="773">
        <f t="shared" si="17"/>
        <v>41407</v>
      </c>
      <c r="N98" s="771">
        <v>41410</v>
      </c>
      <c r="O98" s="772" t="s">
        <v>824</v>
      </c>
      <c r="P98" s="305">
        <v>520</v>
      </c>
      <c r="Q98" s="258">
        <v>13999</v>
      </c>
      <c r="R98" s="8">
        <f t="shared" si="26"/>
        <v>7279480</v>
      </c>
      <c r="S98" s="449"/>
      <c r="T98" s="773"/>
      <c r="U98" s="801"/>
      <c r="V98" s="801"/>
      <c r="W98" s="8">
        <f t="shared" si="27"/>
        <v>0</v>
      </c>
    </row>
    <row r="99" spans="1:23">
      <c r="A99" s="797">
        <f t="shared" si="14"/>
        <v>37</v>
      </c>
      <c r="B99" s="298" t="s">
        <v>825</v>
      </c>
      <c r="C99" s="824">
        <f t="shared" si="20"/>
        <v>4383525</v>
      </c>
      <c r="D99" s="534">
        <f t="shared" si="28"/>
        <v>224644.14632832282</v>
      </c>
      <c r="E99" s="534">
        <f t="shared" si="28"/>
        <v>16694.377098935041</v>
      </c>
      <c r="F99" s="534">
        <f t="shared" si="28"/>
        <v>69717.148860513975</v>
      </c>
      <c r="G99" s="534">
        <f t="shared" si="28"/>
        <v>181244.72460176356</v>
      </c>
      <c r="H99" s="798">
        <f t="shared" si="29"/>
        <v>4875825</v>
      </c>
      <c r="I99" s="534">
        <v>553</v>
      </c>
      <c r="J99" s="534">
        <f t="shared" si="21"/>
        <v>8817.0433996383363</v>
      </c>
      <c r="K99" s="666"/>
      <c r="L99" s="843" t="s">
        <v>1236</v>
      </c>
      <c r="M99" s="773">
        <f t="shared" si="17"/>
        <v>41407</v>
      </c>
      <c r="N99" s="771">
        <v>41410</v>
      </c>
      <c r="O99" s="772" t="s">
        <v>826</v>
      </c>
      <c r="P99" s="305">
        <v>277</v>
      </c>
      <c r="Q99" s="258">
        <v>15825</v>
      </c>
      <c r="R99" s="8">
        <f t="shared" si="26"/>
        <v>4383525</v>
      </c>
      <c r="S99" s="449"/>
      <c r="T99" s="773"/>
      <c r="U99" s="801"/>
      <c r="V99" s="801"/>
      <c r="W99" s="8">
        <f t="shared" si="27"/>
        <v>0</v>
      </c>
    </row>
    <row r="100" spans="1:23">
      <c r="A100" s="797">
        <f t="shared" si="14"/>
        <v>38</v>
      </c>
      <c r="B100" s="297" t="s">
        <v>812</v>
      </c>
      <c r="C100" s="824">
        <f t="shared" si="20"/>
        <v>2357925</v>
      </c>
      <c r="D100" s="534">
        <f t="shared" si="28"/>
        <v>120649.74947470502</v>
      </c>
      <c r="E100" s="534">
        <f t="shared" si="28"/>
        <v>8966.057863261678</v>
      </c>
      <c r="F100" s="534">
        <f t="shared" si="28"/>
        <v>37443.025699046389</v>
      </c>
      <c r="G100" s="534">
        <f t="shared" si="28"/>
        <v>97341.199288831427</v>
      </c>
      <c r="H100" s="798">
        <f t="shared" si="29"/>
        <v>2622325</v>
      </c>
      <c r="I100" s="534">
        <v>297</v>
      </c>
      <c r="J100" s="534">
        <f t="shared" si="21"/>
        <v>8829.3771043771048</v>
      </c>
      <c r="K100" s="666"/>
      <c r="L100" s="843" t="s">
        <v>1236</v>
      </c>
      <c r="M100" s="773">
        <f t="shared" si="17"/>
        <v>41408</v>
      </c>
      <c r="N100" s="771">
        <v>41411</v>
      </c>
      <c r="O100" s="772" t="s">
        <v>828</v>
      </c>
      <c r="P100" s="305">
        <v>149</v>
      </c>
      <c r="Q100" s="258">
        <v>15825</v>
      </c>
      <c r="R100" s="8">
        <f t="shared" si="26"/>
        <v>2357925</v>
      </c>
      <c r="S100" s="449"/>
      <c r="T100" s="773"/>
      <c r="U100" s="801"/>
      <c r="V100" s="801"/>
      <c r="W100" s="8">
        <f t="shared" ref="W100:W131" si="30">U100*V100</f>
        <v>0</v>
      </c>
    </row>
    <row r="101" spans="1:23">
      <c r="A101" s="797">
        <f t="shared" si="14"/>
        <v>39</v>
      </c>
      <c r="B101" s="297" t="s">
        <v>829</v>
      </c>
      <c r="C101" s="824">
        <f t="shared" si="20"/>
        <v>1188356</v>
      </c>
      <c r="D101" s="534">
        <f t="shared" si="28"/>
        <v>123087.11815096169</v>
      </c>
      <c r="E101" s="534">
        <f t="shared" si="28"/>
        <v>9147.1903453477717</v>
      </c>
      <c r="F101" s="534">
        <f t="shared" si="28"/>
        <v>38199.450460643282</v>
      </c>
      <c r="G101" s="534">
        <f t="shared" si="28"/>
        <v>99307.688163353276</v>
      </c>
      <c r="H101" s="798">
        <f t="shared" si="29"/>
        <v>1458097</v>
      </c>
      <c r="I101" s="534">
        <v>303</v>
      </c>
      <c r="J101" s="534">
        <f t="shared" si="21"/>
        <v>4812.2013201320133</v>
      </c>
      <c r="K101" s="666"/>
      <c r="L101" s="843" t="s">
        <v>1271</v>
      </c>
      <c r="M101" s="773">
        <f t="shared" si="17"/>
        <v>41412</v>
      </c>
      <c r="N101" s="771">
        <v>41415</v>
      </c>
      <c r="O101" s="772" t="s">
        <v>830</v>
      </c>
      <c r="P101" s="305">
        <v>52</v>
      </c>
      <c r="Q101" s="256">
        <v>22853</v>
      </c>
      <c r="R101" s="8">
        <f t="shared" si="26"/>
        <v>1188356</v>
      </c>
      <c r="S101" s="449"/>
      <c r="T101" s="773"/>
      <c r="U101" s="801"/>
      <c r="V101" s="801"/>
      <c r="W101" s="8">
        <f t="shared" si="30"/>
        <v>0</v>
      </c>
    </row>
    <row r="102" spans="1:23">
      <c r="A102" s="797">
        <f t="shared" si="14"/>
        <v>40</v>
      </c>
      <c r="B102" s="297" t="s">
        <v>831</v>
      </c>
      <c r="C102" s="824">
        <f t="shared" si="20"/>
        <v>153681</v>
      </c>
      <c r="D102" s="534">
        <f t="shared" si="28"/>
        <v>84901.675556273913</v>
      </c>
      <c r="E102" s="534">
        <f t="shared" si="28"/>
        <v>6309.4481259989579</v>
      </c>
      <c r="F102" s="534">
        <f t="shared" si="28"/>
        <v>26348.795862291903</v>
      </c>
      <c r="G102" s="534">
        <f t="shared" si="28"/>
        <v>68499.362462510995</v>
      </c>
      <c r="H102" s="798">
        <f t="shared" si="29"/>
        <v>339740</v>
      </c>
      <c r="I102" s="534">
        <v>209</v>
      </c>
      <c r="J102" s="534">
        <f t="shared" si="21"/>
        <v>1625.5502392344497</v>
      </c>
      <c r="K102" s="666"/>
      <c r="L102" s="843" t="s">
        <v>1226</v>
      </c>
      <c r="M102" s="773">
        <f t="shared" si="17"/>
        <v>41412</v>
      </c>
      <c r="N102" s="771">
        <v>41415</v>
      </c>
      <c r="O102" s="772" t="s">
        <v>830</v>
      </c>
      <c r="P102" s="305">
        <v>11</v>
      </c>
      <c r="Q102" s="258">
        <v>13971</v>
      </c>
      <c r="R102" s="8">
        <f t="shared" si="26"/>
        <v>153681</v>
      </c>
      <c r="S102" s="449"/>
      <c r="T102" s="773"/>
      <c r="U102" s="801"/>
      <c r="V102" s="801"/>
      <c r="W102" s="8">
        <f t="shared" si="30"/>
        <v>0</v>
      </c>
    </row>
    <row r="103" spans="1:23">
      <c r="A103" s="797">
        <f t="shared" si="14"/>
        <v>41</v>
      </c>
      <c r="B103" s="297" t="s">
        <v>832</v>
      </c>
      <c r="C103" s="824">
        <f t="shared" si="20"/>
        <v>381332</v>
      </c>
      <c r="D103" s="534">
        <f t="shared" ref="D103:G122" si="31">IF($I$136&lt;&gt;0,D$136/$I$136*$I103,0)</f>
        <v>123899.57437638058</v>
      </c>
      <c r="E103" s="534">
        <f t="shared" si="31"/>
        <v>9207.5678393764701</v>
      </c>
      <c r="F103" s="534">
        <f t="shared" si="31"/>
        <v>38451.592047842249</v>
      </c>
      <c r="G103" s="534">
        <f t="shared" si="31"/>
        <v>99963.184454860559</v>
      </c>
      <c r="H103" s="798">
        <f t="shared" si="29"/>
        <v>652854</v>
      </c>
      <c r="I103" s="534">
        <v>305</v>
      </c>
      <c r="J103" s="534">
        <f t="shared" si="21"/>
        <v>2140.5049180327869</v>
      </c>
      <c r="K103" s="666"/>
      <c r="L103" s="843" t="s">
        <v>1239</v>
      </c>
      <c r="M103" s="773">
        <f t="shared" si="17"/>
        <v>41412</v>
      </c>
      <c r="N103" s="771">
        <v>41415</v>
      </c>
      <c r="O103" s="772" t="s">
        <v>830</v>
      </c>
      <c r="P103" s="305">
        <v>28</v>
      </c>
      <c r="Q103" s="258">
        <v>13619</v>
      </c>
      <c r="R103" s="8">
        <f t="shared" si="26"/>
        <v>381332</v>
      </c>
      <c r="S103" s="449"/>
      <c r="T103" s="773"/>
      <c r="U103" s="801"/>
      <c r="V103" s="801"/>
      <c r="W103" s="8">
        <f t="shared" si="30"/>
        <v>0</v>
      </c>
    </row>
    <row r="104" spans="1:23">
      <c r="A104" s="797">
        <f t="shared" si="14"/>
        <v>42</v>
      </c>
      <c r="B104" s="297" t="s">
        <v>833</v>
      </c>
      <c r="C104" s="824">
        <f t="shared" si="20"/>
        <v>1003500</v>
      </c>
      <c r="D104" s="534">
        <f t="shared" si="31"/>
        <v>123087.11815096169</v>
      </c>
      <c r="E104" s="534">
        <f t="shared" si="31"/>
        <v>9147.1903453477717</v>
      </c>
      <c r="F104" s="534">
        <f t="shared" si="31"/>
        <v>38199.450460643282</v>
      </c>
      <c r="G104" s="534">
        <f t="shared" si="31"/>
        <v>99307.688163353276</v>
      </c>
      <c r="H104" s="798">
        <f t="shared" si="29"/>
        <v>1273241</v>
      </c>
      <c r="I104" s="534">
        <v>303</v>
      </c>
      <c r="J104" s="534">
        <f t="shared" si="21"/>
        <v>4202.1155115511547</v>
      </c>
      <c r="K104" s="666"/>
      <c r="L104" s="843" t="s">
        <v>1231</v>
      </c>
      <c r="M104" s="773">
        <f t="shared" si="17"/>
        <v>41412</v>
      </c>
      <c r="N104" s="771">
        <v>41415</v>
      </c>
      <c r="O104" s="772" t="s">
        <v>830</v>
      </c>
      <c r="P104" s="305">
        <v>90</v>
      </c>
      <c r="Q104" s="258">
        <v>11150</v>
      </c>
      <c r="R104" s="8">
        <f t="shared" si="26"/>
        <v>1003500</v>
      </c>
      <c r="S104" s="449"/>
      <c r="T104" s="773"/>
      <c r="U104" s="801"/>
      <c r="V104" s="801"/>
      <c r="W104" s="8">
        <f t="shared" si="30"/>
        <v>0</v>
      </c>
    </row>
    <row r="105" spans="1:23">
      <c r="A105" s="797">
        <f t="shared" si="14"/>
        <v>43</v>
      </c>
      <c r="B105" s="297" t="s">
        <v>1155</v>
      </c>
      <c r="C105" s="824">
        <f t="shared" si="20"/>
        <v>1597600</v>
      </c>
      <c r="D105" s="534">
        <f t="shared" si="31"/>
        <v>109681.59043155002</v>
      </c>
      <c r="E105" s="534">
        <f t="shared" si="31"/>
        <v>8150.961693874252</v>
      </c>
      <c r="F105" s="534">
        <f t="shared" si="31"/>
        <v>34039.114271860351</v>
      </c>
      <c r="G105" s="534">
        <f t="shared" si="31"/>
        <v>88491.999353483116</v>
      </c>
      <c r="H105" s="798">
        <f t="shared" si="29"/>
        <v>1837964</v>
      </c>
      <c r="I105" s="534">
        <v>270</v>
      </c>
      <c r="J105" s="534">
        <f t="shared" si="21"/>
        <v>6807.2740740740737</v>
      </c>
      <c r="K105" s="666"/>
      <c r="L105" s="843" t="s">
        <v>1248</v>
      </c>
      <c r="M105" s="773">
        <f t="shared" si="17"/>
        <v>41412</v>
      </c>
      <c r="N105" s="771">
        <v>41415</v>
      </c>
      <c r="O105" s="772" t="s">
        <v>830</v>
      </c>
      <c r="P105" s="305">
        <v>100</v>
      </c>
      <c r="Q105" s="256">
        <v>15976</v>
      </c>
      <c r="R105" s="8">
        <f t="shared" si="26"/>
        <v>1597600</v>
      </c>
      <c r="S105" s="449"/>
      <c r="T105" s="773"/>
      <c r="U105" s="801"/>
      <c r="V105" s="801"/>
      <c r="W105" s="8">
        <f t="shared" si="30"/>
        <v>0</v>
      </c>
    </row>
    <row r="106" spans="1:23">
      <c r="A106" s="797">
        <f t="shared" si="14"/>
        <v>44</v>
      </c>
      <c r="B106" s="297" t="s">
        <v>1141</v>
      </c>
      <c r="C106" s="824">
        <f t="shared" si="20"/>
        <v>5223110</v>
      </c>
      <c r="D106" s="534">
        <f t="shared" si="31"/>
        <v>420039.86854156567</v>
      </c>
      <c r="E106" s="534">
        <f t="shared" si="31"/>
        <v>31215.164412836952</v>
      </c>
      <c r="F106" s="534">
        <f t="shared" si="31"/>
        <v>130357.2005818652</v>
      </c>
      <c r="G106" s="534">
        <f t="shared" si="31"/>
        <v>338891.58270926494</v>
      </c>
      <c r="H106" s="798">
        <f t="shared" si="29"/>
        <v>6143614</v>
      </c>
      <c r="I106" s="534">
        <v>1034</v>
      </c>
      <c r="J106" s="534">
        <f t="shared" si="21"/>
        <v>5941.5996131528045</v>
      </c>
      <c r="K106" s="666"/>
      <c r="L106" s="843" t="s">
        <v>1200</v>
      </c>
      <c r="M106" s="773">
        <f t="shared" si="17"/>
        <v>41415</v>
      </c>
      <c r="N106" s="771">
        <v>41418</v>
      </c>
      <c r="O106" s="772" t="s">
        <v>834</v>
      </c>
      <c r="P106" s="305">
        <v>470</v>
      </c>
      <c r="Q106" s="256">
        <v>11113</v>
      </c>
      <c r="R106" s="8">
        <f t="shared" si="26"/>
        <v>5223110</v>
      </c>
      <c r="S106" s="449"/>
      <c r="T106" s="773"/>
      <c r="U106" s="801"/>
      <c r="V106" s="801"/>
      <c r="W106" s="8">
        <f t="shared" si="30"/>
        <v>0</v>
      </c>
    </row>
    <row r="107" spans="1:23">
      <c r="A107" s="797">
        <f t="shared" si="14"/>
        <v>45</v>
      </c>
      <c r="B107" s="297" t="s">
        <v>1139</v>
      </c>
      <c r="C107" s="824">
        <f t="shared" si="20"/>
        <v>4135416</v>
      </c>
      <c r="D107" s="534">
        <f t="shared" si="31"/>
        <v>120243.52136199558</v>
      </c>
      <c r="E107" s="534">
        <f t="shared" si="31"/>
        <v>8935.8691162473278</v>
      </c>
      <c r="F107" s="534">
        <f t="shared" si="31"/>
        <v>37316.954905446903</v>
      </c>
      <c r="G107" s="534">
        <f t="shared" si="31"/>
        <v>97013.451143077778</v>
      </c>
      <c r="H107" s="798">
        <f t="shared" si="29"/>
        <v>4398926</v>
      </c>
      <c r="I107" s="534">
        <v>296</v>
      </c>
      <c r="J107" s="534">
        <f t="shared" si="21"/>
        <v>14861.236486486487</v>
      </c>
      <c r="K107" s="666"/>
      <c r="L107" s="843" t="s">
        <v>1226</v>
      </c>
      <c r="M107" s="773">
        <f t="shared" si="17"/>
        <v>41426</v>
      </c>
      <c r="N107" s="771">
        <v>41429</v>
      </c>
      <c r="O107" s="772" t="s">
        <v>835</v>
      </c>
      <c r="P107" s="821">
        <f>I107</f>
        <v>296</v>
      </c>
      <c r="Q107" s="258">
        <v>13971</v>
      </c>
      <c r="R107" s="8">
        <f t="shared" ref="R107:R131" si="32">P107*Q107</f>
        <v>4135416</v>
      </c>
      <c r="S107" s="449"/>
      <c r="T107" s="773"/>
      <c r="U107" s="801"/>
      <c r="V107" s="801"/>
      <c r="W107" s="8">
        <f t="shared" si="30"/>
        <v>0</v>
      </c>
    </row>
    <row r="108" spans="1:23">
      <c r="A108" s="797">
        <f t="shared" si="14"/>
        <v>46</v>
      </c>
      <c r="B108" s="297" t="s">
        <v>836</v>
      </c>
      <c r="C108" s="824">
        <f t="shared" si="20"/>
        <v>8461775.2870964836</v>
      </c>
      <c r="D108" s="534">
        <f t="shared" si="31"/>
        <v>344075.21146489953</v>
      </c>
      <c r="E108" s="534">
        <f t="shared" si="31"/>
        <v>25569.868721153674</v>
      </c>
      <c r="F108" s="534">
        <f t="shared" si="31"/>
        <v>106781.96217876191</v>
      </c>
      <c r="G108" s="534">
        <f t="shared" si="31"/>
        <v>277602.67945333407</v>
      </c>
      <c r="H108" s="798">
        <f t="shared" si="29"/>
        <v>9215805</v>
      </c>
      <c r="I108" s="534">
        <v>847</v>
      </c>
      <c r="J108" s="534">
        <f t="shared" si="21"/>
        <v>10880.525383707201</v>
      </c>
      <c r="K108" s="666"/>
      <c r="L108" s="843" t="s">
        <v>1241</v>
      </c>
      <c r="M108" s="773">
        <f t="shared" si="17"/>
        <v>41426</v>
      </c>
      <c r="N108" s="771">
        <v>41429</v>
      </c>
      <c r="O108" s="772" t="s">
        <v>837</v>
      </c>
      <c r="P108" s="305">
        <v>425</v>
      </c>
      <c r="Q108" s="256">
        <v>19910.059499050549</v>
      </c>
      <c r="R108" s="8">
        <f t="shared" si="32"/>
        <v>8461775.2870964836</v>
      </c>
      <c r="S108" s="449"/>
      <c r="T108" s="773"/>
      <c r="U108" s="801"/>
      <c r="V108" s="801"/>
      <c r="W108" s="8">
        <f t="shared" si="30"/>
        <v>0</v>
      </c>
    </row>
    <row r="109" spans="1:23">
      <c r="A109" s="797">
        <f t="shared" si="14"/>
        <v>47</v>
      </c>
      <c r="B109" s="297" t="s">
        <v>838</v>
      </c>
      <c r="C109" s="824">
        <f t="shared" si="20"/>
        <v>11946035.728486225</v>
      </c>
      <c r="D109" s="534">
        <f t="shared" si="31"/>
        <v>974541.24238995742</v>
      </c>
      <c r="E109" s="534">
        <f t="shared" si="31"/>
        <v>72422.804087423443</v>
      </c>
      <c r="F109" s="534">
        <f t="shared" si="31"/>
        <v>302443.83384515921</v>
      </c>
      <c r="G109" s="534">
        <f t="shared" si="31"/>
        <v>786267.80166298512</v>
      </c>
      <c r="H109" s="798">
        <f t="shared" si="29"/>
        <v>14081711</v>
      </c>
      <c r="I109" s="534">
        <v>2399</v>
      </c>
      <c r="J109" s="534">
        <f t="shared" si="21"/>
        <v>5869.8253438932888</v>
      </c>
      <c r="K109" s="666"/>
      <c r="L109" s="843" t="s">
        <v>1241</v>
      </c>
      <c r="M109" s="773">
        <f t="shared" si="17"/>
        <v>41427</v>
      </c>
      <c r="N109" s="771">
        <v>41430</v>
      </c>
      <c r="O109" s="772" t="s">
        <v>839</v>
      </c>
      <c r="P109" s="821">
        <v>600</v>
      </c>
      <c r="Q109" s="256">
        <v>19910.059547477042</v>
      </c>
      <c r="R109" s="8">
        <f t="shared" si="32"/>
        <v>11946035.728486225</v>
      </c>
      <c r="S109" s="449"/>
      <c r="T109" s="773"/>
      <c r="U109" s="801"/>
      <c r="V109" s="801"/>
      <c r="W109" s="8">
        <f t="shared" si="30"/>
        <v>0</v>
      </c>
    </row>
    <row r="110" spans="1:23">
      <c r="A110" s="797">
        <f t="shared" si="14"/>
        <v>48</v>
      </c>
      <c r="B110" s="297" t="s">
        <v>838</v>
      </c>
      <c r="C110" s="824">
        <f t="shared" si="20"/>
        <v>14674054</v>
      </c>
      <c r="D110" s="534">
        <f t="shared" si="31"/>
        <v>1032631.862507408</v>
      </c>
      <c r="E110" s="534">
        <f t="shared" si="31"/>
        <v>76739.794910475364</v>
      </c>
      <c r="F110" s="534">
        <f t="shared" si="31"/>
        <v>320471.95732988522</v>
      </c>
      <c r="G110" s="534">
        <f t="shared" si="31"/>
        <v>833135.78650575585</v>
      </c>
      <c r="H110" s="798">
        <f t="shared" si="29"/>
        <v>16937033</v>
      </c>
      <c r="I110" s="534">
        <v>2542</v>
      </c>
      <c r="J110" s="534">
        <f t="shared" si="21"/>
        <v>6662.8768686073954</v>
      </c>
      <c r="K110" s="666"/>
      <c r="L110" s="843" t="s">
        <v>1246</v>
      </c>
      <c r="M110" s="773">
        <f t="shared" si="17"/>
        <v>41427</v>
      </c>
      <c r="N110" s="771">
        <v>41430</v>
      </c>
      <c r="O110" s="772" t="s">
        <v>839</v>
      </c>
      <c r="P110" s="821">
        <v>698</v>
      </c>
      <c r="Q110" s="258">
        <v>21023</v>
      </c>
      <c r="R110" s="8">
        <f t="shared" si="32"/>
        <v>14674054</v>
      </c>
      <c r="S110" s="449"/>
      <c r="T110" s="773"/>
      <c r="U110" s="801"/>
      <c r="V110" s="801"/>
      <c r="W110" s="8">
        <f t="shared" si="30"/>
        <v>0</v>
      </c>
    </row>
    <row r="111" spans="1:23">
      <c r="A111" s="797">
        <f t="shared" si="14"/>
        <v>49</v>
      </c>
      <c r="B111" s="297" t="s">
        <v>1128</v>
      </c>
      <c r="C111" s="824">
        <f t="shared" si="20"/>
        <v>1328114.2068965519</v>
      </c>
      <c r="D111" s="534">
        <f t="shared" si="31"/>
        <v>43060.179947201119</v>
      </c>
      <c r="E111" s="534">
        <f t="shared" si="31"/>
        <v>3200.0071835210028</v>
      </c>
      <c r="F111" s="534">
        <f t="shared" si="31"/>
        <v>13363.504121545175</v>
      </c>
      <c r="G111" s="534">
        <f t="shared" si="31"/>
        <v>34741.303449885963</v>
      </c>
      <c r="H111" s="798">
        <f t="shared" si="29"/>
        <v>1422479</v>
      </c>
      <c r="I111" s="534">
        <v>106</v>
      </c>
      <c r="J111" s="534">
        <f t="shared" si="21"/>
        <v>13419.613207547171</v>
      </c>
      <c r="K111" s="666"/>
      <c r="L111" s="843" t="s">
        <v>1222</v>
      </c>
      <c r="M111" s="773">
        <f t="shared" si="17"/>
        <v>41429</v>
      </c>
      <c r="N111" s="771">
        <v>41432</v>
      </c>
      <c r="O111" s="772" t="s">
        <v>840</v>
      </c>
      <c r="P111" s="821">
        <v>110</v>
      </c>
      <c r="Q111" s="258">
        <v>12073.76551724138</v>
      </c>
      <c r="R111" s="8">
        <f t="shared" si="32"/>
        <v>1328114.2068965519</v>
      </c>
      <c r="S111" s="449"/>
      <c r="T111" s="773"/>
      <c r="U111" s="801"/>
      <c r="V111" s="801"/>
      <c r="W111" s="8">
        <f t="shared" si="30"/>
        <v>0</v>
      </c>
    </row>
    <row r="112" spans="1:23">
      <c r="A112" s="797">
        <f t="shared" si="14"/>
        <v>50</v>
      </c>
      <c r="B112" s="297" t="s">
        <v>1131</v>
      </c>
      <c r="C112" s="824">
        <f t="shared" si="20"/>
        <v>1666500</v>
      </c>
      <c r="D112" s="534">
        <f t="shared" si="31"/>
        <v>80026.938203760568</v>
      </c>
      <c r="E112" s="534">
        <f t="shared" si="31"/>
        <v>5947.1831618267697</v>
      </c>
      <c r="F112" s="534">
        <f t="shared" si="31"/>
        <v>24835.946339098107</v>
      </c>
      <c r="G112" s="534">
        <f t="shared" si="31"/>
        <v>64566.384713467305</v>
      </c>
      <c r="H112" s="798">
        <f t="shared" si="29"/>
        <v>1841876</v>
      </c>
      <c r="I112" s="534">
        <v>197</v>
      </c>
      <c r="J112" s="534">
        <f t="shared" si="21"/>
        <v>9349.6243654822338</v>
      </c>
      <c r="K112" s="666"/>
      <c r="L112" s="189" t="s">
        <v>1228</v>
      </c>
      <c r="M112" s="773">
        <f t="shared" si="17"/>
        <v>41429</v>
      </c>
      <c r="N112" s="771">
        <v>41432</v>
      </c>
      <c r="O112" s="772" t="s">
        <v>840</v>
      </c>
      <c r="P112" s="305">
        <v>100</v>
      </c>
      <c r="Q112" s="256">
        <v>16665</v>
      </c>
      <c r="R112" s="8">
        <f t="shared" si="32"/>
        <v>1666500</v>
      </c>
      <c r="S112" s="449"/>
      <c r="T112" s="773"/>
      <c r="U112" s="801"/>
      <c r="V112" s="801"/>
      <c r="W112" s="8">
        <f t="shared" si="30"/>
        <v>0</v>
      </c>
    </row>
    <row r="113" spans="1:23">
      <c r="A113" s="797">
        <f t="shared" si="14"/>
        <v>51</v>
      </c>
      <c r="B113" s="297" t="s">
        <v>841</v>
      </c>
      <c r="C113" s="824">
        <f t="shared" si="20"/>
        <v>1093196</v>
      </c>
      <c r="D113" s="534">
        <f t="shared" si="31"/>
        <v>42247.723721782233</v>
      </c>
      <c r="E113" s="534">
        <f t="shared" si="31"/>
        <v>3139.6296894923048</v>
      </c>
      <c r="F113" s="534">
        <f t="shared" si="31"/>
        <v>13111.36253434621</v>
      </c>
      <c r="G113" s="534">
        <f t="shared" si="31"/>
        <v>34085.80715837868</v>
      </c>
      <c r="H113" s="798">
        <f t="shared" si="29"/>
        <v>1185781</v>
      </c>
      <c r="I113" s="534">
        <v>104</v>
      </c>
      <c r="J113" s="534">
        <f t="shared" si="21"/>
        <v>11401.740384615385</v>
      </c>
      <c r="K113" s="666"/>
      <c r="L113" s="843" t="s">
        <v>1246</v>
      </c>
      <c r="M113" s="773">
        <f t="shared" si="17"/>
        <v>41429</v>
      </c>
      <c r="N113" s="771">
        <v>41432</v>
      </c>
      <c r="O113" s="772" t="s">
        <v>840</v>
      </c>
      <c r="P113" s="821">
        <f>I113/2</f>
        <v>52</v>
      </c>
      <c r="Q113" s="256">
        <v>21023</v>
      </c>
      <c r="R113" s="8">
        <f t="shared" si="32"/>
        <v>1093196</v>
      </c>
      <c r="S113" s="449"/>
      <c r="T113" s="773"/>
      <c r="U113" s="801"/>
      <c r="V113" s="801"/>
      <c r="W113" s="8">
        <f t="shared" si="30"/>
        <v>0</v>
      </c>
    </row>
    <row r="114" spans="1:23">
      <c r="A114" s="797">
        <f t="shared" si="14"/>
        <v>52</v>
      </c>
      <c r="B114" s="297" t="s">
        <v>842</v>
      </c>
      <c r="C114" s="824">
        <f t="shared" si="20"/>
        <v>1413614.224432589</v>
      </c>
      <c r="D114" s="534">
        <f t="shared" si="31"/>
        <v>57278.163892031676</v>
      </c>
      <c r="E114" s="534">
        <f t="shared" si="31"/>
        <v>4256.613329023221</v>
      </c>
      <c r="F114" s="534">
        <f t="shared" si="31"/>
        <v>17775.981897527072</v>
      </c>
      <c r="G114" s="534">
        <f t="shared" si="31"/>
        <v>46212.488551263399</v>
      </c>
      <c r="H114" s="798">
        <f t="shared" si="29"/>
        <v>1539137</v>
      </c>
      <c r="I114" s="534">
        <v>141</v>
      </c>
      <c r="J114" s="534">
        <f t="shared" si="21"/>
        <v>10915.86524822695</v>
      </c>
      <c r="K114" s="666"/>
      <c r="L114" s="843" t="s">
        <v>1241</v>
      </c>
      <c r="M114" s="773">
        <f t="shared" si="17"/>
        <v>41429</v>
      </c>
      <c r="N114" s="771">
        <v>41432</v>
      </c>
      <c r="O114" s="772" t="s">
        <v>840</v>
      </c>
      <c r="P114" s="305">
        <v>71</v>
      </c>
      <c r="Q114" s="256">
        <v>19910.059499050549</v>
      </c>
      <c r="R114" s="8">
        <f t="shared" si="32"/>
        <v>1413614.224432589</v>
      </c>
      <c r="S114" s="449"/>
      <c r="T114" s="773"/>
      <c r="U114" s="801"/>
      <c r="V114" s="801"/>
      <c r="W114" s="8">
        <f t="shared" si="30"/>
        <v>0</v>
      </c>
    </row>
    <row r="115" spans="1:23">
      <c r="A115" s="797">
        <f t="shared" si="14"/>
        <v>53</v>
      </c>
      <c r="B115" s="297" t="s">
        <v>1146</v>
      </c>
      <c r="C115" s="824">
        <f t="shared" si="20"/>
        <v>1275700</v>
      </c>
      <c r="D115" s="534">
        <f t="shared" si="31"/>
        <v>123899.57437638058</v>
      </c>
      <c r="E115" s="534">
        <f t="shared" si="31"/>
        <v>9207.5678393764701</v>
      </c>
      <c r="F115" s="534">
        <f t="shared" si="31"/>
        <v>38451.592047842249</v>
      </c>
      <c r="G115" s="534">
        <f t="shared" si="31"/>
        <v>99963.184454860559</v>
      </c>
      <c r="H115" s="798">
        <f t="shared" si="29"/>
        <v>1547222</v>
      </c>
      <c r="I115" s="534">
        <v>305</v>
      </c>
      <c r="J115" s="534">
        <f t="shared" si="21"/>
        <v>5072.8590163934423</v>
      </c>
      <c r="K115" s="666"/>
      <c r="L115" s="843" t="s">
        <v>1214</v>
      </c>
      <c r="M115" s="773">
        <f t="shared" si="17"/>
        <v>41429</v>
      </c>
      <c r="N115" s="771">
        <v>41432</v>
      </c>
      <c r="O115" s="772" t="s">
        <v>843</v>
      </c>
      <c r="P115" s="305">
        <v>100</v>
      </c>
      <c r="Q115" s="803">
        <v>12757</v>
      </c>
      <c r="R115" s="8">
        <f t="shared" si="32"/>
        <v>1275700</v>
      </c>
      <c r="S115" s="449"/>
      <c r="T115" s="773"/>
      <c r="U115" s="801"/>
      <c r="V115" s="801"/>
      <c r="W115" s="8">
        <f t="shared" si="30"/>
        <v>0</v>
      </c>
    </row>
    <row r="116" spans="1:23">
      <c r="A116" s="797">
        <f t="shared" si="14"/>
        <v>54</v>
      </c>
      <c r="B116" s="297" t="s">
        <v>808</v>
      </c>
      <c r="C116" s="824">
        <f t="shared" si="20"/>
        <v>1687320</v>
      </c>
      <c r="D116" s="534">
        <f t="shared" si="31"/>
        <v>129180.53984160336</v>
      </c>
      <c r="E116" s="534">
        <f t="shared" si="31"/>
        <v>9600.0215505630076</v>
      </c>
      <c r="F116" s="534">
        <f t="shared" si="31"/>
        <v>40090.512364635528</v>
      </c>
      <c r="G116" s="534">
        <f t="shared" si="31"/>
        <v>104223.91034965789</v>
      </c>
      <c r="H116" s="798">
        <f t="shared" si="29"/>
        <v>1970415</v>
      </c>
      <c r="I116" s="534">
        <v>318</v>
      </c>
      <c r="J116" s="534">
        <f t="shared" si="21"/>
        <v>6196.2735849056608</v>
      </c>
      <c r="K116" s="666"/>
      <c r="L116" s="843" t="s">
        <v>1279</v>
      </c>
      <c r="M116" s="773">
        <f t="shared" si="17"/>
        <v>41429</v>
      </c>
      <c r="N116" s="771">
        <v>41432</v>
      </c>
      <c r="O116" s="772" t="s">
        <v>843</v>
      </c>
      <c r="P116" s="305">
        <v>120</v>
      </c>
      <c r="Q116" s="256">
        <v>14061</v>
      </c>
      <c r="R116" s="8">
        <f t="shared" si="32"/>
        <v>1687320</v>
      </c>
      <c r="S116" s="449"/>
      <c r="T116" s="773"/>
      <c r="U116" s="801"/>
      <c r="V116" s="801"/>
      <c r="W116" s="8">
        <f t="shared" si="30"/>
        <v>0</v>
      </c>
    </row>
    <row r="117" spans="1:23">
      <c r="A117" s="797">
        <f t="shared" si="14"/>
        <v>55</v>
      </c>
      <c r="B117" s="297" t="s">
        <v>844</v>
      </c>
      <c r="C117" s="824">
        <f t="shared" si="20"/>
        <v>1033854</v>
      </c>
      <c r="D117" s="534">
        <f t="shared" si="31"/>
        <v>120243.52136199558</v>
      </c>
      <c r="E117" s="534">
        <f t="shared" si="31"/>
        <v>8935.8691162473278</v>
      </c>
      <c r="F117" s="534">
        <f t="shared" si="31"/>
        <v>37316.954905446903</v>
      </c>
      <c r="G117" s="534">
        <f t="shared" si="31"/>
        <v>97013.451143077778</v>
      </c>
      <c r="H117" s="798">
        <f t="shared" si="29"/>
        <v>1297364</v>
      </c>
      <c r="I117" s="534">
        <v>296</v>
      </c>
      <c r="J117" s="534">
        <f t="shared" si="21"/>
        <v>4382.9864864864867</v>
      </c>
      <c r="K117" s="666"/>
      <c r="L117" s="843" t="s">
        <v>1226</v>
      </c>
      <c r="M117" s="773">
        <f t="shared" si="17"/>
        <v>41429</v>
      </c>
      <c r="N117" s="771">
        <v>41432</v>
      </c>
      <c r="O117" s="772" t="s">
        <v>843</v>
      </c>
      <c r="P117" s="305">
        <f>I117/4</f>
        <v>74</v>
      </c>
      <c r="Q117" s="258">
        <v>13971</v>
      </c>
      <c r="R117" s="8">
        <f t="shared" si="32"/>
        <v>1033854</v>
      </c>
      <c r="S117" s="449"/>
      <c r="T117" s="773"/>
      <c r="U117" s="801"/>
      <c r="V117" s="801"/>
      <c r="W117" s="8">
        <f t="shared" si="30"/>
        <v>0</v>
      </c>
    </row>
    <row r="118" spans="1:23">
      <c r="A118" s="797">
        <f t="shared" si="14"/>
        <v>56</v>
      </c>
      <c r="B118" s="297" t="s">
        <v>1137</v>
      </c>
      <c r="C118" s="824">
        <f t="shared" si="20"/>
        <v>2054936</v>
      </c>
      <c r="D118" s="534">
        <f t="shared" si="31"/>
        <v>207176.33748181671</v>
      </c>
      <c r="E118" s="534">
        <f t="shared" si="31"/>
        <v>15396.260977318032</v>
      </c>
      <c r="F118" s="534">
        <f t="shared" si="31"/>
        <v>64296.104735736219</v>
      </c>
      <c r="G118" s="534">
        <f t="shared" si="31"/>
        <v>167151.554334357</v>
      </c>
      <c r="H118" s="798">
        <f t="shared" si="29"/>
        <v>2508956</v>
      </c>
      <c r="I118" s="534">
        <v>510</v>
      </c>
      <c r="J118" s="534">
        <f t="shared" si="21"/>
        <v>4919.5215686274514</v>
      </c>
      <c r="K118" s="666"/>
      <c r="L118" s="843" t="s">
        <v>1255</v>
      </c>
      <c r="M118" s="773">
        <f t="shared" si="17"/>
        <v>41429</v>
      </c>
      <c r="N118" s="771">
        <v>41432</v>
      </c>
      <c r="O118" s="772" t="s">
        <v>843</v>
      </c>
      <c r="P118" s="305">
        <v>104</v>
      </c>
      <c r="Q118" s="256">
        <v>19759</v>
      </c>
      <c r="R118" s="8">
        <f t="shared" si="32"/>
        <v>2054936</v>
      </c>
      <c r="S118" s="449"/>
      <c r="T118" s="773"/>
      <c r="U118" s="801"/>
      <c r="V118" s="801"/>
      <c r="W118" s="8">
        <f t="shared" si="30"/>
        <v>0</v>
      </c>
    </row>
    <row r="119" spans="1:23">
      <c r="A119" s="797">
        <f t="shared" si="14"/>
        <v>57</v>
      </c>
      <c r="B119" s="297" t="s">
        <v>845</v>
      </c>
      <c r="C119" s="824">
        <f t="shared" si="20"/>
        <v>3585096</v>
      </c>
      <c r="D119" s="534">
        <f t="shared" si="31"/>
        <v>82870.53499272668</v>
      </c>
      <c r="E119" s="534">
        <f t="shared" si="31"/>
        <v>6158.5043909272126</v>
      </c>
      <c r="F119" s="534">
        <f t="shared" si="31"/>
        <v>25718.441894294487</v>
      </c>
      <c r="G119" s="534">
        <f t="shared" si="31"/>
        <v>66860.621733742795</v>
      </c>
      <c r="H119" s="798">
        <f t="shared" si="29"/>
        <v>3766704</v>
      </c>
      <c r="I119" s="534">
        <v>204</v>
      </c>
      <c r="J119" s="534">
        <f t="shared" si="21"/>
        <v>18464.235294117647</v>
      </c>
      <c r="K119" s="666"/>
      <c r="L119" s="843" t="s">
        <v>1221</v>
      </c>
      <c r="M119" s="773">
        <f t="shared" si="17"/>
        <v>41432</v>
      </c>
      <c r="N119" s="771">
        <v>41435</v>
      </c>
      <c r="O119" s="772" t="s">
        <v>846</v>
      </c>
      <c r="P119" s="305">
        <v>204</v>
      </c>
      <c r="Q119" s="258">
        <v>17574</v>
      </c>
      <c r="R119" s="8">
        <f t="shared" si="32"/>
        <v>3585096</v>
      </c>
      <c r="S119" s="449"/>
      <c r="T119" s="773"/>
      <c r="U119" s="801"/>
      <c r="V119" s="801"/>
      <c r="W119" s="8">
        <f t="shared" si="30"/>
        <v>0</v>
      </c>
    </row>
    <row r="120" spans="1:23">
      <c r="A120" s="797">
        <f t="shared" si="14"/>
        <v>58</v>
      </c>
      <c r="B120" s="297" t="s">
        <v>1137</v>
      </c>
      <c r="C120" s="824">
        <f t="shared" si="20"/>
        <v>578300</v>
      </c>
      <c r="D120" s="534">
        <f t="shared" si="31"/>
        <v>63777.813695382793</v>
      </c>
      <c r="E120" s="534">
        <f t="shared" si="31"/>
        <v>4739.6332812528062</v>
      </c>
      <c r="F120" s="534">
        <f t="shared" si="31"/>
        <v>19793.114595118797</v>
      </c>
      <c r="G120" s="534">
        <f t="shared" si="31"/>
        <v>51456.458883321662</v>
      </c>
      <c r="H120" s="798">
        <f t="shared" si="29"/>
        <v>718067</v>
      </c>
      <c r="I120" s="534">
        <v>157</v>
      </c>
      <c r="J120" s="534">
        <f t="shared" si="21"/>
        <v>4573.6751592356686</v>
      </c>
      <c r="K120" s="666"/>
      <c r="L120" s="843" t="s">
        <v>1272</v>
      </c>
      <c r="M120" s="773">
        <f t="shared" si="17"/>
        <v>41433</v>
      </c>
      <c r="N120" s="771">
        <v>41436</v>
      </c>
      <c r="O120" s="772" t="s">
        <v>848</v>
      </c>
      <c r="P120" s="305">
        <v>100</v>
      </c>
      <c r="Q120" s="258">
        <v>5783</v>
      </c>
      <c r="R120" s="8">
        <f t="shared" si="32"/>
        <v>578300</v>
      </c>
      <c r="S120" s="449"/>
      <c r="T120" s="773"/>
      <c r="U120" s="801"/>
      <c r="V120" s="801"/>
      <c r="W120" s="8">
        <f t="shared" si="30"/>
        <v>0</v>
      </c>
    </row>
    <row r="121" spans="1:23">
      <c r="A121" s="797">
        <f t="shared" si="14"/>
        <v>59</v>
      </c>
      <c r="B121" s="297" t="s">
        <v>849</v>
      </c>
      <c r="C121" s="824">
        <f t="shared" si="20"/>
        <v>3023418</v>
      </c>
      <c r="D121" s="534">
        <f t="shared" si="31"/>
        <v>90182.641021496689</v>
      </c>
      <c r="E121" s="534">
        <f t="shared" si="31"/>
        <v>6701.9018371854963</v>
      </c>
      <c r="F121" s="534">
        <f t="shared" si="31"/>
        <v>27987.716179085179</v>
      </c>
      <c r="G121" s="534">
        <f t="shared" si="31"/>
        <v>72760.088357308341</v>
      </c>
      <c r="H121" s="798">
        <f t="shared" si="29"/>
        <v>3221050</v>
      </c>
      <c r="I121" s="534">
        <v>222</v>
      </c>
      <c r="J121" s="534">
        <f t="shared" si="21"/>
        <v>14509.234234234234</v>
      </c>
      <c r="K121" s="666"/>
      <c r="L121" s="843" t="s">
        <v>1239</v>
      </c>
      <c r="M121" s="773">
        <f t="shared" si="17"/>
        <v>41433</v>
      </c>
      <c r="N121" s="771">
        <v>41436</v>
      </c>
      <c r="O121" s="772" t="s">
        <v>850</v>
      </c>
      <c r="P121" s="305">
        <f>I121</f>
        <v>222</v>
      </c>
      <c r="Q121" s="258">
        <v>13619</v>
      </c>
      <c r="R121" s="8">
        <f t="shared" si="32"/>
        <v>3023418</v>
      </c>
      <c r="S121" s="449"/>
      <c r="T121" s="773"/>
      <c r="U121" s="801"/>
      <c r="V121" s="801"/>
      <c r="W121" s="8">
        <f t="shared" si="30"/>
        <v>0</v>
      </c>
    </row>
    <row r="122" spans="1:23">
      <c r="A122" s="797">
        <f t="shared" si="14"/>
        <v>60</v>
      </c>
      <c r="B122" s="297" t="s">
        <v>851</v>
      </c>
      <c r="C122" s="824">
        <f t="shared" si="20"/>
        <v>7983405.9089219328</v>
      </c>
      <c r="D122" s="534">
        <f t="shared" si="31"/>
        <v>200676.68767846559</v>
      </c>
      <c r="E122" s="534">
        <f t="shared" si="31"/>
        <v>14913.241025088448</v>
      </c>
      <c r="F122" s="534">
        <f t="shared" si="31"/>
        <v>62278.972038144493</v>
      </c>
      <c r="G122" s="534">
        <f t="shared" si="31"/>
        <v>161907.58400229874</v>
      </c>
      <c r="H122" s="798">
        <f t="shared" si="29"/>
        <v>8423182</v>
      </c>
      <c r="I122" s="534">
        <v>494</v>
      </c>
      <c r="J122" s="534">
        <f t="shared" si="21"/>
        <v>17050.975708502025</v>
      </c>
      <c r="K122" s="666"/>
      <c r="L122" s="843" t="s">
        <v>1247</v>
      </c>
      <c r="M122" s="773">
        <f t="shared" si="17"/>
        <v>41440</v>
      </c>
      <c r="N122" s="771">
        <v>41443</v>
      </c>
      <c r="O122" s="772" t="s">
        <v>852</v>
      </c>
      <c r="P122" s="821">
        <f>I122/2</f>
        <v>247</v>
      </c>
      <c r="Q122" s="803">
        <v>32321.481412639405</v>
      </c>
      <c r="R122" s="8">
        <f t="shared" si="32"/>
        <v>7983405.9089219328</v>
      </c>
      <c r="S122" s="449"/>
      <c r="T122" s="773"/>
      <c r="U122" s="801"/>
      <c r="V122" s="801"/>
      <c r="W122" s="8">
        <f t="shared" si="30"/>
        <v>0</v>
      </c>
    </row>
    <row r="123" spans="1:23">
      <c r="A123" s="797">
        <f t="shared" si="14"/>
        <v>61</v>
      </c>
      <c r="B123" s="297" t="s">
        <v>742</v>
      </c>
      <c r="C123" s="824">
        <f t="shared" si="20"/>
        <v>9305898</v>
      </c>
      <c r="D123" s="534">
        <f t="shared" ref="D123:G134" si="33">IF($I$136&lt;&gt;0,D$136/$I$136*$I123,0)</f>
        <v>163303.70130919671</v>
      </c>
      <c r="E123" s="534">
        <f t="shared" si="33"/>
        <v>12135.876299768332</v>
      </c>
      <c r="F123" s="534">
        <f t="shared" si="33"/>
        <v>50680.459026992081</v>
      </c>
      <c r="G123" s="534">
        <f t="shared" si="33"/>
        <v>131754.75459296376</v>
      </c>
      <c r="H123" s="798">
        <f t="shared" si="29"/>
        <v>9663773</v>
      </c>
      <c r="I123" s="534">
        <v>402</v>
      </c>
      <c r="J123" s="534">
        <f t="shared" si="21"/>
        <v>24039.236318407959</v>
      </c>
      <c r="K123" s="666"/>
      <c r="L123" s="843" t="s">
        <v>1252</v>
      </c>
      <c r="M123" s="773">
        <f t="shared" si="17"/>
        <v>41441</v>
      </c>
      <c r="N123" s="771">
        <v>41444</v>
      </c>
      <c r="O123" s="772" t="s">
        <v>853</v>
      </c>
      <c r="P123" s="305">
        <v>402</v>
      </c>
      <c r="Q123" s="256">
        <v>23149</v>
      </c>
      <c r="R123" s="8">
        <f t="shared" si="32"/>
        <v>9305898</v>
      </c>
      <c r="S123" s="449"/>
      <c r="T123" s="773"/>
      <c r="U123" s="801"/>
      <c r="V123" s="801"/>
      <c r="W123" s="8">
        <f t="shared" si="30"/>
        <v>0</v>
      </c>
    </row>
    <row r="124" spans="1:23">
      <c r="A124" s="797">
        <f t="shared" si="14"/>
        <v>62</v>
      </c>
      <c r="B124" s="297" t="s">
        <v>815</v>
      </c>
      <c r="C124" s="824">
        <f t="shared" si="20"/>
        <v>8015727.3903345726</v>
      </c>
      <c r="D124" s="534">
        <f t="shared" si="33"/>
        <v>201082.91579117504</v>
      </c>
      <c r="E124" s="534">
        <f t="shared" si="33"/>
        <v>14943.429772102796</v>
      </c>
      <c r="F124" s="534">
        <f t="shared" si="33"/>
        <v>62405.04283174398</v>
      </c>
      <c r="G124" s="534">
        <f t="shared" si="33"/>
        <v>162235.33214805237</v>
      </c>
      <c r="H124" s="798">
        <f t="shared" si="29"/>
        <v>8456394</v>
      </c>
      <c r="I124" s="534">
        <v>495</v>
      </c>
      <c r="J124" s="534">
        <f t="shared" si="21"/>
        <v>17083.624242424241</v>
      </c>
      <c r="K124" s="666"/>
      <c r="L124" s="843" t="s">
        <v>1247</v>
      </c>
      <c r="M124" s="773">
        <f t="shared" si="17"/>
        <v>41442</v>
      </c>
      <c r="N124" s="771">
        <v>41445</v>
      </c>
      <c r="O124" s="772" t="s">
        <v>854</v>
      </c>
      <c r="P124" s="821">
        <v>248</v>
      </c>
      <c r="Q124" s="803">
        <v>32321.481412639405</v>
      </c>
      <c r="R124" s="8">
        <f t="shared" si="32"/>
        <v>8015727.3903345726</v>
      </c>
      <c r="S124" s="449"/>
      <c r="T124" s="773"/>
      <c r="U124" s="801"/>
      <c r="V124" s="801"/>
      <c r="W124" s="8">
        <f t="shared" si="30"/>
        <v>0</v>
      </c>
    </row>
    <row r="125" spans="1:23">
      <c r="A125" s="797">
        <f t="shared" si="14"/>
        <v>63</v>
      </c>
      <c r="B125" s="297" t="s">
        <v>817</v>
      </c>
      <c r="C125" s="824">
        <f t="shared" si="20"/>
        <v>808404</v>
      </c>
      <c r="D125" s="534">
        <f t="shared" si="33"/>
        <v>609342.16906416684</v>
      </c>
      <c r="E125" s="534">
        <f t="shared" si="33"/>
        <v>45283.120521523626</v>
      </c>
      <c r="F125" s="534">
        <f t="shared" si="33"/>
        <v>189106.19039922417</v>
      </c>
      <c r="G125" s="534">
        <f t="shared" si="33"/>
        <v>491622.21863046172</v>
      </c>
      <c r="H125" s="798">
        <f t="shared" si="29"/>
        <v>2143758</v>
      </c>
      <c r="I125" s="534">
        <v>1500</v>
      </c>
      <c r="J125" s="534">
        <f t="shared" si="21"/>
        <v>1429.172</v>
      </c>
      <c r="K125" s="666"/>
      <c r="L125" s="843" t="s">
        <v>1221</v>
      </c>
      <c r="M125" s="773">
        <f t="shared" si="17"/>
        <v>41442</v>
      </c>
      <c r="N125" s="771">
        <v>41445</v>
      </c>
      <c r="O125" s="772" t="s">
        <v>854</v>
      </c>
      <c r="P125" s="305">
        <v>46</v>
      </c>
      <c r="Q125" s="258">
        <v>17574</v>
      </c>
      <c r="R125" s="8">
        <f t="shared" si="32"/>
        <v>808404</v>
      </c>
      <c r="S125" s="449"/>
      <c r="T125" s="773"/>
      <c r="U125" s="801"/>
      <c r="V125" s="801"/>
      <c r="W125" s="8">
        <f t="shared" si="30"/>
        <v>0</v>
      </c>
    </row>
    <row r="126" spans="1:23">
      <c r="A126" s="797">
        <f t="shared" si="14"/>
        <v>64</v>
      </c>
      <c r="B126" s="297" t="s">
        <v>1129</v>
      </c>
      <c r="C126" s="824">
        <f t="shared" si="20"/>
        <v>1234440</v>
      </c>
      <c r="D126" s="534">
        <f t="shared" si="33"/>
        <v>86120.359894402238</v>
      </c>
      <c r="E126" s="534">
        <f t="shared" si="33"/>
        <v>6400.0143670420057</v>
      </c>
      <c r="F126" s="534">
        <f t="shared" si="33"/>
        <v>26727.008243090349</v>
      </c>
      <c r="G126" s="534">
        <f t="shared" si="33"/>
        <v>69482.606899771927</v>
      </c>
      <c r="H126" s="798">
        <f t="shared" si="29"/>
        <v>1423170</v>
      </c>
      <c r="I126" s="534">
        <v>212</v>
      </c>
      <c r="J126" s="534">
        <f t="shared" si="21"/>
        <v>6713.066037735849</v>
      </c>
      <c r="K126" s="666"/>
      <c r="L126" s="843" t="s">
        <v>1182</v>
      </c>
      <c r="M126" s="773">
        <f t="shared" si="17"/>
        <v>41442</v>
      </c>
      <c r="N126" s="771">
        <v>41445</v>
      </c>
      <c r="O126" s="772" t="s">
        <v>855</v>
      </c>
      <c r="P126" s="305">
        <v>120</v>
      </c>
      <c r="Q126" s="258">
        <v>10287</v>
      </c>
      <c r="R126" s="8">
        <f t="shared" si="32"/>
        <v>1234440</v>
      </c>
      <c r="S126" s="449"/>
      <c r="T126" s="773"/>
      <c r="U126" s="801"/>
      <c r="V126" s="801"/>
      <c r="W126" s="8">
        <f t="shared" si="30"/>
        <v>0</v>
      </c>
    </row>
    <row r="127" spans="1:23">
      <c r="A127" s="797">
        <f t="shared" si="14"/>
        <v>65</v>
      </c>
      <c r="B127" s="297" t="s">
        <v>1128</v>
      </c>
      <c r="C127" s="824">
        <f t="shared" si="20"/>
        <v>2512600</v>
      </c>
      <c r="D127" s="534">
        <f t="shared" si="33"/>
        <v>79214.48197834169</v>
      </c>
      <c r="E127" s="534">
        <f t="shared" si="33"/>
        <v>5886.8056677980712</v>
      </c>
      <c r="F127" s="534">
        <f t="shared" si="33"/>
        <v>24583.804751899144</v>
      </c>
      <c r="G127" s="534">
        <f t="shared" si="33"/>
        <v>63910.888421960022</v>
      </c>
      <c r="H127" s="798">
        <f t="shared" ref="H127:H134" si="34">ROUND(SUM(C127:G127),0)</f>
        <v>2686196</v>
      </c>
      <c r="I127" s="534">
        <v>195</v>
      </c>
      <c r="J127" s="534">
        <f t="shared" si="21"/>
        <v>13775.364102564103</v>
      </c>
      <c r="K127" s="666"/>
      <c r="L127" s="843" t="s">
        <v>1191</v>
      </c>
      <c r="M127" s="773">
        <f t="shared" si="17"/>
        <v>41442</v>
      </c>
      <c r="N127" s="771">
        <v>41445</v>
      </c>
      <c r="O127" s="772" t="s">
        <v>855</v>
      </c>
      <c r="P127" s="821">
        <v>200</v>
      </c>
      <c r="Q127" s="258">
        <v>12563</v>
      </c>
      <c r="R127" s="8">
        <f t="shared" si="32"/>
        <v>2512600</v>
      </c>
      <c r="S127" s="449"/>
      <c r="T127" s="773"/>
      <c r="U127" s="801"/>
      <c r="V127" s="801"/>
      <c r="W127" s="8">
        <f t="shared" si="30"/>
        <v>0</v>
      </c>
    </row>
    <row r="128" spans="1:23">
      <c r="A128" s="797">
        <f t="shared" ref="A128:A134" si="35">IF(B128&lt;&gt;"",ROW()-62,"")</f>
        <v>66</v>
      </c>
      <c r="B128" s="297" t="s">
        <v>829</v>
      </c>
      <c r="C128" s="824">
        <f t="shared" si="20"/>
        <v>2107616</v>
      </c>
      <c r="D128" s="534">
        <f t="shared" si="33"/>
        <v>206363.88125639781</v>
      </c>
      <c r="E128" s="534">
        <f t="shared" si="33"/>
        <v>15335.883483289334</v>
      </c>
      <c r="F128" s="534">
        <f t="shared" si="33"/>
        <v>64043.963148537252</v>
      </c>
      <c r="G128" s="534">
        <f t="shared" si="33"/>
        <v>166496.05804284971</v>
      </c>
      <c r="H128" s="798">
        <f t="shared" si="34"/>
        <v>2559856</v>
      </c>
      <c r="I128" s="534">
        <v>508</v>
      </c>
      <c r="J128" s="534">
        <f t="shared" si="21"/>
        <v>5039.0866141732286</v>
      </c>
      <c r="K128" s="666"/>
      <c r="L128" s="843" t="s">
        <v>1254</v>
      </c>
      <c r="M128" s="773">
        <f t="shared" ref="M128:M134" si="36">N128-3</f>
        <v>41442</v>
      </c>
      <c r="N128" s="771">
        <v>41445</v>
      </c>
      <c r="O128" s="772" t="s">
        <v>856</v>
      </c>
      <c r="P128" s="305">
        <v>112</v>
      </c>
      <c r="Q128" s="256">
        <v>18818</v>
      </c>
      <c r="R128" s="8">
        <f t="shared" si="32"/>
        <v>2107616</v>
      </c>
      <c r="S128" s="449"/>
      <c r="T128" s="773"/>
      <c r="U128" s="801"/>
      <c r="V128" s="801"/>
      <c r="W128" s="8">
        <f t="shared" si="30"/>
        <v>0</v>
      </c>
    </row>
    <row r="129" spans="1:23">
      <c r="A129" s="797">
        <f t="shared" si="35"/>
        <v>67</v>
      </c>
      <c r="B129" s="297" t="s">
        <v>831</v>
      </c>
      <c r="C129" s="824">
        <f t="shared" ref="C129:C134" si="37">R129</f>
        <v>1188356</v>
      </c>
      <c r="D129" s="534">
        <f t="shared" si="33"/>
        <v>123899.57437638058</v>
      </c>
      <c r="E129" s="534">
        <f t="shared" si="33"/>
        <v>9207.5678393764701</v>
      </c>
      <c r="F129" s="534">
        <f t="shared" si="33"/>
        <v>38451.592047842249</v>
      </c>
      <c r="G129" s="534">
        <f t="shared" si="33"/>
        <v>99963.184454860559</v>
      </c>
      <c r="H129" s="798">
        <f t="shared" si="34"/>
        <v>1459878</v>
      </c>
      <c r="I129" s="534">
        <v>305</v>
      </c>
      <c r="J129" s="534">
        <f t="shared" ref="J129:J134" si="38">IF(I129&lt;&gt;"",H129/I129,"")</f>
        <v>4786.4852459016392</v>
      </c>
      <c r="K129" s="666"/>
      <c r="L129" s="843" t="s">
        <v>1271</v>
      </c>
      <c r="M129" s="773">
        <f t="shared" si="36"/>
        <v>41442</v>
      </c>
      <c r="N129" s="771">
        <v>41445</v>
      </c>
      <c r="O129" s="772" t="s">
        <v>856</v>
      </c>
      <c r="P129" s="305">
        <v>52</v>
      </c>
      <c r="Q129" s="256">
        <v>22853</v>
      </c>
      <c r="R129" s="8">
        <f t="shared" si="32"/>
        <v>1188356</v>
      </c>
      <c r="S129" s="449"/>
      <c r="T129" s="773"/>
      <c r="U129" s="801"/>
      <c r="V129" s="801"/>
      <c r="W129" s="8">
        <f t="shared" si="30"/>
        <v>0</v>
      </c>
    </row>
    <row r="130" spans="1:23">
      <c r="A130" s="797">
        <f t="shared" si="35"/>
        <v>68</v>
      </c>
      <c r="B130" s="297" t="s">
        <v>1138</v>
      </c>
      <c r="C130" s="824">
        <f t="shared" si="37"/>
        <v>2114100</v>
      </c>
      <c r="D130" s="534">
        <f t="shared" si="33"/>
        <v>196614.40655137115</v>
      </c>
      <c r="E130" s="534">
        <f t="shared" si="33"/>
        <v>14611.353554944957</v>
      </c>
      <c r="F130" s="534">
        <f t="shared" si="33"/>
        <v>61018.264102149667</v>
      </c>
      <c r="G130" s="534">
        <f t="shared" si="33"/>
        <v>158630.10254476231</v>
      </c>
      <c r="H130" s="798">
        <f t="shared" si="34"/>
        <v>2544974</v>
      </c>
      <c r="I130" s="534">
        <v>484</v>
      </c>
      <c r="J130" s="534">
        <f t="shared" si="38"/>
        <v>5258.2107438016528</v>
      </c>
      <c r="K130" s="666"/>
      <c r="L130" s="843" t="s">
        <v>1187</v>
      </c>
      <c r="M130" s="773">
        <f t="shared" si="36"/>
        <v>41442</v>
      </c>
      <c r="N130" s="771">
        <v>41445</v>
      </c>
      <c r="O130" s="772" t="s">
        <v>856</v>
      </c>
      <c r="P130" s="305">
        <v>150</v>
      </c>
      <c r="Q130" s="258">
        <v>14094</v>
      </c>
      <c r="R130" s="8">
        <f t="shared" si="32"/>
        <v>2114100</v>
      </c>
      <c r="S130" s="449"/>
      <c r="T130" s="773"/>
      <c r="U130" s="801"/>
      <c r="V130" s="801"/>
      <c r="W130" s="8">
        <f t="shared" si="30"/>
        <v>0</v>
      </c>
    </row>
    <row r="131" spans="1:23">
      <c r="A131" s="797">
        <f t="shared" si="35"/>
        <v>69</v>
      </c>
      <c r="B131" s="297" t="s">
        <v>1140</v>
      </c>
      <c r="C131" s="824">
        <f t="shared" si="37"/>
        <v>3827626</v>
      </c>
      <c r="D131" s="534">
        <f t="shared" si="33"/>
        <v>418414.95609072788</v>
      </c>
      <c r="E131" s="534">
        <f t="shared" si="33"/>
        <v>31094.409424779555</v>
      </c>
      <c r="F131" s="534">
        <f t="shared" si="33"/>
        <v>129852.91740746726</v>
      </c>
      <c r="G131" s="534">
        <f t="shared" si="33"/>
        <v>337580.5901262504</v>
      </c>
      <c r="H131" s="798">
        <f t="shared" si="34"/>
        <v>4744569</v>
      </c>
      <c r="I131" s="534">
        <v>1030</v>
      </c>
      <c r="J131" s="534">
        <f t="shared" si="38"/>
        <v>4606.3776699029122</v>
      </c>
      <c r="K131" s="666"/>
      <c r="L131" s="843" t="s">
        <v>1169</v>
      </c>
      <c r="M131" s="773">
        <f t="shared" si="36"/>
        <v>41443</v>
      </c>
      <c r="N131" s="771">
        <v>41446</v>
      </c>
      <c r="O131" s="772" t="s">
        <v>857</v>
      </c>
      <c r="P131" s="305">
        <v>209</v>
      </c>
      <c r="Q131" s="258">
        <v>18314</v>
      </c>
      <c r="R131" s="8">
        <f t="shared" si="32"/>
        <v>3827626</v>
      </c>
      <c r="S131" s="449"/>
      <c r="T131" s="773"/>
      <c r="U131" s="801"/>
      <c r="V131" s="801"/>
      <c r="W131" s="8">
        <f t="shared" si="30"/>
        <v>0</v>
      </c>
    </row>
    <row r="132" spans="1:23">
      <c r="A132" s="797">
        <f t="shared" si="35"/>
        <v>70</v>
      </c>
      <c r="B132" s="297" t="s">
        <v>836</v>
      </c>
      <c r="C132" s="824">
        <f t="shared" si="37"/>
        <v>4914000</v>
      </c>
      <c r="D132" s="534">
        <f t="shared" si="33"/>
        <v>203114.05635472227</v>
      </c>
      <c r="E132" s="534">
        <f t="shared" si="33"/>
        <v>15094.373507174541</v>
      </c>
      <c r="F132" s="534">
        <f t="shared" si="33"/>
        <v>63035.396799741393</v>
      </c>
      <c r="G132" s="534">
        <f t="shared" si="33"/>
        <v>163874.07287682057</v>
      </c>
      <c r="H132" s="798">
        <f t="shared" si="34"/>
        <v>5359118</v>
      </c>
      <c r="I132" s="534">
        <v>500</v>
      </c>
      <c r="J132" s="534">
        <f t="shared" si="38"/>
        <v>10718.236000000001</v>
      </c>
      <c r="K132" s="666"/>
      <c r="L132" s="843" t="s">
        <v>1193</v>
      </c>
      <c r="M132" s="773">
        <f t="shared" si="36"/>
        <v>41448</v>
      </c>
      <c r="N132" s="771">
        <v>41451</v>
      </c>
      <c r="O132" s="772" t="s">
        <v>858</v>
      </c>
      <c r="P132" s="305">
        <v>500</v>
      </c>
      <c r="Q132" s="258">
        <v>9828</v>
      </c>
      <c r="R132" s="8">
        <f t="shared" ref="R132:R134" si="39">P132*Q132</f>
        <v>4914000</v>
      </c>
      <c r="S132" s="449"/>
      <c r="T132" s="773"/>
      <c r="U132" s="801"/>
      <c r="V132" s="801"/>
      <c r="W132" s="8">
        <f t="shared" ref="W132:W134" si="40">U132*V132</f>
        <v>0</v>
      </c>
    </row>
    <row r="133" spans="1:23">
      <c r="A133" s="797">
        <f t="shared" si="35"/>
        <v>71</v>
      </c>
      <c r="B133" s="297" t="s">
        <v>859</v>
      </c>
      <c r="C133" s="824">
        <f t="shared" si="37"/>
        <v>27092880</v>
      </c>
      <c r="D133" s="534">
        <f t="shared" si="33"/>
        <v>601217.60680997791</v>
      </c>
      <c r="E133" s="534">
        <f t="shared" si="33"/>
        <v>44679.345581236645</v>
      </c>
      <c r="F133" s="534">
        <f t="shared" si="33"/>
        <v>186584.77452723452</v>
      </c>
      <c r="G133" s="534">
        <f t="shared" si="33"/>
        <v>485067.25571538892</v>
      </c>
      <c r="H133" s="798">
        <f t="shared" si="34"/>
        <v>28410429</v>
      </c>
      <c r="I133" s="534">
        <v>1480</v>
      </c>
      <c r="J133" s="534">
        <f t="shared" si="38"/>
        <v>19196.235810810809</v>
      </c>
      <c r="K133" s="666"/>
      <c r="L133" s="843" t="s">
        <v>1234</v>
      </c>
      <c r="M133" s="773">
        <f t="shared" si="36"/>
        <v>41448</v>
      </c>
      <c r="N133" s="771">
        <v>41451</v>
      </c>
      <c r="O133" s="772" t="s">
        <v>860</v>
      </c>
      <c r="P133" s="305">
        <f>I133</f>
        <v>1480</v>
      </c>
      <c r="Q133" s="258">
        <v>18306</v>
      </c>
      <c r="R133" s="8">
        <f t="shared" si="39"/>
        <v>27092880</v>
      </c>
      <c r="S133" s="449"/>
      <c r="T133" s="773"/>
      <c r="U133" s="801"/>
      <c r="V133" s="801"/>
      <c r="W133" s="8">
        <f t="shared" si="40"/>
        <v>0</v>
      </c>
    </row>
    <row r="134" spans="1:23">
      <c r="A134" s="797">
        <f t="shared" si="35"/>
        <v>72</v>
      </c>
      <c r="B134" s="297" t="s">
        <v>1135</v>
      </c>
      <c r="C134" s="824">
        <f t="shared" si="37"/>
        <v>15330745.830573121</v>
      </c>
      <c r="D134" s="534">
        <f t="shared" si="33"/>
        <v>1249963.9028069607</v>
      </c>
      <c r="E134" s="534">
        <f t="shared" si="33"/>
        <v>92890.774563152125</v>
      </c>
      <c r="F134" s="534">
        <f t="shared" si="33"/>
        <v>387919.83190560853</v>
      </c>
      <c r="G134" s="534">
        <f t="shared" si="33"/>
        <v>1008481.0444839539</v>
      </c>
      <c r="H134" s="798">
        <f t="shared" si="34"/>
        <v>18070001</v>
      </c>
      <c r="I134" s="534">
        <v>3077</v>
      </c>
      <c r="J134" s="534">
        <f t="shared" si="38"/>
        <v>5872.6035099122519</v>
      </c>
      <c r="K134" s="666"/>
      <c r="L134" s="843" t="s">
        <v>1241</v>
      </c>
      <c r="M134" s="773">
        <f t="shared" si="36"/>
        <v>41449</v>
      </c>
      <c r="N134" s="771">
        <v>41452</v>
      </c>
      <c r="O134" s="772" t="s">
        <v>861</v>
      </c>
      <c r="P134" s="305">
        <v>770</v>
      </c>
      <c r="Q134" s="258">
        <v>19910.059520224833</v>
      </c>
      <c r="R134" s="8">
        <f t="shared" si="39"/>
        <v>15330745.830573121</v>
      </c>
      <c r="S134" s="449"/>
      <c r="T134" s="773"/>
      <c r="U134" s="801"/>
      <c r="V134" s="801"/>
      <c r="W134" s="8">
        <f t="shared" si="40"/>
        <v>0</v>
      </c>
    </row>
    <row r="135" spans="1:23" s="777" customFormat="1">
      <c r="A135" s="757"/>
      <c r="B135" s="785"/>
      <c r="C135" s="786"/>
      <c r="D135" s="787"/>
      <c r="E135" s="788"/>
      <c r="F135" s="788"/>
      <c r="G135" s="788"/>
      <c r="H135" s="787"/>
      <c r="I135" s="790"/>
      <c r="J135" s="788"/>
      <c r="K135" s="666"/>
      <c r="L135" s="449"/>
      <c r="M135" s="773"/>
      <c r="N135" s="771"/>
      <c r="O135" s="772"/>
      <c r="P135" s="827"/>
      <c r="Q135" s="803"/>
      <c r="R135" s="25"/>
      <c r="S135" s="449"/>
      <c r="T135" s="773"/>
      <c r="U135" s="803"/>
      <c r="V135" s="803"/>
      <c r="W135" s="791"/>
    </row>
    <row r="136" spans="1:23" s="755" customFormat="1">
      <c r="A136" s="759"/>
      <c r="B136" s="760" t="s">
        <v>249</v>
      </c>
      <c r="C136" s="535">
        <f>SUM(C63:C135)</f>
        <v>376638279.4403789</v>
      </c>
      <c r="D136" s="535">
        <v>22620000</v>
      </c>
      <c r="E136" s="535">
        <f>W136</f>
        <v>1681000</v>
      </c>
      <c r="F136" s="535">
        <v>7020000</v>
      </c>
      <c r="G136" s="535">
        <v>18250000</v>
      </c>
      <c r="H136" s="535">
        <f>ROUND(SUM(H63:H135),0)</f>
        <v>426209278</v>
      </c>
      <c r="I136" s="535">
        <f>ROUND(SUM(I63:I135),0)</f>
        <v>55683</v>
      </c>
      <c r="J136" s="535"/>
      <c r="K136" s="768"/>
      <c r="L136" s="778"/>
      <c r="M136" s="779"/>
      <c r="N136" s="779"/>
      <c r="O136" s="780"/>
      <c r="P136" s="822"/>
      <c r="Q136" s="27"/>
      <c r="R136" s="47">
        <f>SUM(R63:R135)</f>
        <v>376638279.4403789</v>
      </c>
      <c r="S136" s="778"/>
      <c r="T136" s="779"/>
      <c r="U136" s="792"/>
      <c r="V136" s="27"/>
      <c r="W136" s="47">
        <f>SUM(W63:W135)</f>
        <v>1681000</v>
      </c>
    </row>
    <row r="137" spans="1:23" s="755" customFormat="1">
      <c r="A137" s="761"/>
      <c r="B137" s="762"/>
      <c r="C137" s="756"/>
      <c r="D137" s="756"/>
      <c r="E137" s="756"/>
      <c r="F137" s="756"/>
      <c r="G137" s="756"/>
      <c r="H137" s="756">
        <v>446648505</v>
      </c>
      <c r="I137" s="756"/>
      <c r="J137" s="756"/>
      <c r="K137" s="768"/>
      <c r="L137" s="450"/>
      <c r="M137" s="781"/>
      <c r="N137" s="781"/>
      <c r="O137" s="782"/>
      <c r="P137" s="820"/>
      <c r="Q137" s="770"/>
      <c r="R137" s="783"/>
      <c r="S137" s="450"/>
      <c r="T137" s="781"/>
      <c r="U137" s="770"/>
      <c r="V137" s="770"/>
      <c r="W137" s="793"/>
    </row>
    <row r="138" spans="1:23" s="755" customFormat="1">
      <c r="A138" s="761"/>
      <c r="B138" s="762"/>
      <c r="C138" s="756"/>
      <c r="D138" s="756"/>
      <c r="E138" s="756"/>
      <c r="F138" s="756"/>
      <c r="G138" s="756"/>
      <c r="H138" s="756">
        <f>H137-H136</f>
        <v>20439227</v>
      </c>
      <c r="I138" s="756"/>
      <c r="J138" s="756"/>
      <c r="K138" s="768"/>
      <c r="L138" s="450"/>
      <c r="M138" s="781"/>
      <c r="N138" s="781"/>
      <c r="O138" s="782"/>
      <c r="P138" s="820"/>
      <c r="Q138" s="770"/>
      <c r="R138" s="783"/>
      <c r="S138" s="450"/>
      <c r="T138" s="781"/>
      <c r="U138" s="770"/>
      <c r="V138" s="770"/>
      <c r="W138" s="793"/>
    </row>
    <row r="139" spans="1:23">
      <c r="L139" s="450"/>
      <c r="M139" s="781"/>
      <c r="N139" s="781"/>
      <c r="O139" s="782"/>
      <c r="P139" s="820"/>
      <c r="Q139" s="770"/>
      <c r="R139" s="783"/>
      <c r="S139" s="450"/>
      <c r="T139" s="781"/>
      <c r="U139" s="770"/>
      <c r="V139" s="770"/>
      <c r="W139" s="793"/>
    </row>
    <row r="140" spans="1:23" ht="18" hidden="1" customHeight="1">
      <c r="A140" s="572" t="str">
        <f>TH!$A$1</f>
        <v>Đơn vị: CÔNG TY TNHH SX TM KIM DUNG PHÁT</v>
      </c>
      <c r="B140" s="755"/>
      <c r="C140" s="293"/>
      <c r="D140" s="293"/>
      <c r="E140" s="293"/>
      <c r="F140" s="293"/>
      <c r="G140" s="293"/>
      <c r="H140" s="293"/>
      <c r="I140" s="600"/>
      <c r="J140" s="293"/>
      <c r="K140" s="768"/>
      <c r="L140" s="450"/>
      <c r="M140" s="781"/>
      <c r="N140" s="781"/>
      <c r="O140" s="782"/>
      <c r="P140" s="820"/>
      <c r="Q140" s="770"/>
      <c r="R140" s="783"/>
      <c r="S140" s="450"/>
      <c r="T140" s="781"/>
      <c r="U140" s="770"/>
      <c r="V140" s="770"/>
      <c r="W140" s="793"/>
    </row>
    <row r="141" spans="1:23" ht="18.75" customHeight="1">
      <c r="A141" s="756" t="s">
        <v>1282</v>
      </c>
      <c r="B141" s="756"/>
      <c r="C141" s="756"/>
      <c r="D141" s="756"/>
      <c r="E141" s="756"/>
      <c r="F141" s="756"/>
      <c r="G141" s="756"/>
      <c r="H141" s="756"/>
      <c r="I141" s="756"/>
      <c r="J141" s="756"/>
      <c r="K141" s="768"/>
      <c r="L141" s="450"/>
      <c r="M141" s="781"/>
      <c r="N141" s="781"/>
      <c r="O141" s="782"/>
      <c r="P141" s="820"/>
      <c r="Q141" s="770"/>
      <c r="R141" s="783"/>
      <c r="S141" s="450"/>
      <c r="T141" s="781"/>
      <c r="U141" s="770"/>
      <c r="V141" s="770"/>
      <c r="W141" s="793"/>
    </row>
    <row r="142" spans="1:23" ht="12.75" customHeight="1">
      <c r="A142" s="807"/>
      <c r="B142" s="799"/>
      <c r="C142" s="799"/>
      <c r="D142" s="799"/>
      <c r="E142" s="799"/>
      <c r="F142" s="799"/>
      <c r="G142" s="799"/>
      <c r="H142" s="799"/>
      <c r="I142" s="769"/>
      <c r="J142" s="799"/>
      <c r="K142" s="768"/>
      <c r="L142" s="450"/>
      <c r="M142" s="781"/>
      <c r="N142" s="781"/>
      <c r="O142" s="782"/>
      <c r="P142" s="820"/>
      <c r="Q142" s="770"/>
      <c r="R142" s="783"/>
      <c r="S142" s="450"/>
      <c r="T142" s="781"/>
      <c r="U142" s="770"/>
      <c r="V142" s="770"/>
      <c r="W142" s="763"/>
    </row>
    <row r="143" spans="1:23" s="447" customFormat="1" ht="30.75" customHeight="1">
      <c r="A143" s="826" t="s">
        <v>35</v>
      </c>
      <c r="B143" s="442" t="s">
        <v>240</v>
      </c>
      <c r="C143" s="443" t="s">
        <v>243</v>
      </c>
      <c r="D143" s="443" t="s">
        <v>440</v>
      </c>
      <c r="E143" s="443" t="s">
        <v>244</v>
      </c>
      <c r="F143" s="443" t="s">
        <v>433</v>
      </c>
      <c r="G143" s="444" t="s">
        <v>245</v>
      </c>
      <c r="H143" s="443" t="s">
        <v>246</v>
      </c>
      <c r="I143" s="445" t="s">
        <v>241</v>
      </c>
      <c r="J143" s="443" t="s">
        <v>247</v>
      </c>
      <c r="K143" s="446"/>
      <c r="L143" s="442" t="s">
        <v>240</v>
      </c>
      <c r="M143" s="443" t="s">
        <v>234</v>
      </c>
      <c r="N143" s="443"/>
      <c r="O143" s="750"/>
      <c r="P143" s="817" t="s">
        <v>199</v>
      </c>
      <c r="Q143" s="443" t="s">
        <v>242</v>
      </c>
      <c r="R143" s="443" t="s">
        <v>248</v>
      </c>
      <c r="S143" s="442" t="s">
        <v>240</v>
      </c>
      <c r="T143" s="443" t="s">
        <v>234</v>
      </c>
      <c r="U143" s="443" t="s">
        <v>199</v>
      </c>
      <c r="V143" s="443" t="s">
        <v>242</v>
      </c>
      <c r="W143" s="442" t="s">
        <v>248</v>
      </c>
    </row>
    <row r="144" spans="1:23" ht="13.5" customHeight="1">
      <c r="A144" s="757">
        <f>IF(B144&lt;&gt;"",ROW()-(ROW()-1),"")</f>
        <v>1</v>
      </c>
      <c r="B144" s="297" t="s">
        <v>1163</v>
      </c>
      <c r="C144" s="25">
        <f>R144</f>
        <v>3148800</v>
      </c>
      <c r="D144" s="758">
        <f t="shared" ref="D144:G163" si="41">IF($I$243&lt;&gt;0,D$243/$I$243*$I144,0)</f>
        <v>145332.9690346084</v>
      </c>
      <c r="E144" s="758">
        <f t="shared" si="41"/>
        <v>10757.583485124469</v>
      </c>
      <c r="F144" s="758">
        <f t="shared" si="41"/>
        <v>124790.52823315118</v>
      </c>
      <c r="G144" s="758">
        <f t="shared" si="41"/>
        <v>116791.13539769278</v>
      </c>
      <c r="H144" s="25">
        <f t="shared" ref="H144:H175" si="42">SUM(C144:G144)</f>
        <v>3546472.2161505767</v>
      </c>
      <c r="I144" s="758">
        <v>527</v>
      </c>
      <c r="J144" s="758">
        <f>IF(I144&lt;&gt;"",H144/I144,"")</f>
        <v>6729.5487972496712</v>
      </c>
      <c r="K144" s="666"/>
      <c r="L144" s="843" t="s">
        <v>1256</v>
      </c>
      <c r="M144" s="771">
        <f>N144-3</f>
        <v>41457</v>
      </c>
      <c r="N144" s="771">
        <v>41460</v>
      </c>
      <c r="O144" s="772" t="s">
        <v>862</v>
      </c>
      <c r="P144" s="305">
        <v>150</v>
      </c>
      <c r="Q144" s="803">
        <v>20992</v>
      </c>
      <c r="R144" s="25">
        <f t="shared" ref="R144:R145" si="43">ROUND(P144*Q144,0)</f>
        <v>3148800</v>
      </c>
      <c r="S144" s="448" t="s">
        <v>373</v>
      </c>
      <c r="T144" s="771">
        <v>41456</v>
      </c>
      <c r="U144" s="803">
        <v>25</v>
      </c>
      <c r="V144" s="803">
        <v>25000</v>
      </c>
      <c r="W144" s="25">
        <f t="shared" ref="W144:W242" si="44">ROUND(U144*V144,0)</f>
        <v>625000</v>
      </c>
    </row>
    <row r="145" spans="1:23" ht="13.5" customHeight="1">
      <c r="A145" s="757">
        <f>IF(B145&lt;&gt;"",A144+1,"")</f>
        <v>2</v>
      </c>
      <c r="B145" s="297" t="s">
        <v>864</v>
      </c>
      <c r="C145" s="25">
        <f t="shared" ref="C145:C191" si="45">R145</f>
        <v>3052010</v>
      </c>
      <c r="D145" s="758">
        <f t="shared" si="41"/>
        <v>139541.71220400729</v>
      </c>
      <c r="E145" s="758">
        <f t="shared" si="41"/>
        <v>10328.913175470552</v>
      </c>
      <c r="F145" s="758">
        <f t="shared" si="41"/>
        <v>119817.85063752277</v>
      </c>
      <c r="G145" s="758">
        <f t="shared" si="41"/>
        <v>112137.21918639951</v>
      </c>
      <c r="H145" s="25">
        <f t="shared" si="42"/>
        <v>3433835.6952034007</v>
      </c>
      <c r="I145" s="758">
        <v>506</v>
      </c>
      <c r="J145" s="758">
        <f t="shared" ref="J145:J148" si="46">IF(I145&lt;&gt;"",H145/I145,"")</f>
        <v>6786.2365517853768</v>
      </c>
      <c r="K145" s="666"/>
      <c r="L145" s="843" t="s">
        <v>1211</v>
      </c>
      <c r="M145" s="771">
        <f t="shared" ref="M145:M208" si="47">N145-3</f>
        <v>41457</v>
      </c>
      <c r="N145" s="771">
        <v>41460</v>
      </c>
      <c r="O145" s="772" t="s">
        <v>862</v>
      </c>
      <c r="P145" s="305">
        <v>130</v>
      </c>
      <c r="Q145" s="803">
        <v>23477</v>
      </c>
      <c r="R145" s="25">
        <f t="shared" si="43"/>
        <v>3052010</v>
      </c>
      <c r="S145" s="449" t="s">
        <v>346</v>
      </c>
      <c r="T145" s="771">
        <v>41456</v>
      </c>
      <c r="U145" s="801">
        <v>24</v>
      </c>
      <c r="V145" s="801">
        <v>44000</v>
      </c>
      <c r="W145" s="25">
        <f t="shared" si="44"/>
        <v>1056000</v>
      </c>
    </row>
    <row r="146" spans="1:23" ht="13.5" customHeight="1">
      <c r="A146" s="757">
        <f t="shared" ref="A146:A209" si="48">IF(B146&lt;&gt;"",A145+1,"")</f>
        <v>3</v>
      </c>
      <c r="B146" s="297" t="s">
        <v>865</v>
      </c>
      <c r="C146" s="25">
        <f t="shared" si="45"/>
        <v>2867049</v>
      </c>
      <c r="D146" s="758">
        <f t="shared" si="41"/>
        <v>39711.475409836072</v>
      </c>
      <c r="E146" s="758">
        <f t="shared" si="41"/>
        <v>2939.4535519125684</v>
      </c>
      <c r="F146" s="758">
        <f t="shared" si="41"/>
        <v>34098.360655737706</v>
      </c>
      <c r="G146" s="758">
        <f t="shared" si="41"/>
        <v>31912.56830601093</v>
      </c>
      <c r="H146" s="25">
        <f t="shared" si="42"/>
        <v>2975710.8579234974</v>
      </c>
      <c r="I146" s="758">
        <v>144</v>
      </c>
      <c r="J146" s="758">
        <f t="shared" si="46"/>
        <v>20664.658735579844</v>
      </c>
      <c r="K146" s="666"/>
      <c r="L146" s="843" t="s">
        <v>1241</v>
      </c>
      <c r="M146" s="771">
        <f t="shared" si="47"/>
        <v>41460</v>
      </c>
      <c r="N146" s="771">
        <v>41463</v>
      </c>
      <c r="O146" s="772" t="s">
        <v>866</v>
      </c>
      <c r="P146" s="305">
        <f>I146</f>
        <v>144</v>
      </c>
      <c r="Q146" s="256">
        <v>19910.059393752887</v>
      </c>
      <c r="R146" s="25">
        <f t="shared" ref="R146:R242" si="49">ROUND(P146*Q146,0)</f>
        <v>2867049</v>
      </c>
      <c r="S146" s="449"/>
      <c r="T146" s="773"/>
      <c r="U146" s="803"/>
      <c r="V146" s="801"/>
      <c r="W146" s="25">
        <f t="shared" si="44"/>
        <v>0</v>
      </c>
    </row>
    <row r="147" spans="1:23" ht="13.5" customHeight="1">
      <c r="A147" s="757">
        <f t="shared" si="48"/>
        <v>4</v>
      </c>
      <c r="B147" s="297" t="s">
        <v>867</v>
      </c>
      <c r="C147" s="25">
        <f t="shared" si="45"/>
        <v>2289657</v>
      </c>
      <c r="D147" s="758">
        <f t="shared" si="41"/>
        <v>31714.02550091075</v>
      </c>
      <c r="E147" s="758">
        <f t="shared" si="41"/>
        <v>2347.4802671523985</v>
      </c>
      <c r="F147" s="758">
        <f t="shared" si="41"/>
        <v>27231.329690346083</v>
      </c>
      <c r="G147" s="758">
        <f t="shared" si="41"/>
        <v>25485.731633272619</v>
      </c>
      <c r="H147" s="25">
        <f t="shared" si="42"/>
        <v>2376435.5670916815</v>
      </c>
      <c r="I147" s="758">
        <v>115</v>
      </c>
      <c r="J147" s="758">
        <f t="shared" si="46"/>
        <v>20664.657105145056</v>
      </c>
      <c r="K147" s="666"/>
      <c r="L147" s="843" t="s">
        <v>1241</v>
      </c>
      <c r="M147" s="771">
        <f t="shared" si="47"/>
        <v>41460</v>
      </c>
      <c r="N147" s="771">
        <v>41463</v>
      </c>
      <c r="O147" s="772" t="s">
        <v>866</v>
      </c>
      <c r="P147" s="305">
        <f>I147</f>
        <v>115</v>
      </c>
      <c r="Q147" s="256">
        <v>19910.059393752887</v>
      </c>
      <c r="R147" s="25">
        <f t="shared" si="49"/>
        <v>2289657</v>
      </c>
      <c r="S147" s="449"/>
      <c r="T147" s="773"/>
      <c r="U147" s="803"/>
      <c r="V147" s="803"/>
      <c r="W147" s="25">
        <f t="shared" si="44"/>
        <v>0</v>
      </c>
    </row>
    <row r="148" spans="1:23" ht="13.5" customHeight="1">
      <c r="A148" s="757">
        <f>IF(B148&lt;&gt;"",A147+1,"")</f>
        <v>5</v>
      </c>
      <c r="B148" s="297" t="s">
        <v>721</v>
      </c>
      <c r="C148" s="25">
        <f t="shared" si="45"/>
        <v>2827500</v>
      </c>
      <c r="D148" s="758">
        <f t="shared" si="41"/>
        <v>163258.28779599271</v>
      </c>
      <c r="E148" s="758">
        <f t="shared" si="41"/>
        <v>12084.420157862782</v>
      </c>
      <c r="F148" s="758">
        <f t="shared" si="41"/>
        <v>140182.14936247724</v>
      </c>
      <c r="G148" s="758">
        <f t="shared" si="41"/>
        <v>131196.11414693383</v>
      </c>
      <c r="H148" s="25">
        <f t="shared" si="42"/>
        <v>3274220.9714632668</v>
      </c>
      <c r="I148" s="758">
        <v>592</v>
      </c>
      <c r="J148" s="758">
        <f t="shared" si="46"/>
        <v>5530.7786680122754</v>
      </c>
      <c r="K148" s="666"/>
      <c r="L148" s="192" t="s">
        <v>697</v>
      </c>
      <c r="M148" s="771">
        <f t="shared" si="47"/>
        <v>41460</v>
      </c>
      <c r="N148" s="771">
        <v>41463</v>
      </c>
      <c r="O148" s="772" t="s">
        <v>868</v>
      </c>
      <c r="P148" s="305">
        <v>300</v>
      </c>
      <c r="Q148" s="803">
        <v>9425</v>
      </c>
      <c r="R148" s="25">
        <f t="shared" si="49"/>
        <v>2827500</v>
      </c>
      <c r="S148" s="449"/>
      <c r="T148" s="773"/>
      <c r="U148" s="803"/>
      <c r="V148" s="803"/>
      <c r="W148" s="25">
        <f t="shared" si="44"/>
        <v>0</v>
      </c>
    </row>
    <row r="149" spans="1:23" ht="13.5" customHeight="1">
      <c r="A149" s="757">
        <f t="shared" si="48"/>
        <v>6</v>
      </c>
      <c r="B149" s="297" t="s">
        <v>723</v>
      </c>
      <c r="C149" s="25">
        <f t="shared" si="45"/>
        <v>2328384</v>
      </c>
      <c r="D149" s="758">
        <f t="shared" si="41"/>
        <v>167946.44808743169</v>
      </c>
      <c r="E149" s="758">
        <f t="shared" si="41"/>
        <v>12431.43897996357</v>
      </c>
      <c r="F149" s="758">
        <f t="shared" si="41"/>
        <v>144207.65027322405</v>
      </c>
      <c r="G149" s="758">
        <f t="shared" si="41"/>
        <v>134963.57012750456</v>
      </c>
      <c r="H149" s="25">
        <f t="shared" si="42"/>
        <v>2787933.1074681235</v>
      </c>
      <c r="I149" s="758">
        <v>609</v>
      </c>
      <c r="J149" s="758">
        <f t="shared" ref="J149:J175" si="50">IF(I149&lt;&gt;"",H149/I149,"")</f>
        <v>4577.8868759739307</v>
      </c>
      <c r="K149" s="666"/>
      <c r="L149" s="843" t="s">
        <v>1216</v>
      </c>
      <c r="M149" s="771">
        <f t="shared" si="47"/>
        <v>41460</v>
      </c>
      <c r="N149" s="771">
        <v>41463</v>
      </c>
      <c r="O149" s="772" t="s">
        <v>868</v>
      </c>
      <c r="P149" s="305">
        <v>134</v>
      </c>
      <c r="Q149" s="803">
        <v>17376</v>
      </c>
      <c r="R149" s="25">
        <f t="shared" si="49"/>
        <v>2328384</v>
      </c>
      <c r="S149" s="449"/>
      <c r="T149" s="773"/>
      <c r="U149" s="803"/>
      <c r="V149" s="803"/>
      <c r="W149" s="25"/>
    </row>
    <row r="150" spans="1:23" ht="13.5" customHeight="1">
      <c r="A150" s="757">
        <f t="shared" si="48"/>
        <v>7</v>
      </c>
      <c r="B150" s="297" t="s">
        <v>869</v>
      </c>
      <c r="C150" s="25">
        <f t="shared" si="45"/>
        <v>6520500</v>
      </c>
      <c r="D150" s="758">
        <f t="shared" si="41"/>
        <v>224204.37158469946</v>
      </c>
      <c r="E150" s="758">
        <f t="shared" si="41"/>
        <v>16595.664845173043</v>
      </c>
      <c r="F150" s="758">
        <f t="shared" si="41"/>
        <v>192513.66120218579</v>
      </c>
      <c r="G150" s="758">
        <f t="shared" si="41"/>
        <v>180173.04189435337</v>
      </c>
      <c r="H150" s="25">
        <f t="shared" si="42"/>
        <v>7133986.7395264115</v>
      </c>
      <c r="I150" s="758">
        <v>813</v>
      </c>
      <c r="J150" s="758">
        <f t="shared" si="50"/>
        <v>8774.8914385318712</v>
      </c>
      <c r="K150" s="666"/>
      <c r="L150" s="843" t="s">
        <v>1172</v>
      </c>
      <c r="M150" s="771">
        <f t="shared" si="47"/>
        <v>41460</v>
      </c>
      <c r="N150" s="771">
        <v>41463</v>
      </c>
      <c r="O150" s="772" t="s">
        <v>868</v>
      </c>
      <c r="P150" s="305">
        <v>230</v>
      </c>
      <c r="Q150" s="803">
        <v>28350</v>
      </c>
      <c r="R150" s="25">
        <f t="shared" si="49"/>
        <v>6520500</v>
      </c>
      <c r="S150" s="449"/>
      <c r="T150" s="773"/>
      <c r="U150" s="803"/>
      <c r="V150" s="803"/>
      <c r="W150" s="25"/>
    </row>
    <row r="151" spans="1:23" ht="13.5" customHeight="1">
      <c r="A151" s="757">
        <f t="shared" si="48"/>
        <v>8</v>
      </c>
      <c r="B151" s="297" t="s">
        <v>870</v>
      </c>
      <c r="C151" s="25">
        <f t="shared" si="45"/>
        <v>4558380</v>
      </c>
      <c r="D151" s="758">
        <f t="shared" si="41"/>
        <v>180907.83242258654</v>
      </c>
      <c r="E151" s="758">
        <f t="shared" si="41"/>
        <v>13390.84395871281</v>
      </c>
      <c r="F151" s="758">
        <f t="shared" si="41"/>
        <v>155336.97632058288</v>
      </c>
      <c r="G151" s="758">
        <f t="shared" si="41"/>
        <v>145379.47783849423</v>
      </c>
      <c r="H151" s="25">
        <f t="shared" si="42"/>
        <v>5053395.1305403756</v>
      </c>
      <c r="I151" s="758">
        <v>656</v>
      </c>
      <c r="J151" s="758">
        <f t="shared" si="50"/>
        <v>7703.346235579841</v>
      </c>
      <c r="K151" s="666"/>
      <c r="L151" s="843" t="s">
        <v>1173</v>
      </c>
      <c r="M151" s="771">
        <f t="shared" si="47"/>
        <v>41460</v>
      </c>
      <c r="N151" s="771">
        <v>41463</v>
      </c>
      <c r="O151" s="772" t="s">
        <v>868</v>
      </c>
      <c r="P151" s="305">
        <v>218</v>
      </c>
      <c r="Q151" s="803">
        <v>20910</v>
      </c>
      <c r="R151" s="25">
        <f t="shared" si="49"/>
        <v>4558380</v>
      </c>
      <c r="S151" s="449"/>
      <c r="T151" s="773"/>
      <c r="U151" s="803"/>
      <c r="V151" s="803"/>
      <c r="W151" s="25"/>
    </row>
    <row r="152" spans="1:23" ht="13.5" customHeight="1">
      <c r="A152" s="757">
        <f t="shared" si="48"/>
        <v>9</v>
      </c>
      <c r="B152" s="297" t="s">
        <v>729</v>
      </c>
      <c r="C152" s="25">
        <f t="shared" si="45"/>
        <v>7940107</v>
      </c>
      <c r="D152" s="758">
        <f t="shared" si="41"/>
        <v>283220.0364298725</v>
      </c>
      <c r="E152" s="758">
        <f t="shared" si="41"/>
        <v>20964.019429265332</v>
      </c>
      <c r="F152" s="758">
        <f t="shared" si="41"/>
        <v>243187.61384335154</v>
      </c>
      <c r="G152" s="758">
        <f t="shared" si="41"/>
        <v>227598.6642380085</v>
      </c>
      <c r="H152" s="25">
        <f t="shared" si="42"/>
        <v>8715077.3339404967</v>
      </c>
      <c r="I152" s="758">
        <v>1027</v>
      </c>
      <c r="J152" s="758">
        <f t="shared" si="50"/>
        <v>8485.9565082185945</v>
      </c>
      <c r="K152" s="666"/>
      <c r="L152" s="843" t="s">
        <v>1252</v>
      </c>
      <c r="M152" s="771">
        <f t="shared" si="47"/>
        <v>41472</v>
      </c>
      <c r="N152" s="771">
        <v>41475</v>
      </c>
      <c r="O152" s="772" t="s">
        <v>871</v>
      </c>
      <c r="P152" s="305">
        <v>343</v>
      </c>
      <c r="Q152" s="803">
        <v>23149</v>
      </c>
      <c r="R152" s="25">
        <f t="shared" si="49"/>
        <v>7940107</v>
      </c>
      <c r="S152" s="449"/>
      <c r="T152" s="773"/>
      <c r="U152" s="803"/>
      <c r="V152" s="803"/>
      <c r="W152" s="25"/>
    </row>
    <row r="153" spans="1:23" ht="13.5" customHeight="1">
      <c r="A153" s="757">
        <f t="shared" si="48"/>
        <v>10</v>
      </c>
      <c r="B153" s="297" t="s">
        <v>836</v>
      </c>
      <c r="C153" s="25">
        <f t="shared" si="45"/>
        <v>6864750</v>
      </c>
      <c r="D153" s="758">
        <f t="shared" si="41"/>
        <v>206554.82695810567</v>
      </c>
      <c r="E153" s="758">
        <f t="shared" si="41"/>
        <v>15289.241044323011</v>
      </c>
      <c r="F153" s="758">
        <f t="shared" si="41"/>
        <v>177358.83424408015</v>
      </c>
      <c r="G153" s="758">
        <f t="shared" si="41"/>
        <v>165989.67820279294</v>
      </c>
      <c r="H153" s="25">
        <f t="shared" si="42"/>
        <v>7429942.5804493017</v>
      </c>
      <c r="I153" s="758">
        <v>749</v>
      </c>
      <c r="J153" s="758">
        <f t="shared" si="50"/>
        <v>9919.8165293048096</v>
      </c>
      <c r="K153" s="666"/>
      <c r="L153" s="843" t="s">
        <v>1234</v>
      </c>
      <c r="M153" s="771">
        <f t="shared" si="47"/>
        <v>41472</v>
      </c>
      <c r="N153" s="771">
        <v>41475</v>
      </c>
      <c r="O153" s="772" t="s">
        <v>872</v>
      </c>
      <c r="P153" s="305">
        <v>375</v>
      </c>
      <c r="Q153" s="803">
        <v>18306</v>
      </c>
      <c r="R153" s="25">
        <f t="shared" si="49"/>
        <v>6864750</v>
      </c>
      <c r="S153" s="449"/>
      <c r="T153" s="773"/>
      <c r="U153" s="803"/>
      <c r="V153" s="803"/>
      <c r="W153" s="25"/>
    </row>
    <row r="154" spans="1:23" ht="13.5" customHeight="1">
      <c r="A154" s="757">
        <f>IF(B154&lt;&gt;"",A153+1,"")</f>
        <v>11</v>
      </c>
      <c r="B154" s="297" t="s">
        <v>1154</v>
      </c>
      <c r="C154" s="25">
        <f t="shared" si="45"/>
        <v>5665642</v>
      </c>
      <c r="D154" s="758">
        <f t="shared" si="41"/>
        <v>421107.10382513661</v>
      </c>
      <c r="E154" s="758">
        <f t="shared" si="41"/>
        <v>31170.455373406192</v>
      </c>
      <c r="F154" s="758">
        <f t="shared" si="41"/>
        <v>361584.6994535519</v>
      </c>
      <c r="G154" s="758">
        <f t="shared" si="41"/>
        <v>338406.1930783242</v>
      </c>
      <c r="H154" s="25">
        <f t="shared" si="42"/>
        <v>6817910.4517304199</v>
      </c>
      <c r="I154" s="758">
        <v>1527</v>
      </c>
      <c r="J154" s="758">
        <f t="shared" si="50"/>
        <v>4464.9053383958217</v>
      </c>
      <c r="K154" s="666"/>
      <c r="L154" s="192" t="s">
        <v>698</v>
      </c>
      <c r="M154" s="771">
        <f t="shared" si="47"/>
        <v>41474</v>
      </c>
      <c r="N154" s="771">
        <v>41477</v>
      </c>
      <c r="O154" s="772" t="s">
        <v>873</v>
      </c>
      <c r="P154" s="305">
        <v>334</v>
      </c>
      <c r="Q154" s="803">
        <v>16963</v>
      </c>
      <c r="R154" s="25">
        <f t="shared" si="49"/>
        <v>5665642</v>
      </c>
      <c r="S154" s="449"/>
      <c r="T154" s="773"/>
      <c r="U154" s="803"/>
      <c r="V154" s="803"/>
      <c r="W154" s="25"/>
    </row>
    <row r="155" spans="1:23" ht="13.5" customHeight="1">
      <c r="A155" s="757">
        <f t="shared" si="48"/>
        <v>12</v>
      </c>
      <c r="B155" s="297" t="s">
        <v>874</v>
      </c>
      <c r="C155" s="25">
        <f t="shared" si="45"/>
        <v>9955030</v>
      </c>
      <c r="D155" s="758">
        <f t="shared" si="41"/>
        <v>274671.03825136612</v>
      </c>
      <c r="E155" s="758">
        <f t="shared" si="41"/>
        <v>20331.220400728598</v>
      </c>
      <c r="F155" s="758">
        <f t="shared" si="41"/>
        <v>235846.99453551913</v>
      </c>
      <c r="G155" s="758">
        <f t="shared" si="41"/>
        <v>220728.59744990894</v>
      </c>
      <c r="H155" s="25">
        <f t="shared" si="42"/>
        <v>10706607.850637522</v>
      </c>
      <c r="I155" s="758">
        <v>996</v>
      </c>
      <c r="J155" s="758">
        <f t="shared" si="50"/>
        <v>10749.606275740483</v>
      </c>
      <c r="K155" s="666"/>
      <c r="L155" s="843" t="s">
        <v>1241</v>
      </c>
      <c r="M155" s="771">
        <f t="shared" si="47"/>
        <v>41474</v>
      </c>
      <c r="N155" s="771">
        <v>41477</v>
      </c>
      <c r="O155" s="772" t="s">
        <v>873</v>
      </c>
      <c r="P155" s="305">
        <v>500</v>
      </c>
      <c r="Q155" s="803">
        <v>19910.059213884633</v>
      </c>
      <c r="R155" s="25">
        <f t="shared" si="49"/>
        <v>9955030</v>
      </c>
      <c r="S155" s="449"/>
      <c r="T155" s="773"/>
      <c r="U155" s="803"/>
      <c r="V155" s="803"/>
      <c r="W155" s="25"/>
    </row>
    <row r="156" spans="1:23" ht="13.5" customHeight="1">
      <c r="A156" s="757">
        <f t="shared" si="48"/>
        <v>13</v>
      </c>
      <c r="B156" s="297" t="s">
        <v>875</v>
      </c>
      <c r="C156" s="25">
        <f t="shared" si="45"/>
        <v>1811700</v>
      </c>
      <c r="D156" s="758">
        <f t="shared" si="41"/>
        <v>13788.706739526413</v>
      </c>
      <c r="E156" s="758">
        <f t="shared" si="41"/>
        <v>1020.6435944140862</v>
      </c>
      <c r="F156" s="758">
        <f t="shared" si="41"/>
        <v>11839.708561020036</v>
      </c>
      <c r="G156" s="758">
        <f t="shared" si="41"/>
        <v>11080.752884031572</v>
      </c>
      <c r="H156" s="25">
        <f t="shared" si="42"/>
        <v>1849429.8117789919</v>
      </c>
      <c r="I156" s="758">
        <v>50</v>
      </c>
      <c r="J156" s="758">
        <f t="shared" si="50"/>
        <v>36988.59623557984</v>
      </c>
      <c r="K156" s="666"/>
      <c r="L156" s="192" t="s">
        <v>636</v>
      </c>
      <c r="M156" s="771">
        <f t="shared" si="47"/>
        <v>41474</v>
      </c>
      <c r="N156" s="771">
        <v>41477</v>
      </c>
      <c r="O156" s="772" t="s">
        <v>876</v>
      </c>
      <c r="P156" s="305">
        <v>50</v>
      </c>
      <c r="Q156" s="803">
        <v>36234</v>
      </c>
      <c r="R156" s="25">
        <f t="shared" si="49"/>
        <v>1811700</v>
      </c>
      <c r="S156" s="449"/>
      <c r="T156" s="773"/>
      <c r="U156" s="803"/>
      <c r="V156" s="803"/>
      <c r="W156" s="25"/>
    </row>
    <row r="157" spans="1:23" ht="13.5" customHeight="1">
      <c r="A157" s="757">
        <f t="shared" si="48"/>
        <v>14</v>
      </c>
      <c r="B157" s="297" t="s">
        <v>878</v>
      </c>
      <c r="C157" s="25">
        <f t="shared" si="45"/>
        <v>1999750</v>
      </c>
      <c r="D157" s="758">
        <f t="shared" si="41"/>
        <v>13788.706739526413</v>
      </c>
      <c r="E157" s="758">
        <f t="shared" si="41"/>
        <v>1020.6435944140862</v>
      </c>
      <c r="F157" s="758">
        <f t="shared" si="41"/>
        <v>11839.708561020036</v>
      </c>
      <c r="G157" s="758">
        <f t="shared" si="41"/>
        <v>11080.752884031572</v>
      </c>
      <c r="H157" s="25">
        <f t="shared" si="42"/>
        <v>2037479.8117789919</v>
      </c>
      <c r="I157" s="758">
        <v>50</v>
      </c>
      <c r="J157" s="758">
        <f t="shared" si="50"/>
        <v>40749.59623557984</v>
      </c>
      <c r="K157" s="666"/>
      <c r="L157" s="843" t="s">
        <v>1265</v>
      </c>
      <c r="M157" s="771">
        <f t="shared" si="47"/>
        <v>41474</v>
      </c>
      <c r="N157" s="771">
        <v>41477</v>
      </c>
      <c r="O157" s="772" t="s">
        <v>876</v>
      </c>
      <c r="P157" s="305">
        <v>50</v>
      </c>
      <c r="Q157" s="803">
        <v>39995</v>
      </c>
      <c r="R157" s="25">
        <f t="shared" si="49"/>
        <v>1999750</v>
      </c>
      <c r="S157" s="449"/>
      <c r="T157" s="773"/>
      <c r="U157" s="803"/>
      <c r="V157" s="803"/>
      <c r="W157" s="25"/>
    </row>
    <row r="158" spans="1:23" ht="13.5" customHeight="1">
      <c r="A158" s="757">
        <f t="shared" si="48"/>
        <v>15</v>
      </c>
      <c r="B158" s="297" t="s">
        <v>879</v>
      </c>
      <c r="C158" s="25">
        <f t="shared" si="45"/>
        <v>974150</v>
      </c>
      <c r="D158" s="758">
        <f t="shared" si="41"/>
        <v>5515.482695810565</v>
      </c>
      <c r="E158" s="758">
        <f t="shared" si="41"/>
        <v>408.25743776563451</v>
      </c>
      <c r="F158" s="758">
        <f t="shared" si="41"/>
        <v>4735.8834244080144</v>
      </c>
      <c r="G158" s="758">
        <f t="shared" si="41"/>
        <v>4432.3011536126287</v>
      </c>
      <c r="H158" s="25">
        <f t="shared" si="42"/>
        <v>989241.92471159692</v>
      </c>
      <c r="I158" s="758">
        <v>20</v>
      </c>
      <c r="J158" s="758">
        <f t="shared" si="50"/>
        <v>49462.096235579847</v>
      </c>
      <c r="K158" s="666"/>
      <c r="L158" s="192" t="s">
        <v>606</v>
      </c>
      <c r="M158" s="771">
        <f t="shared" si="47"/>
        <v>41474</v>
      </c>
      <c r="N158" s="771">
        <v>41477</v>
      </c>
      <c r="O158" s="772" t="s">
        <v>876</v>
      </c>
      <c r="P158" s="305">
        <v>25</v>
      </c>
      <c r="Q158" s="803">
        <v>38966</v>
      </c>
      <c r="R158" s="25">
        <f t="shared" si="49"/>
        <v>974150</v>
      </c>
      <c r="S158" s="449"/>
      <c r="T158" s="773"/>
      <c r="U158" s="803"/>
      <c r="V158" s="803"/>
      <c r="W158" s="25"/>
    </row>
    <row r="159" spans="1:23" ht="13.5" customHeight="1">
      <c r="A159" s="757">
        <f>IF(B159&lt;&gt;"",A158+1,"")</f>
        <v>16</v>
      </c>
      <c r="B159" s="297" t="s">
        <v>880</v>
      </c>
      <c r="C159" s="25">
        <f t="shared" si="45"/>
        <v>1052082</v>
      </c>
      <c r="D159" s="758">
        <f t="shared" si="41"/>
        <v>5515.482695810565</v>
      </c>
      <c r="E159" s="758">
        <f t="shared" si="41"/>
        <v>408.25743776563451</v>
      </c>
      <c r="F159" s="758">
        <f t="shared" si="41"/>
        <v>4735.8834244080144</v>
      </c>
      <c r="G159" s="758">
        <f t="shared" si="41"/>
        <v>4432.3011536126287</v>
      </c>
      <c r="H159" s="25">
        <f t="shared" si="42"/>
        <v>1067173.9247115967</v>
      </c>
      <c r="I159" s="758">
        <v>20</v>
      </c>
      <c r="J159" s="758">
        <f t="shared" si="50"/>
        <v>53358.696235579831</v>
      </c>
      <c r="K159" s="666"/>
      <c r="L159" s="192" t="s">
        <v>606</v>
      </c>
      <c r="M159" s="771">
        <f t="shared" si="47"/>
        <v>41474</v>
      </c>
      <c r="N159" s="771">
        <v>41477</v>
      </c>
      <c r="O159" s="772" t="s">
        <v>876</v>
      </c>
      <c r="P159" s="305">
        <v>27</v>
      </c>
      <c r="Q159" s="803">
        <v>38966</v>
      </c>
      <c r="R159" s="25">
        <f t="shared" si="49"/>
        <v>1052082</v>
      </c>
      <c r="S159" s="449"/>
      <c r="T159" s="773"/>
      <c r="U159" s="803"/>
      <c r="V159" s="803"/>
      <c r="W159" s="25"/>
    </row>
    <row r="160" spans="1:23" ht="13.5" customHeight="1">
      <c r="A160" s="757">
        <f t="shared" si="48"/>
        <v>17</v>
      </c>
      <c r="B160" s="297" t="s">
        <v>881</v>
      </c>
      <c r="C160" s="25">
        <f t="shared" si="45"/>
        <v>1091048</v>
      </c>
      <c r="D160" s="758">
        <f t="shared" si="41"/>
        <v>5515.482695810565</v>
      </c>
      <c r="E160" s="758">
        <f t="shared" si="41"/>
        <v>408.25743776563451</v>
      </c>
      <c r="F160" s="758">
        <f t="shared" si="41"/>
        <v>4735.8834244080144</v>
      </c>
      <c r="G160" s="758">
        <f t="shared" si="41"/>
        <v>4432.3011536126287</v>
      </c>
      <c r="H160" s="25">
        <f t="shared" si="42"/>
        <v>1106139.9247115967</v>
      </c>
      <c r="I160" s="758">
        <v>20</v>
      </c>
      <c r="J160" s="758">
        <f t="shared" si="50"/>
        <v>55306.996235579834</v>
      </c>
      <c r="K160" s="666"/>
      <c r="L160" s="192" t="s">
        <v>606</v>
      </c>
      <c r="M160" s="771">
        <f t="shared" si="47"/>
        <v>41474</v>
      </c>
      <c r="N160" s="771">
        <v>41477</v>
      </c>
      <c r="O160" s="772" t="s">
        <v>876</v>
      </c>
      <c r="P160" s="305">
        <v>28</v>
      </c>
      <c r="Q160" s="803">
        <v>38966</v>
      </c>
      <c r="R160" s="25">
        <f t="shared" si="49"/>
        <v>1091048</v>
      </c>
      <c r="S160" s="449"/>
      <c r="T160" s="773"/>
      <c r="U160" s="803"/>
      <c r="V160" s="803"/>
      <c r="W160" s="25"/>
    </row>
    <row r="161" spans="1:23" ht="13.5" customHeight="1">
      <c r="A161" s="757">
        <f t="shared" si="48"/>
        <v>18</v>
      </c>
      <c r="B161" s="297" t="s">
        <v>882</v>
      </c>
      <c r="C161" s="25">
        <f t="shared" si="45"/>
        <v>1168980</v>
      </c>
      <c r="D161" s="758">
        <f t="shared" si="41"/>
        <v>5515.482695810565</v>
      </c>
      <c r="E161" s="758">
        <f t="shared" si="41"/>
        <v>408.25743776563451</v>
      </c>
      <c r="F161" s="758">
        <f t="shared" si="41"/>
        <v>4735.8834244080144</v>
      </c>
      <c r="G161" s="758">
        <f t="shared" si="41"/>
        <v>4432.3011536126287</v>
      </c>
      <c r="H161" s="25">
        <f t="shared" si="42"/>
        <v>1184071.9247115967</v>
      </c>
      <c r="I161" s="758">
        <v>20</v>
      </c>
      <c r="J161" s="758">
        <f t="shared" si="50"/>
        <v>59203.596235579833</v>
      </c>
      <c r="K161" s="666"/>
      <c r="L161" s="192" t="s">
        <v>606</v>
      </c>
      <c r="M161" s="771">
        <f t="shared" si="47"/>
        <v>41474</v>
      </c>
      <c r="N161" s="771">
        <v>41477</v>
      </c>
      <c r="O161" s="772" t="s">
        <v>876</v>
      </c>
      <c r="P161" s="305">
        <v>30</v>
      </c>
      <c r="Q161" s="803">
        <v>38966</v>
      </c>
      <c r="R161" s="25">
        <f t="shared" si="49"/>
        <v>1168980</v>
      </c>
      <c r="S161" s="449"/>
      <c r="T161" s="773"/>
      <c r="U161" s="803"/>
      <c r="V161" s="803"/>
      <c r="W161" s="25"/>
    </row>
    <row r="162" spans="1:23" ht="13.5" customHeight="1">
      <c r="A162" s="757">
        <f t="shared" si="48"/>
        <v>19</v>
      </c>
      <c r="B162" s="297" t="s">
        <v>883</v>
      </c>
      <c r="C162" s="25">
        <f t="shared" si="45"/>
        <v>1739530</v>
      </c>
      <c r="D162" s="758">
        <f t="shared" si="41"/>
        <v>71425.500910746821</v>
      </c>
      <c r="E162" s="758">
        <f t="shared" si="41"/>
        <v>5286.9338190649669</v>
      </c>
      <c r="F162" s="758">
        <f t="shared" si="41"/>
        <v>61329.690346083786</v>
      </c>
      <c r="G162" s="758">
        <f t="shared" si="41"/>
        <v>57398.299939283548</v>
      </c>
      <c r="H162" s="25">
        <f t="shared" si="42"/>
        <v>1934970.4250151792</v>
      </c>
      <c r="I162" s="758">
        <v>259</v>
      </c>
      <c r="J162" s="758">
        <f t="shared" si="50"/>
        <v>7470.9282819118889</v>
      </c>
      <c r="K162" s="666"/>
      <c r="L162" s="843" t="s">
        <v>1278</v>
      </c>
      <c r="M162" s="771">
        <f t="shared" si="47"/>
        <v>41476</v>
      </c>
      <c r="N162" s="771">
        <v>41479</v>
      </c>
      <c r="O162" s="772" t="s">
        <v>884</v>
      </c>
      <c r="P162" s="305">
        <v>130</v>
      </c>
      <c r="Q162" s="803">
        <v>13381</v>
      </c>
      <c r="R162" s="25">
        <f t="shared" si="49"/>
        <v>1739530</v>
      </c>
      <c r="S162" s="449"/>
      <c r="T162" s="773"/>
      <c r="U162" s="803"/>
      <c r="V162" s="803"/>
      <c r="W162" s="25"/>
    </row>
    <row r="163" spans="1:23" ht="13.5" customHeight="1">
      <c r="A163" s="757">
        <f t="shared" si="48"/>
        <v>20</v>
      </c>
      <c r="B163" s="297" t="s">
        <v>841</v>
      </c>
      <c r="C163" s="25">
        <f t="shared" si="45"/>
        <v>941724</v>
      </c>
      <c r="D163" s="758">
        <f t="shared" si="41"/>
        <v>27853.187613843354</v>
      </c>
      <c r="E163" s="758">
        <f t="shared" si="41"/>
        <v>2061.7000607164541</v>
      </c>
      <c r="F163" s="758">
        <f t="shared" si="41"/>
        <v>23916.211293260472</v>
      </c>
      <c r="G163" s="758">
        <f t="shared" si="41"/>
        <v>22383.120825743776</v>
      </c>
      <c r="H163" s="25">
        <f t="shared" si="42"/>
        <v>1017938.2197935641</v>
      </c>
      <c r="I163" s="758">
        <v>101</v>
      </c>
      <c r="J163" s="758">
        <f t="shared" si="50"/>
        <v>10078.596235579842</v>
      </c>
      <c r="K163" s="666"/>
      <c r="L163" s="192" t="s">
        <v>615</v>
      </c>
      <c r="M163" s="771">
        <f t="shared" si="47"/>
        <v>41476</v>
      </c>
      <c r="N163" s="771">
        <v>41479</v>
      </c>
      <c r="O163" s="772" t="s">
        <v>884</v>
      </c>
      <c r="P163" s="305">
        <v>101</v>
      </c>
      <c r="Q163" s="803">
        <v>9324</v>
      </c>
      <c r="R163" s="25">
        <f t="shared" si="49"/>
        <v>941724</v>
      </c>
      <c r="S163" s="449"/>
      <c r="T163" s="773"/>
      <c r="U163" s="803"/>
      <c r="V163" s="803"/>
      <c r="W163" s="25"/>
    </row>
    <row r="164" spans="1:23" ht="13.5" customHeight="1">
      <c r="A164" s="757">
        <f t="shared" si="48"/>
        <v>21</v>
      </c>
      <c r="B164" s="297" t="s">
        <v>842</v>
      </c>
      <c r="C164" s="25">
        <f t="shared" si="45"/>
        <v>896994</v>
      </c>
      <c r="D164" s="758">
        <f t="shared" ref="D164:G183" si="51">IF($I$243&lt;&gt;0,D$243/$I$243*$I164,0)</f>
        <v>27025.865209471769</v>
      </c>
      <c r="E164" s="758">
        <f t="shared" si="51"/>
        <v>2000.461445051609</v>
      </c>
      <c r="F164" s="758">
        <f t="shared" si="51"/>
        <v>23205.828779599273</v>
      </c>
      <c r="G164" s="758">
        <f t="shared" si="51"/>
        <v>21718.275652701883</v>
      </c>
      <c r="H164" s="25">
        <f t="shared" si="42"/>
        <v>970944.43108682451</v>
      </c>
      <c r="I164" s="758">
        <v>98</v>
      </c>
      <c r="J164" s="758">
        <f t="shared" si="50"/>
        <v>9907.596235579842</v>
      </c>
      <c r="K164" s="666"/>
      <c r="L164" s="843" t="s">
        <v>1234</v>
      </c>
      <c r="M164" s="771">
        <f t="shared" si="47"/>
        <v>41476</v>
      </c>
      <c r="N164" s="771">
        <v>41479</v>
      </c>
      <c r="O164" s="772" t="s">
        <v>884</v>
      </c>
      <c r="P164" s="305">
        <f>I164/2</f>
        <v>49</v>
      </c>
      <c r="Q164" s="803">
        <v>18306</v>
      </c>
      <c r="R164" s="25">
        <f t="shared" si="49"/>
        <v>896994</v>
      </c>
      <c r="S164" s="449"/>
      <c r="T164" s="773"/>
      <c r="U164" s="803"/>
      <c r="V164" s="803"/>
      <c r="W164" s="25"/>
    </row>
    <row r="165" spans="1:23" ht="13.5" customHeight="1">
      <c r="A165" s="757">
        <f t="shared" si="48"/>
        <v>22</v>
      </c>
      <c r="B165" s="297" t="s">
        <v>885</v>
      </c>
      <c r="C165" s="25">
        <f t="shared" si="45"/>
        <v>1157450</v>
      </c>
      <c r="D165" s="758">
        <f t="shared" si="51"/>
        <v>55154.826958105652</v>
      </c>
      <c r="E165" s="758">
        <f t="shared" si="51"/>
        <v>4082.574377656345</v>
      </c>
      <c r="F165" s="758">
        <f t="shared" si="51"/>
        <v>47358.834244080143</v>
      </c>
      <c r="G165" s="758">
        <f t="shared" si="51"/>
        <v>44323.011536126287</v>
      </c>
      <c r="H165" s="25">
        <f t="shared" si="42"/>
        <v>1308369.2471159685</v>
      </c>
      <c r="I165" s="758">
        <v>200</v>
      </c>
      <c r="J165" s="758">
        <f t="shared" si="50"/>
        <v>6541.8462355798429</v>
      </c>
      <c r="K165" s="666"/>
      <c r="L165" s="843" t="s">
        <v>1252</v>
      </c>
      <c r="M165" s="771">
        <f t="shared" si="47"/>
        <v>41477</v>
      </c>
      <c r="N165" s="771">
        <v>41480</v>
      </c>
      <c r="O165" s="772" t="s">
        <v>886</v>
      </c>
      <c r="P165" s="305">
        <v>50</v>
      </c>
      <c r="Q165" s="803">
        <v>23149</v>
      </c>
      <c r="R165" s="25">
        <f t="shared" si="49"/>
        <v>1157450</v>
      </c>
      <c r="S165" s="449"/>
      <c r="T165" s="773"/>
      <c r="U165" s="803"/>
      <c r="V165" s="803"/>
      <c r="W165" s="25"/>
    </row>
    <row r="166" spans="1:23" ht="13.5" customHeight="1">
      <c r="A166" s="757">
        <f t="shared" si="48"/>
        <v>23</v>
      </c>
      <c r="B166" s="297" t="s">
        <v>1119</v>
      </c>
      <c r="C166" s="25">
        <f t="shared" si="45"/>
        <v>3458000</v>
      </c>
      <c r="D166" s="758">
        <f t="shared" si="51"/>
        <v>136783.97085610201</v>
      </c>
      <c r="E166" s="758">
        <f t="shared" si="51"/>
        <v>10124.784456587735</v>
      </c>
      <c r="F166" s="758">
        <f t="shared" si="51"/>
        <v>117449.90892531876</v>
      </c>
      <c r="G166" s="758">
        <f t="shared" si="51"/>
        <v>109921.0686095932</v>
      </c>
      <c r="H166" s="25">
        <f t="shared" si="42"/>
        <v>3832279.7328476021</v>
      </c>
      <c r="I166" s="758">
        <v>496</v>
      </c>
      <c r="J166" s="758">
        <f t="shared" si="50"/>
        <v>7726.3704291282302</v>
      </c>
      <c r="K166" s="666"/>
      <c r="L166" s="192" t="s">
        <v>656</v>
      </c>
      <c r="M166" s="771">
        <f t="shared" si="47"/>
        <v>41477</v>
      </c>
      <c r="N166" s="771">
        <v>41480</v>
      </c>
      <c r="O166" s="772" t="s">
        <v>886</v>
      </c>
      <c r="P166" s="305">
        <v>250</v>
      </c>
      <c r="Q166" s="803">
        <v>13832</v>
      </c>
      <c r="R166" s="25">
        <f t="shared" si="49"/>
        <v>3458000</v>
      </c>
      <c r="S166" s="449"/>
      <c r="T166" s="773"/>
      <c r="U166" s="803"/>
      <c r="V166" s="803"/>
      <c r="W166" s="25"/>
    </row>
    <row r="167" spans="1:23" ht="13.5" customHeight="1">
      <c r="A167" s="757">
        <f t="shared" si="48"/>
        <v>24</v>
      </c>
      <c r="B167" s="297" t="s">
        <v>1163</v>
      </c>
      <c r="C167" s="25">
        <f t="shared" si="45"/>
        <v>3148800</v>
      </c>
      <c r="D167" s="758">
        <f t="shared" si="51"/>
        <v>139265.93806921676</v>
      </c>
      <c r="E167" s="758">
        <f t="shared" si="51"/>
        <v>10308.50030358227</v>
      </c>
      <c r="F167" s="758">
        <f t="shared" si="51"/>
        <v>119581.05646630237</v>
      </c>
      <c r="G167" s="758">
        <f t="shared" si="51"/>
        <v>111915.60412871889</v>
      </c>
      <c r="H167" s="25">
        <f t="shared" si="42"/>
        <v>3529871.0989678204</v>
      </c>
      <c r="I167" s="758">
        <v>505</v>
      </c>
      <c r="J167" s="758">
        <f t="shared" si="50"/>
        <v>6989.8437603323173</v>
      </c>
      <c r="K167" s="666"/>
      <c r="L167" s="843" t="s">
        <v>1256</v>
      </c>
      <c r="M167" s="771">
        <f t="shared" si="47"/>
        <v>41477</v>
      </c>
      <c r="N167" s="771">
        <v>41480</v>
      </c>
      <c r="O167" s="772" t="s">
        <v>886</v>
      </c>
      <c r="P167" s="305">
        <v>150</v>
      </c>
      <c r="Q167" s="803">
        <v>20992</v>
      </c>
      <c r="R167" s="25">
        <f t="shared" si="49"/>
        <v>3148800</v>
      </c>
      <c r="S167" s="449"/>
      <c r="T167" s="773"/>
      <c r="U167" s="803"/>
      <c r="V167" s="803"/>
      <c r="W167" s="25"/>
    </row>
    <row r="168" spans="1:23" ht="13.5" customHeight="1">
      <c r="A168" s="757">
        <f t="shared" si="48"/>
        <v>25</v>
      </c>
      <c r="B168" s="297" t="s">
        <v>887</v>
      </c>
      <c r="C168" s="25">
        <f t="shared" si="45"/>
        <v>5861000</v>
      </c>
      <c r="D168" s="758">
        <f t="shared" si="51"/>
        <v>275774.13479052827</v>
      </c>
      <c r="E168" s="758">
        <f t="shared" si="51"/>
        <v>20412.871888281723</v>
      </c>
      <c r="F168" s="758">
        <f t="shared" si="51"/>
        <v>236794.17122040072</v>
      </c>
      <c r="G168" s="758">
        <f t="shared" si="51"/>
        <v>221615.05768063146</v>
      </c>
      <c r="H168" s="25">
        <f t="shared" si="42"/>
        <v>6615596.2355798418</v>
      </c>
      <c r="I168" s="758">
        <v>1000</v>
      </c>
      <c r="J168" s="758">
        <f t="shared" si="50"/>
        <v>6615.596235579842</v>
      </c>
      <c r="K168" s="666"/>
      <c r="L168" s="192" t="s">
        <v>677</v>
      </c>
      <c r="M168" s="771">
        <f t="shared" si="47"/>
        <v>41477</v>
      </c>
      <c r="N168" s="771">
        <v>41480</v>
      </c>
      <c r="O168" s="772" t="s">
        <v>886</v>
      </c>
      <c r="P168" s="305">
        <f>I168/2</f>
        <v>500</v>
      </c>
      <c r="Q168" s="803">
        <v>11722</v>
      </c>
      <c r="R168" s="25">
        <f t="shared" si="49"/>
        <v>5861000</v>
      </c>
      <c r="S168" s="449"/>
      <c r="T168" s="773"/>
      <c r="U168" s="803"/>
      <c r="V168" s="803"/>
      <c r="W168" s="25"/>
    </row>
    <row r="169" spans="1:23" ht="13.5" customHeight="1">
      <c r="A169" s="757">
        <f t="shared" si="48"/>
        <v>26</v>
      </c>
      <c r="B169" s="297" t="s">
        <v>1135</v>
      </c>
      <c r="C169" s="25">
        <f t="shared" si="45"/>
        <v>16095493</v>
      </c>
      <c r="D169" s="758">
        <f t="shared" si="51"/>
        <v>827322.40437158477</v>
      </c>
      <c r="E169" s="758">
        <f t="shared" si="51"/>
        <v>61238.615664845172</v>
      </c>
      <c r="F169" s="758">
        <f t="shared" si="51"/>
        <v>710382.51366120216</v>
      </c>
      <c r="G169" s="758">
        <f t="shared" si="51"/>
        <v>664845.17304189433</v>
      </c>
      <c r="H169" s="25">
        <f t="shared" si="42"/>
        <v>18359281.706739526</v>
      </c>
      <c r="I169" s="758">
        <v>3000</v>
      </c>
      <c r="J169" s="758">
        <f t="shared" si="50"/>
        <v>6119.7605689131751</v>
      </c>
      <c r="K169" s="666"/>
      <c r="L169" s="192" t="s">
        <v>713</v>
      </c>
      <c r="M169" s="771">
        <f t="shared" si="47"/>
        <v>41478</v>
      </c>
      <c r="N169" s="771">
        <v>41481</v>
      </c>
      <c r="O169" s="772" t="s">
        <v>888</v>
      </c>
      <c r="P169" s="305">
        <v>780</v>
      </c>
      <c r="Q169" s="803">
        <v>20635.247863247863</v>
      </c>
      <c r="R169" s="25">
        <f t="shared" si="49"/>
        <v>16095493</v>
      </c>
      <c r="S169" s="449"/>
      <c r="T169" s="773"/>
      <c r="U169" s="803"/>
      <c r="V169" s="803"/>
      <c r="W169" s="25"/>
    </row>
    <row r="170" spans="1:23" ht="13.5" customHeight="1">
      <c r="A170" s="757">
        <f t="shared" si="48"/>
        <v>27</v>
      </c>
      <c r="B170" s="297" t="s">
        <v>836</v>
      </c>
      <c r="C170" s="25">
        <f t="shared" si="45"/>
        <v>4231209</v>
      </c>
      <c r="D170" s="758">
        <f t="shared" si="51"/>
        <v>137887.06739526414</v>
      </c>
      <c r="E170" s="758">
        <f t="shared" si="51"/>
        <v>10206.435944140861</v>
      </c>
      <c r="F170" s="758">
        <f t="shared" si="51"/>
        <v>118397.08561020036</v>
      </c>
      <c r="G170" s="758">
        <f t="shared" si="51"/>
        <v>110807.52884031573</v>
      </c>
      <c r="H170" s="25">
        <f t="shared" si="42"/>
        <v>4608507.1177899214</v>
      </c>
      <c r="I170" s="758">
        <v>500</v>
      </c>
      <c r="J170" s="758">
        <f t="shared" si="50"/>
        <v>9217.0142355798434</v>
      </c>
      <c r="K170" s="666"/>
      <c r="L170" s="192" t="s">
        <v>650</v>
      </c>
      <c r="M170" s="771">
        <f t="shared" si="47"/>
        <v>41481</v>
      </c>
      <c r="N170" s="771">
        <v>41484</v>
      </c>
      <c r="O170" s="772" t="s">
        <v>889</v>
      </c>
      <c r="P170" s="305">
        <f>I170</f>
        <v>500</v>
      </c>
      <c r="Q170" s="803">
        <v>8462.418420401089</v>
      </c>
      <c r="R170" s="25">
        <f t="shared" si="49"/>
        <v>4231209</v>
      </c>
      <c r="S170" s="449"/>
      <c r="T170" s="773"/>
      <c r="U170" s="803"/>
      <c r="V170" s="803"/>
      <c r="W170" s="25"/>
    </row>
    <row r="171" spans="1:23" ht="13.5" customHeight="1">
      <c r="A171" s="757">
        <f t="shared" si="48"/>
        <v>28</v>
      </c>
      <c r="B171" s="297" t="s">
        <v>1143</v>
      </c>
      <c r="C171" s="25">
        <f t="shared" si="45"/>
        <v>1178000</v>
      </c>
      <c r="D171" s="758">
        <f t="shared" si="51"/>
        <v>27301.639344262298</v>
      </c>
      <c r="E171" s="758">
        <f t="shared" si="51"/>
        <v>2020.8743169398908</v>
      </c>
      <c r="F171" s="758">
        <f t="shared" si="51"/>
        <v>23442.62295081967</v>
      </c>
      <c r="G171" s="758">
        <f t="shared" si="51"/>
        <v>21939.890710382515</v>
      </c>
      <c r="H171" s="25">
        <f t="shared" si="42"/>
        <v>1252705.0273224043</v>
      </c>
      <c r="I171" s="758">
        <v>99</v>
      </c>
      <c r="J171" s="758">
        <f t="shared" si="50"/>
        <v>12653.586134569741</v>
      </c>
      <c r="K171" s="666"/>
      <c r="L171" s="843" t="s">
        <v>1167</v>
      </c>
      <c r="M171" s="771">
        <f t="shared" si="47"/>
        <v>41484</v>
      </c>
      <c r="N171" s="771">
        <v>41487</v>
      </c>
      <c r="O171" s="772" t="s">
        <v>890</v>
      </c>
      <c r="P171" s="305">
        <v>100</v>
      </c>
      <c r="Q171" s="803">
        <v>11780</v>
      </c>
      <c r="R171" s="25">
        <f t="shared" si="49"/>
        <v>1178000</v>
      </c>
      <c r="S171" s="449"/>
      <c r="T171" s="773"/>
      <c r="U171" s="803"/>
      <c r="V171" s="803"/>
      <c r="W171" s="25"/>
    </row>
    <row r="172" spans="1:23" ht="13.5" customHeight="1">
      <c r="A172" s="757">
        <f t="shared" si="48"/>
        <v>29</v>
      </c>
      <c r="B172" s="297" t="s">
        <v>865</v>
      </c>
      <c r="C172" s="25">
        <f t="shared" si="45"/>
        <v>3982012</v>
      </c>
      <c r="D172" s="758">
        <f t="shared" si="51"/>
        <v>55154.826958105652</v>
      </c>
      <c r="E172" s="758">
        <f t="shared" si="51"/>
        <v>4082.574377656345</v>
      </c>
      <c r="F172" s="758">
        <f t="shared" si="51"/>
        <v>47358.834244080143</v>
      </c>
      <c r="G172" s="758">
        <f t="shared" si="51"/>
        <v>44323.011536126287</v>
      </c>
      <c r="H172" s="25">
        <f t="shared" si="42"/>
        <v>4132931.2471159687</v>
      </c>
      <c r="I172" s="758">
        <v>200</v>
      </c>
      <c r="J172" s="758">
        <f t="shared" si="50"/>
        <v>20664.656235579845</v>
      </c>
      <c r="K172" s="666"/>
      <c r="L172" s="843" t="s">
        <v>1241</v>
      </c>
      <c r="M172" s="771">
        <f t="shared" si="47"/>
        <v>41484</v>
      </c>
      <c r="N172" s="771">
        <v>41487</v>
      </c>
      <c r="O172" s="772" t="s">
        <v>891</v>
      </c>
      <c r="P172" s="305">
        <f>I172</f>
        <v>200</v>
      </c>
      <c r="Q172" s="256">
        <v>19910.059393752887</v>
      </c>
      <c r="R172" s="25">
        <f t="shared" si="49"/>
        <v>3982012</v>
      </c>
      <c r="S172" s="449"/>
      <c r="T172" s="773"/>
      <c r="U172" s="803"/>
      <c r="V172" s="803"/>
      <c r="W172" s="25"/>
    </row>
    <row r="173" spans="1:23" ht="13.5" customHeight="1">
      <c r="A173" s="757">
        <f t="shared" si="48"/>
        <v>30</v>
      </c>
      <c r="B173" s="297" t="s">
        <v>885</v>
      </c>
      <c r="C173" s="25">
        <f t="shared" si="45"/>
        <v>3680400</v>
      </c>
      <c r="D173" s="758">
        <f t="shared" si="51"/>
        <v>140644.80874316941</v>
      </c>
      <c r="E173" s="758">
        <f t="shared" si="51"/>
        <v>10410.564663023679</v>
      </c>
      <c r="F173" s="758">
        <f t="shared" si="51"/>
        <v>120765.02732240438</v>
      </c>
      <c r="G173" s="758">
        <f t="shared" si="51"/>
        <v>113023.67941712204</v>
      </c>
      <c r="H173" s="25">
        <f t="shared" si="42"/>
        <v>4065244.0801457199</v>
      </c>
      <c r="I173" s="758">
        <v>510</v>
      </c>
      <c r="J173" s="758">
        <f t="shared" si="50"/>
        <v>7971.0668238151375</v>
      </c>
      <c r="K173" s="666"/>
      <c r="L173" s="843" t="s">
        <v>1207</v>
      </c>
      <c r="M173" s="771">
        <f t="shared" si="47"/>
        <v>41485</v>
      </c>
      <c r="N173" s="771">
        <v>41488</v>
      </c>
      <c r="O173" s="772" t="s">
        <v>892</v>
      </c>
      <c r="P173" s="305">
        <v>200</v>
      </c>
      <c r="Q173" s="803">
        <v>18402</v>
      </c>
      <c r="R173" s="25">
        <f t="shared" si="49"/>
        <v>3680400</v>
      </c>
      <c r="S173" s="449"/>
      <c r="T173" s="773"/>
      <c r="U173" s="803"/>
      <c r="V173" s="803"/>
      <c r="W173" s="25"/>
    </row>
    <row r="174" spans="1:23" ht="13.5" customHeight="1">
      <c r="A174" s="757">
        <f t="shared" si="48"/>
        <v>31</v>
      </c>
      <c r="B174" s="297" t="s">
        <v>1147</v>
      </c>
      <c r="C174" s="25">
        <f t="shared" si="45"/>
        <v>9337818</v>
      </c>
      <c r="D174" s="758">
        <f t="shared" si="51"/>
        <v>775752.64116575592</v>
      </c>
      <c r="E174" s="758">
        <f t="shared" si="51"/>
        <v>57421.408621736489</v>
      </c>
      <c r="F174" s="758">
        <f t="shared" si="51"/>
        <v>666102.00364298723</v>
      </c>
      <c r="G174" s="758">
        <f t="shared" si="51"/>
        <v>623403.15725561627</v>
      </c>
      <c r="H174" s="25">
        <f t="shared" si="42"/>
        <v>11460497.210686095</v>
      </c>
      <c r="I174" s="758">
        <v>2813</v>
      </c>
      <c r="J174" s="758">
        <f t="shared" si="50"/>
        <v>4074.1191648368626</v>
      </c>
      <c r="K174" s="666"/>
      <c r="L174" s="843" t="s">
        <v>1241</v>
      </c>
      <c r="M174" s="771">
        <f t="shared" si="47"/>
        <v>41485</v>
      </c>
      <c r="N174" s="771">
        <v>41488</v>
      </c>
      <c r="O174" s="772" t="s">
        <v>893</v>
      </c>
      <c r="P174" s="305">
        <v>469</v>
      </c>
      <c r="Q174" s="803">
        <v>19910.059351276741</v>
      </c>
      <c r="R174" s="25">
        <f t="shared" si="49"/>
        <v>9337818</v>
      </c>
      <c r="S174" s="449"/>
      <c r="T174" s="773"/>
      <c r="U174" s="803"/>
      <c r="V174" s="803"/>
      <c r="W174" s="25"/>
    </row>
    <row r="175" spans="1:23" ht="13.5" customHeight="1">
      <c r="A175" s="757">
        <f t="shared" si="48"/>
        <v>32</v>
      </c>
      <c r="B175" s="297" t="s">
        <v>1147</v>
      </c>
      <c r="C175" s="25">
        <f t="shared" si="45"/>
        <v>9317908</v>
      </c>
      <c r="D175" s="758">
        <f t="shared" si="51"/>
        <v>773546.44808743172</v>
      </c>
      <c r="E175" s="758">
        <f t="shared" si="51"/>
        <v>57258.10564663024</v>
      </c>
      <c r="F175" s="758">
        <f t="shared" si="51"/>
        <v>664207.65027322399</v>
      </c>
      <c r="G175" s="758">
        <f t="shared" si="51"/>
        <v>621630.23679417127</v>
      </c>
      <c r="H175" s="25">
        <f t="shared" si="42"/>
        <v>11434550.440801458</v>
      </c>
      <c r="I175" s="758">
        <v>2805</v>
      </c>
      <c r="J175" s="758">
        <f t="shared" si="50"/>
        <v>4076.488570695707</v>
      </c>
      <c r="K175" s="666"/>
      <c r="L175" s="843" t="s">
        <v>1241</v>
      </c>
      <c r="M175" s="771">
        <f t="shared" si="47"/>
        <v>41486</v>
      </c>
      <c r="N175" s="771">
        <v>41489</v>
      </c>
      <c r="O175" s="772" t="s">
        <v>895</v>
      </c>
      <c r="P175" s="305">
        <v>468</v>
      </c>
      <c r="Q175" s="803">
        <v>19910.059351276741</v>
      </c>
      <c r="R175" s="25">
        <f t="shared" si="49"/>
        <v>9317908</v>
      </c>
      <c r="S175" s="449"/>
      <c r="T175" s="773"/>
      <c r="U175" s="803"/>
      <c r="V175" s="803"/>
      <c r="W175" s="25"/>
    </row>
    <row r="176" spans="1:23" ht="13.5" customHeight="1">
      <c r="A176" s="757">
        <f t="shared" si="48"/>
        <v>33</v>
      </c>
      <c r="B176" s="297" t="s">
        <v>1147</v>
      </c>
      <c r="C176" s="25">
        <f t="shared" si="45"/>
        <v>9397548</v>
      </c>
      <c r="D176" s="758">
        <f t="shared" si="51"/>
        <v>780165.02732240444</v>
      </c>
      <c r="E176" s="758">
        <f t="shared" si="51"/>
        <v>57748.014571948996</v>
      </c>
      <c r="F176" s="758">
        <f t="shared" si="51"/>
        <v>669890.7103825137</v>
      </c>
      <c r="G176" s="758">
        <f t="shared" si="51"/>
        <v>626948.99817850639</v>
      </c>
      <c r="H176" s="25">
        <f t="shared" ref="H176:H207" si="52">SUM(C176:G176)</f>
        <v>11532300.750455374</v>
      </c>
      <c r="I176" s="758">
        <v>2829</v>
      </c>
      <c r="J176" s="758">
        <f t="shared" ref="J176:J239" si="53">IF(I176&lt;&gt;"",H176/I176,"")</f>
        <v>4076.4583776795243</v>
      </c>
      <c r="K176" s="666"/>
      <c r="L176" s="843" t="s">
        <v>1241</v>
      </c>
      <c r="M176" s="771">
        <f t="shared" si="47"/>
        <v>41489</v>
      </c>
      <c r="N176" s="771">
        <v>41492</v>
      </c>
      <c r="O176" s="772" t="s">
        <v>896</v>
      </c>
      <c r="P176" s="305">
        <v>472</v>
      </c>
      <c r="Q176" s="803">
        <v>19910.059351276741</v>
      </c>
      <c r="R176" s="25">
        <f t="shared" si="49"/>
        <v>9397548</v>
      </c>
      <c r="S176" s="449"/>
      <c r="T176" s="773"/>
      <c r="U176" s="803"/>
      <c r="V176" s="803"/>
      <c r="W176" s="25"/>
    </row>
    <row r="177" spans="1:23" ht="13.5" customHeight="1">
      <c r="A177" s="757">
        <f t="shared" si="48"/>
        <v>34</v>
      </c>
      <c r="B177" s="297" t="s">
        <v>897</v>
      </c>
      <c r="C177" s="25">
        <f t="shared" si="45"/>
        <v>5919610</v>
      </c>
      <c r="D177" s="758">
        <f t="shared" si="51"/>
        <v>278531.87613843352</v>
      </c>
      <c r="E177" s="758">
        <f t="shared" si="51"/>
        <v>20617.00060716454</v>
      </c>
      <c r="F177" s="758">
        <f t="shared" si="51"/>
        <v>239162.11293260474</v>
      </c>
      <c r="G177" s="758">
        <f t="shared" si="51"/>
        <v>223831.20825743777</v>
      </c>
      <c r="H177" s="25">
        <f t="shared" si="52"/>
        <v>6681752.1979356408</v>
      </c>
      <c r="I177" s="758">
        <v>1010</v>
      </c>
      <c r="J177" s="758">
        <f t="shared" si="53"/>
        <v>6615.596235579842</v>
      </c>
      <c r="K177" s="666"/>
      <c r="L177" s="192" t="s">
        <v>677</v>
      </c>
      <c r="M177" s="771">
        <f t="shared" si="47"/>
        <v>41489</v>
      </c>
      <c r="N177" s="771">
        <v>41492</v>
      </c>
      <c r="O177" s="772" t="s">
        <v>898</v>
      </c>
      <c r="P177" s="305">
        <f>I177/2</f>
        <v>505</v>
      </c>
      <c r="Q177" s="803">
        <v>11722</v>
      </c>
      <c r="R177" s="25">
        <f>ROUND(P177*Q177,0)</f>
        <v>5919610</v>
      </c>
      <c r="S177" s="449"/>
      <c r="T177" s="773"/>
      <c r="U177" s="803"/>
      <c r="V177" s="803"/>
      <c r="W177" s="25"/>
    </row>
    <row r="178" spans="1:23" ht="13.5" customHeight="1">
      <c r="A178" s="757">
        <f t="shared" si="48"/>
        <v>35</v>
      </c>
      <c r="B178" s="297" t="s">
        <v>1136</v>
      </c>
      <c r="C178" s="25">
        <f t="shared" si="45"/>
        <v>3123600</v>
      </c>
      <c r="D178" s="758">
        <f t="shared" si="51"/>
        <v>264743.16939890711</v>
      </c>
      <c r="E178" s="758">
        <f t="shared" si="51"/>
        <v>19596.357012750457</v>
      </c>
      <c r="F178" s="758">
        <f t="shared" si="51"/>
        <v>227322.40437158471</v>
      </c>
      <c r="G178" s="758">
        <f t="shared" si="51"/>
        <v>212750.45537340621</v>
      </c>
      <c r="H178" s="25">
        <f t="shared" si="52"/>
        <v>3848012.3861566489</v>
      </c>
      <c r="I178" s="758">
        <v>960</v>
      </c>
      <c r="J178" s="758">
        <f t="shared" si="53"/>
        <v>4008.3462355798424</v>
      </c>
      <c r="K178" s="666"/>
      <c r="L178" s="843" t="s">
        <v>1212</v>
      </c>
      <c r="M178" s="771">
        <f t="shared" si="47"/>
        <v>41489</v>
      </c>
      <c r="N178" s="771">
        <v>41492</v>
      </c>
      <c r="O178" s="772" t="s">
        <v>898</v>
      </c>
      <c r="P178" s="305">
        <v>200</v>
      </c>
      <c r="Q178" s="256">
        <v>15618</v>
      </c>
      <c r="R178" s="25">
        <f>ROUND(P178*Q178,0)</f>
        <v>3123600</v>
      </c>
      <c r="S178" s="449"/>
      <c r="T178" s="773"/>
      <c r="U178" s="803"/>
      <c r="V178" s="803"/>
      <c r="W178" s="25"/>
    </row>
    <row r="179" spans="1:23" ht="13.5" customHeight="1">
      <c r="A179" s="757">
        <f>IF(B179&lt;&gt;"",A178+1,"")</f>
        <v>36</v>
      </c>
      <c r="B179" s="297" t="s">
        <v>723</v>
      </c>
      <c r="C179" s="25">
        <f t="shared" si="45"/>
        <v>5482750</v>
      </c>
      <c r="D179" s="758">
        <f t="shared" si="51"/>
        <v>360436.79417122045</v>
      </c>
      <c r="E179" s="758">
        <f t="shared" si="51"/>
        <v>26679.623557984214</v>
      </c>
      <c r="F179" s="758">
        <f t="shared" si="51"/>
        <v>309489.98178506375</v>
      </c>
      <c r="G179" s="758">
        <f t="shared" si="51"/>
        <v>289650.88038858533</v>
      </c>
      <c r="H179" s="25">
        <f t="shared" si="52"/>
        <v>6469007.2799028531</v>
      </c>
      <c r="I179" s="758">
        <v>1307</v>
      </c>
      <c r="J179" s="758">
        <f t="shared" si="53"/>
        <v>4949.5082478216164</v>
      </c>
      <c r="K179" s="666"/>
      <c r="L179" s="843" t="s">
        <v>1233</v>
      </c>
      <c r="M179" s="771">
        <f t="shared" si="47"/>
        <v>41489</v>
      </c>
      <c r="N179" s="771">
        <v>41492</v>
      </c>
      <c r="O179" s="772" t="s">
        <v>899</v>
      </c>
      <c r="P179" s="305">
        <v>350</v>
      </c>
      <c r="Q179" s="803">
        <v>15665</v>
      </c>
      <c r="R179" s="25">
        <f>ROUND(P179*Q179,0)</f>
        <v>5482750</v>
      </c>
      <c r="S179" s="449"/>
      <c r="T179" s="773"/>
      <c r="U179" s="803"/>
      <c r="V179" s="803"/>
      <c r="W179" s="25"/>
    </row>
    <row r="180" spans="1:23" ht="13.5" customHeight="1">
      <c r="A180" s="757">
        <f t="shared" si="48"/>
        <v>37</v>
      </c>
      <c r="B180" s="297" t="s">
        <v>869</v>
      </c>
      <c r="C180" s="25">
        <f t="shared" si="45"/>
        <v>5402260</v>
      </c>
      <c r="D180" s="758">
        <f t="shared" si="51"/>
        <v>171807.2859744991</v>
      </c>
      <c r="E180" s="758">
        <f t="shared" si="51"/>
        <v>12717.219186399514</v>
      </c>
      <c r="F180" s="758">
        <f t="shared" si="51"/>
        <v>147522.76867030966</v>
      </c>
      <c r="G180" s="758">
        <f t="shared" si="51"/>
        <v>138066.18093503339</v>
      </c>
      <c r="H180" s="25">
        <f t="shared" si="52"/>
        <v>5872373.4547662409</v>
      </c>
      <c r="I180" s="758">
        <v>623</v>
      </c>
      <c r="J180" s="758">
        <f t="shared" si="53"/>
        <v>9425.9606015509489</v>
      </c>
      <c r="K180" s="666"/>
      <c r="L180" s="843" t="s">
        <v>1225</v>
      </c>
      <c r="M180" s="771">
        <f t="shared" si="47"/>
        <v>41489</v>
      </c>
      <c r="N180" s="771">
        <v>41492</v>
      </c>
      <c r="O180" s="772" t="s">
        <v>899</v>
      </c>
      <c r="P180" s="305">
        <v>340</v>
      </c>
      <c r="Q180" s="803">
        <v>15889</v>
      </c>
      <c r="R180" s="25">
        <f t="shared" si="49"/>
        <v>5402260</v>
      </c>
      <c r="S180" s="449"/>
      <c r="T180" s="773"/>
      <c r="U180" s="803"/>
      <c r="V180" s="803"/>
      <c r="W180" s="25"/>
    </row>
    <row r="181" spans="1:23" ht="13.5" customHeight="1">
      <c r="A181" s="757">
        <f t="shared" si="48"/>
        <v>38</v>
      </c>
      <c r="B181" s="297" t="s">
        <v>836</v>
      </c>
      <c r="C181" s="25">
        <f t="shared" si="45"/>
        <v>8462418</v>
      </c>
      <c r="D181" s="758">
        <f t="shared" si="51"/>
        <v>275774.13479052827</v>
      </c>
      <c r="E181" s="758">
        <f t="shared" si="51"/>
        <v>20412.871888281723</v>
      </c>
      <c r="F181" s="758">
        <f t="shared" si="51"/>
        <v>236794.17122040072</v>
      </c>
      <c r="G181" s="758">
        <f t="shared" si="51"/>
        <v>221615.05768063146</v>
      </c>
      <c r="H181" s="25">
        <f t="shared" si="52"/>
        <v>9217014.2355798427</v>
      </c>
      <c r="I181" s="758">
        <v>1000</v>
      </c>
      <c r="J181" s="758">
        <f t="shared" si="53"/>
        <v>9217.0142355798434</v>
      </c>
      <c r="K181" s="666"/>
      <c r="L181" s="192" t="s">
        <v>650</v>
      </c>
      <c r="M181" s="771">
        <f t="shared" si="47"/>
        <v>41492</v>
      </c>
      <c r="N181" s="771">
        <v>41495</v>
      </c>
      <c r="O181" s="772" t="s">
        <v>900</v>
      </c>
      <c r="P181" s="305">
        <f>I181</f>
        <v>1000</v>
      </c>
      <c r="Q181" s="803">
        <v>8462.418420401089</v>
      </c>
      <c r="R181" s="25">
        <f t="shared" si="49"/>
        <v>8462418</v>
      </c>
      <c r="S181" s="449"/>
      <c r="T181" s="773"/>
      <c r="U181" s="803"/>
      <c r="V181" s="803"/>
      <c r="W181" s="25"/>
    </row>
    <row r="182" spans="1:23" ht="13.5" customHeight="1">
      <c r="A182" s="757">
        <f t="shared" si="48"/>
        <v>39</v>
      </c>
      <c r="B182" s="297" t="s">
        <v>1147</v>
      </c>
      <c r="C182" s="25">
        <f t="shared" si="45"/>
        <v>9059077</v>
      </c>
      <c r="D182" s="758">
        <f t="shared" si="51"/>
        <v>752863.38797814213</v>
      </c>
      <c r="E182" s="758">
        <f t="shared" si="51"/>
        <v>55727.140255009108</v>
      </c>
      <c r="F182" s="758">
        <f t="shared" si="51"/>
        <v>646448.08743169403</v>
      </c>
      <c r="G182" s="758">
        <f t="shared" si="51"/>
        <v>605009.1074681239</v>
      </c>
      <c r="H182" s="25">
        <f t="shared" si="52"/>
        <v>11119124.72313297</v>
      </c>
      <c r="I182" s="758">
        <v>2730</v>
      </c>
      <c r="J182" s="758">
        <f t="shared" si="53"/>
        <v>4072.9394590230659</v>
      </c>
      <c r="K182" s="666"/>
      <c r="L182" s="843" t="s">
        <v>1241</v>
      </c>
      <c r="M182" s="771">
        <f t="shared" si="47"/>
        <v>41492</v>
      </c>
      <c r="N182" s="771">
        <v>41495</v>
      </c>
      <c r="O182" s="772" t="s">
        <v>901</v>
      </c>
      <c r="P182" s="305">
        <f>I182/6</f>
        <v>455</v>
      </c>
      <c r="Q182" s="803">
        <v>19910.059351276741</v>
      </c>
      <c r="R182" s="25">
        <f t="shared" si="49"/>
        <v>9059077</v>
      </c>
      <c r="S182" s="449"/>
      <c r="T182" s="773"/>
      <c r="U182" s="803"/>
      <c r="V182" s="803"/>
      <c r="W182" s="25"/>
    </row>
    <row r="183" spans="1:23" ht="13.5" customHeight="1">
      <c r="A183" s="757">
        <f>IF(B183&lt;&gt;"",A182+1,"")</f>
        <v>40</v>
      </c>
      <c r="B183" s="297" t="s">
        <v>1135</v>
      </c>
      <c r="C183" s="25">
        <f t="shared" si="45"/>
        <v>11206656</v>
      </c>
      <c r="D183" s="758">
        <f t="shared" si="51"/>
        <v>548790.52823315118</v>
      </c>
      <c r="E183" s="758">
        <f t="shared" si="51"/>
        <v>40621.615057680632</v>
      </c>
      <c r="F183" s="758">
        <f t="shared" si="51"/>
        <v>471220.40072859742</v>
      </c>
      <c r="G183" s="758">
        <f t="shared" si="51"/>
        <v>441013.96478445659</v>
      </c>
      <c r="H183" s="25">
        <f t="shared" si="52"/>
        <v>12708302.508803887</v>
      </c>
      <c r="I183" s="758">
        <v>1990</v>
      </c>
      <c r="J183" s="758">
        <f t="shared" si="53"/>
        <v>6386.0816627155209</v>
      </c>
      <c r="K183" s="666"/>
      <c r="L183" s="192" t="s">
        <v>600</v>
      </c>
      <c r="M183" s="771">
        <f t="shared" si="47"/>
        <v>41493</v>
      </c>
      <c r="N183" s="771">
        <v>41496</v>
      </c>
      <c r="O183" s="772" t="s">
        <v>902</v>
      </c>
      <c r="P183" s="305">
        <v>512</v>
      </c>
      <c r="Q183" s="803">
        <v>21888</v>
      </c>
      <c r="R183" s="25">
        <f t="shared" si="49"/>
        <v>11206656</v>
      </c>
      <c r="S183" s="449"/>
      <c r="T183" s="773"/>
      <c r="U183" s="803"/>
      <c r="V183" s="803"/>
      <c r="W183" s="25"/>
    </row>
    <row r="184" spans="1:23" ht="13.5" customHeight="1">
      <c r="A184" s="757">
        <f t="shared" si="48"/>
        <v>41</v>
      </c>
      <c r="B184" s="297" t="s">
        <v>903</v>
      </c>
      <c r="C184" s="25">
        <f t="shared" si="45"/>
        <v>2419000</v>
      </c>
      <c r="D184" s="758">
        <f t="shared" ref="D184:G203" si="54">IF($I$243&lt;&gt;0,D$243/$I$243*$I184,0)</f>
        <v>132371.58469945355</v>
      </c>
      <c r="E184" s="758">
        <f t="shared" si="54"/>
        <v>9798.1785063752286</v>
      </c>
      <c r="F184" s="758">
        <f t="shared" si="54"/>
        <v>113661.20218579235</v>
      </c>
      <c r="G184" s="758">
        <f t="shared" si="54"/>
        <v>106375.2276867031</v>
      </c>
      <c r="H184" s="25">
        <f t="shared" si="52"/>
        <v>2781206.1930783247</v>
      </c>
      <c r="I184" s="758">
        <v>480</v>
      </c>
      <c r="J184" s="758">
        <f t="shared" si="53"/>
        <v>5794.1795689131768</v>
      </c>
      <c r="K184" s="666"/>
      <c r="L184" s="843" t="s">
        <v>1277</v>
      </c>
      <c r="M184" s="771">
        <f t="shared" si="47"/>
        <v>41493</v>
      </c>
      <c r="N184" s="771">
        <v>41496</v>
      </c>
      <c r="O184" s="772" t="s">
        <v>904</v>
      </c>
      <c r="P184" s="305">
        <v>250</v>
      </c>
      <c r="Q184" s="803">
        <v>9676</v>
      </c>
      <c r="R184" s="25">
        <f t="shared" si="49"/>
        <v>2419000</v>
      </c>
      <c r="S184" s="449"/>
      <c r="T184" s="773"/>
      <c r="U184" s="803"/>
      <c r="V184" s="803"/>
      <c r="W184" s="25"/>
    </row>
    <row r="185" spans="1:23" ht="13.5" customHeight="1">
      <c r="A185" s="757">
        <f t="shared" si="48"/>
        <v>42</v>
      </c>
      <c r="B185" s="297" t="s">
        <v>903</v>
      </c>
      <c r="C185" s="25">
        <f t="shared" si="45"/>
        <v>2570535</v>
      </c>
      <c r="D185" s="758">
        <f t="shared" si="54"/>
        <v>121340.61930783243</v>
      </c>
      <c r="E185" s="758">
        <f t="shared" si="54"/>
        <v>8981.6636308439593</v>
      </c>
      <c r="F185" s="758">
        <f t="shared" si="54"/>
        <v>104189.43533697633</v>
      </c>
      <c r="G185" s="758">
        <f t="shared" si="54"/>
        <v>97510.625379477846</v>
      </c>
      <c r="H185" s="25">
        <f t="shared" si="52"/>
        <v>2902557.3436551304</v>
      </c>
      <c r="I185" s="758">
        <v>440</v>
      </c>
      <c r="J185" s="758">
        <f t="shared" si="53"/>
        <v>6596.721235579842</v>
      </c>
      <c r="K185" s="666"/>
      <c r="L185" s="843" t="s">
        <v>1209</v>
      </c>
      <c r="M185" s="771">
        <f t="shared" si="47"/>
        <v>41493</v>
      </c>
      <c r="N185" s="771">
        <v>41496</v>
      </c>
      <c r="O185" s="772" t="s">
        <v>904</v>
      </c>
      <c r="P185" s="305">
        <v>135</v>
      </c>
      <c r="Q185" s="823">
        <v>19041</v>
      </c>
      <c r="R185" s="25">
        <f t="shared" si="49"/>
        <v>2570535</v>
      </c>
      <c r="S185" s="449"/>
      <c r="T185" s="773"/>
      <c r="U185" s="803"/>
      <c r="V185" s="803"/>
      <c r="W185" s="25"/>
    </row>
    <row r="186" spans="1:23" ht="13.5" customHeight="1">
      <c r="A186" s="757">
        <f t="shared" si="48"/>
        <v>43</v>
      </c>
      <c r="B186" s="297" t="s">
        <v>729</v>
      </c>
      <c r="C186" s="25">
        <f t="shared" si="45"/>
        <v>7505319</v>
      </c>
      <c r="D186" s="758">
        <f t="shared" si="54"/>
        <v>275774.13479052827</v>
      </c>
      <c r="E186" s="758">
        <f t="shared" si="54"/>
        <v>20412.871888281723</v>
      </c>
      <c r="F186" s="758">
        <f t="shared" si="54"/>
        <v>236794.17122040072</v>
      </c>
      <c r="G186" s="758">
        <f t="shared" si="54"/>
        <v>221615.05768063146</v>
      </c>
      <c r="H186" s="25">
        <f t="shared" si="52"/>
        <v>8259915.2355798418</v>
      </c>
      <c r="I186" s="758">
        <v>1000</v>
      </c>
      <c r="J186" s="758">
        <f t="shared" si="53"/>
        <v>8259.9152355798415</v>
      </c>
      <c r="K186" s="666"/>
      <c r="L186" s="843" t="s">
        <v>1178</v>
      </c>
      <c r="M186" s="771">
        <f t="shared" si="47"/>
        <v>41495</v>
      </c>
      <c r="N186" s="771">
        <v>41498</v>
      </c>
      <c r="O186" s="772" t="s">
        <v>906</v>
      </c>
      <c r="P186" s="305">
        <v>381</v>
      </c>
      <c r="Q186" s="803">
        <v>19699</v>
      </c>
      <c r="R186" s="25">
        <f t="shared" si="49"/>
        <v>7505319</v>
      </c>
      <c r="S186" s="449"/>
      <c r="T186" s="773"/>
      <c r="U186" s="803"/>
      <c r="V186" s="803"/>
      <c r="W186" s="25"/>
    </row>
    <row r="187" spans="1:23" ht="13.5" customHeight="1">
      <c r="A187" s="757">
        <f t="shared" si="48"/>
        <v>44</v>
      </c>
      <c r="B187" s="297" t="s">
        <v>812</v>
      </c>
      <c r="C187" s="25">
        <f t="shared" si="45"/>
        <v>1698500</v>
      </c>
      <c r="D187" s="758">
        <f t="shared" si="54"/>
        <v>55154.826958105652</v>
      </c>
      <c r="E187" s="758">
        <f t="shared" si="54"/>
        <v>4082.574377656345</v>
      </c>
      <c r="F187" s="758">
        <f t="shared" si="54"/>
        <v>47358.834244080143</v>
      </c>
      <c r="G187" s="758">
        <f t="shared" si="54"/>
        <v>44323.011536126287</v>
      </c>
      <c r="H187" s="25">
        <f t="shared" si="52"/>
        <v>1849419.2471159685</v>
      </c>
      <c r="I187" s="758">
        <v>200</v>
      </c>
      <c r="J187" s="758">
        <f t="shared" si="53"/>
        <v>9247.096235579842</v>
      </c>
      <c r="K187" s="666"/>
      <c r="L187" s="843" t="s">
        <v>1261</v>
      </c>
      <c r="M187" s="771">
        <f t="shared" si="47"/>
        <v>41496</v>
      </c>
      <c r="N187" s="771">
        <v>41499</v>
      </c>
      <c r="O187" s="772" t="s">
        <v>907</v>
      </c>
      <c r="P187" s="305">
        <v>100</v>
      </c>
      <c r="Q187" s="256">
        <v>16985</v>
      </c>
      <c r="R187" s="25">
        <f t="shared" si="49"/>
        <v>1698500</v>
      </c>
      <c r="S187" s="449"/>
      <c r="T187" s="773"/>
      <c r="U187" s="803"/>
      <c r="V187" s="803"/>
      <c r="W187" s="25"/>
    </row>
    <row r="188" spans="1:23" ht="13.5" customHeight="1">
      <c r="A188" s="757">
        <f t="shared" si="48"/>
        <v>45</v>
      </c>
      <c r="B188" s="297" t="s">
        <v>1132</v>
      </c>
      <c r="C188" s="25">
        <f t="shared" si="45"/>
        <v>2900820</v>
      </c>
      <c r="D188" s="758">
        <f t="shared" si="54"/>
        <v>68943.533697632069</v>
      </c>
      <c r="E188" s="758">
        <f t="shared" si="54"/>
        <v>5103.2179720704307</v>
      </c>
      <c r="F188" s="758">
        <f t="shared" si="54"/>
        <v>59198.54280510018</v>
      </c>
      <c r="G188" s="758">
        <f t="shared" si="54"/>
        <v>55403.764420157866</v>
      </c>
      <c r="H188" s="25">
        <f t="shared" si="52"/>
        <v>3089469.0588949607</v>
      </c>
      <c r="I188" s="758">
        <v>250</v>
      </c>
      <c r="J188" s="758">
        <f t="shared" si="53"/>
        <v>12357.876235579843</v>
      </c>
      <c r="K188" s="666"/>
      <c r="L188" s="843" t="s">
        <v>1195</v>
      </c>
      <c r="M188" s="771">
        <f t="shared" si="47"/>
        <v>41496</v>
      </c>
      <c r="N188" s="771">
        <v>41499</v>
      </c>
      <c r="O188" s="772" t="s">
        <v>907</v>
      </c>
      <c r="P188" s="305">
        <v>260</v>
      </c>
      <c r="Q188" s="803">
        <v>11157</v>
      </c>
      <c r="R188" s="25">
        <f t="shared" si="49"/>
        <v>2900820</v>
      </c>
      <c r="S188" s="449"/>
      <c r="T188" s="773"/>
      <c r="U188" s="803"/>
      <c r="V188" s="803"/>
      <c r="W188" s="25"/>
    </row>
    <row r="189" spans="1:23" ht="13.5" customHeight="1">
      <c r="A189" s="757">
        <f t="shared" si="48"/>
        <v>46</v>
      </c>
      <c r="B189" s="297" t="s">
        <v>883</v>
      </c>
      <c r="C189" s="25">
        <f t="shared" si="45"/>
        <v>3281200</v>
      </c>
      <c r="D189" s="758">
        <f t="shared" si="54"/>
        <v>139265.93806921676</v>
      </c>
      <c r="E189" s="758">
        <f t="shared" si="54"/>
        <v>10308.50030358227</v>
      </c>
      <c r="F189" s="758">
        <f t="shared" si="54"/>
        <v>119581.05646630237</v>
      </c>
      <c r="G189" s="758">
        <f t="shared" si="54"/>
        <v>111915.60412871889</v>
      </c>
      <c r="H189" s="25">
        <f t="shared" si="52"/>
        <v>3662271.0989678204</v>
      </c>
      <c r="I189" s="758">
        <v>505</v>
      </c>
      <c r="J189" s="758">
        <f t="shared" si="53"/>
        <v>7252.0219781541</v>
      </c>
      <c r="K189" s="666"/>
      <c r="L189" s="843" t="s">
        <v>1235</v>
      </c>
      <c r="M189" s="771">
        <f t="shared" si="47"/>
        <v>41496</v>
      </c>
      <c r="N189" s="771">
        <v>41499</v>
      </c>
      <c r="O189" s="772" t="s">
        <v>907</v>
      </c>
      <c r="P189" s="305">
        <v>260</v>
      </c>
      <c r="Q189" s="256">
        <v>12620</v>
      </c>
      <c r="R189" s="25">
        <f t="shared" si="49"/>
        <v>3281200</v>
      </c>
      <c r="S189" s="449"/>
      <c r="T189" s="773"/>
      <c r="U189" s="803"/>
      <c r="V189" s="803"/>
      <c r="W189" s="25"/>
    </row>
    <row r="190" spans="1:23" ht="13.5" customHeight="1">
      <c r="A190" s="757">
        <f t="shared" si="48"/>
        <v>47</v>
      </c>
      <c r="B190" s="297" t="s">
        <v>908</v>
      </c>
      <c r="C190" s="25">
        <f t="shared" si="45"/>
        <v>719306</v>
      </c>
      <c r="D190" s="758">
        <f t="shared" si="54"/>
        <v>23440.801457194902</v>
      </c>
      <c r="E190" s="758">
        <f t="shared" si="54"/>
        <v>1735.0941105039467</v>
      </c>
      <c r="F190" s="758">
        <f t="shared" si="54"/>
        <v>20127.504553734063</v>
      </c>
      <c r="G190" s="758">
        <f t="shared" si="54"/>
        <v>18837.279902853672</v>
      </c>
      <c r="H190" s="25">
        <f t="shared" si="52"/>
        <v>783446.6800242865</v>
      </c>
      <c r="I190" s="758">
        <v>85</v>
      </c>
      <c r="J190" s="758">
        <f t="shared" si="53"/>
        <v>9217.0197649916063</v>
      </c>
      <c r="K190" s="666"/>
      <c r="L190" s="192" t="s">
        <v>650</v>
      </c>
      <c r="M190" s="771">
        <f t="shared" si="47"/>
        <v>41497</v>
      </c>
      <c r="N190" s="771">
        <v>41500</v>
      </c>
      <c r="O190" s="772" t="s">
        <v>909</v>
      </c>
      <c r="P190" s="305">
        <f>I190</f>
        <v>85</v>
      </c>
      <c r="Q190" s="803">
        <v>8462.4198895027621</v>
      </c>
      <c r="R190" s="25">
        <f t="shared" si="49"/>
        <v>719306</v>
      </c>
      <c r="S190" s="449"/>
      <c r="T190" s="773"/>
      <c r="U190" s="803"/>
      <c r="V190" s="803"/>
      <c r="W190" s="25"/>
    </row>
    <row r="191" spans="1:23" ht="13.5" customHeight="1">
      <c r="A191" s="757">
        <f t="shared" si="48"/>
        <v>48</v>
      </c>
      <c r="B191" s="297" t="s">
        <v>1131</v>
      </c>
      <c r="C191" s="25">
        <f t="shared" si="45"/>
        <v>2443675</v>
      </c>
      <c r="D191" s="758">
        <f t="shared" si="54"/>
        <v>83559.56284153006</v>
      </c>
      <c r="E191" s="758">
        <f t="shared" si="54"/>
        <v>6185.1001821493628</v>
      </c>
      <c r="F191" s="758">
        <f t="shared" si="54"/>
        <v>71748.633879781424</v>
      </c>
      <c r="G191" s="758">
        <f t="shared" si="54"/>
        <v>67149.362477231334</v>
      </c>
      <c r="H191" s="25">
        <f t="shared" si="52"/>
        <v>2672317.6593806921</v>
      </c>
      <c r="I191" s="758">
        <v>303</v>
      </c>
      <c r="J191" s="758">
        <f t="shared" si="53"/>
        <v>8819.5302289791816</v>
      </c>
      <c r="K191" s="666"/>
      <c r="L191" s="843" t="s">
        <v>1242</v>
      </c>
      <c r="M191" s="771">
        <f t="shared" si="47"/>
        <v>41499</v>
      </c>
      <c r="N191" s="771">
        <v>41502</v>
      </c>
      <c r="O191" s="772" t="s">
        <v>910</v>
      </c>
      <c r="P191" s="305">
        <v>103</v>
      </c>
      <c r="Q191" s="256">
        <v>23725</v>
      </c>
      <c r="R191" s="25">
        <f t="shared" si="49"/>
        <v>2443675</v>
      </c>
      <c r="S191" s="449"/>
      <c r="T191" s="773"/>
      <c r="U191" s="803"/>
      <c r="V191" s="803"/>
      <c r="W191" s="25"/>
    </row>
    <row r="192" spans="1:23" ht="13.5" customHeight="1">
      <c r="A192" s="757">
        <f t="shared" si="48"/>
        <v>49</v>
      </c>
      <c r="B192" s="297" t="s">
        <v>742</v>
      </c>
      <c r="C192" s="25">
        <f t="shared" ref="C192:C239" si="55">R192</f>
        <v>5674367</v>
      </c>
      <c r="D192" s="758">
        <f t="shared" si="54"/>
        <v>78595.628415300554</v>
      </c>
      <c r="E192" s="758">
        <f t="shared" si="54"/>
        <v>5817.6684881602914</v>
      </c>
      <c r="F192" s="758">
        <f t="shared" si="54"/>
        <v>67486.338797814213</v>
      </c>
      <c r="G192" s="758">
        <f t="shared" si="54"/>
        <v>63160.291438979963</v>
      </c>
      <c r="H192" s="25">
        <f t="shared" si="52"/>
        <v>5889426.9271402555</v>
      </c>
      <c r="I192" s="758">
        <v>285</v>
      </c>
      <c r="J192" s="758">
        <f t="shared" si="53"/>
        <v>20664.65588470265</v>
      </c>
      <c r="K192" s="666"/>
      <c r="L192" s="843" t="s">
        <v>1241</v>
      </c>
      <c r="M192" s="771">
        <f t="shared" si="47"/>
        <v>41499</v>
      </c>
      <c r="N192" s="771">
        <v>41502</v>
      </c>
      <c r="O192" s="772" t="s">
        <v>911</v>
      </c>
      <c r="P192" s="305">
        <f>I192</f>
        <v>285</v>
      </c>
      <c r="Q192" s="256">
        <v>19910.059393752887</v>
      </c>
      <c r="R192" s="25">
        <f t="shared" si="49"/>
        <v>5674367</v>
      </c>
      <c r="S192" s="449"/>
      <c r="T192" s="773"/>
      <c r="U192" s="803"/>
      <c r="V192" s="803"/>
      <c r="W192" s="25"/>
    </row>
    <row r="193" spans="1:23" ht="13.5" customHeight="1">
      <c r="A193" s="757">
        <f t="shared" si="48"/>
        <v>50</v>
      </c>
      <c r="B193" s="297" t="s">
        <v>865</v>
      </c>
      <c r="C193" s="25">
        <f t="shared" si="55"/>
        <v>10054580</v>
      </c>
      <c r="D193" s="758">
        <f t="shared" si="54"/>
        <v>139265.93806921676</v>
      </c>
      <c r="E193" s="758">
        <f t="shared" si="54"/>
        <v>10308.50030358227</v>
      </c>
      <c r="F193" s="758">
        <f t="shared" si="54"/>
        <v>119581.05646630237</v>
      </c>
      <c r="G193" s="758">
        <f t="shared" si="54"/>
        <v>111915.60412871889</v>
      </c>
      <c r="H193" s="25">
        <f t="shared" si="52"/>
        <v>10435651.098967819</v>
      </c>
      <c r="I193" s="758">
        <v>505</v>
      </c>
      <c r="J193" s="758">
        <f t="shared" si="53"/>
        <v>20664.655641520432</v>
      </c>
      <c r="K193" s="666"/>
      <c r="L193" s="843" t="s">
        <v>1241</v>
      </c>
      <c r="M193" s="771">
        <f t="shared" si="47"/>
        <v>41502</v>
      </c>
      <c r="N193" s="771">
        <v>41505</v>
      </c>
      <c r="O193" s="772" t="s">
        <v>912</v>
      </c>
      <c r="P193" s="305">
        <f>I193</f>
        <v>505</v>
      </c>
      <c r="Q193" s="256">
        <v>19910.059393752887</v>
      </c>
      <c r="R193" s="25">
        <f t="shared" si="49"/>
        <v>10054580</v>
      </c>
      <c r="S193" s="449"/>
      <c r="T193" s="773"/>
      <c r="U193" s="803"/>
      <c r="V193" s="803"/>
      <c r="W193" s="25"/>
    </row>
    <row r="194" spans="1:23" ht="13.5" customHeight="1">
      <c r="A194" s="757">
        <f t="shared" si="48"/>
        <v>51</v>
      </c>
      <c r="B194" s="297" t="s">
        <v>1152</v>
      </c>
      <c r="C194" s="25">
        <f t="shared" si="55"/>
        <v>8876170</v>
      </c>
      <c r="D194" s="758">
        <f t="shared" si="54"/>
        <v>709566.84881602915</v>
      </c>
      <c r="E194" s="758">
        <f t="shared" si="54"/>
        <v>52522.31936854888</v>
      </c>
      <c r="F194" s="758">
        <f t="shared" si="54"/>
        <v>609271.40255009104</v>
      </c>
      <c r="G194" s="758">
        <f t="shared" si="54"/>
        <v>570215.54341226467</v>
      </c>
      <c r="H194" s="25">
        <f t="shared" si="52"/>
        <v>10817746.114146933</v>
      </c>
      <c r="I194" s="758">
        <v>2573</v>
      </c>
      <c r="J194" s="758">
        <f t="shared" si="53"/>
        <v>4204.3319526416371</v>
      </c>
      <c r="K194" s="666"/>
      <c r="L194" s="192" t="s">
        <v>592</v>
      </c>
      <c r="M194" s="771">
        <f t="shared" si="47"/>
        <v>41503</v>
      </c>
      <c r="N194" s="771">
        <v>41506</v>
      </c>
      <c r="O194" s="772" t="s">
        <v>913</v>
      </c>
      <c r="P194" s="305">
        <v>1015</v>
      </c>
      <c r="Q194" s="803">
        <v>8744.995073891625</v>
      </c>
      <c r="R194" s="25">
        <f t="shared" si="49"/>
        <v>8876170</v>
      </c>
      <c r="S194" s="449"/>
      <c r="T194" s="773"/>
      <c r="U194" s="803"/>
      <c r="V194" s="803"/>
      <c r="W194" s="25"/>
    </row>
    <row r="195" spans="1:23" ht="13.5" customHeight="1">
      <c r="A195" s="757">
        <f t="shared" si="48"/>
        <v>52</v>
      </c>
      <c r="B195" s="297" t="s">
        <v>1147</v>
      </c>
      <c r="C195" s="25">
        <f t="shared" si="55"/>
        <v>7596375</v>
      </c>
      <c r="D195" s="758">
        <f t="shared" si="54"/>
        <v>689435.3369763206</v>
      </c>
      <c r="E195" s="758">
        <f t="shared" si="54"/>
        <v>51032.179720704313</v>
      </c>
      <c r="F195" s="758">
        <f t="shared" si="54"/>
        <v>591985.42805100186</v>
      </c>
      <c r="G195" s="758">
        <f t="shared" si="54"/>
        <v>554037.64420157857</v>
      </c>
      <c r="H195" s="25">
        <f t="shared" si="52"/>
        <v>9482865.5889496058</v>
      </c>
      <c r="I195" s="758">
        <v>2500</v>
      </c>
      <c r="J195" s="758">
        <f t="shared" si="53"/>
        <v>3793.1462355798421</v>
      </c>
      <c r="K195" s="666"/>
      <c r="L195" s="843" t="s">
        <v>1223</v>
      </c>
      <c r="M195" s="771">
        <f t="shared" si="47"/>
        <v>41503</v>
      </c>
      <c r="N195" s="771">
        <v>41506</v>
      </c>
      <c r="O195" s="772" t="s">
        <v>915</v>
      </c>
      <c r="P195" s="305">
        <v>705</v>
      </c>
      <c r="Q195" s="803">
        <v>10775</v>
      </c>
      <c r="R195" s="25">
        <f t="shared" si="49"/>
        <v>7596375</v>
      </c>
      <c r="S195" s="449"/>
      <c r="T195" s="773"/>
      <c r="U195" s="803"/>
      <c r="V195" s="803"/>
      <c r="W195" s="25"/>
    </row>
    <row r="196" spans="1:23" ht="13.5" customHeight="1">
      <c r="A196" s="757">
        <f t="shared" si="48"/>
        <v>53</v>
      </c>
      <c r="B196" s="297" t="s">
        <v>1147</v>
      </c>
      <c r="C196" s="25">
        <f t="shared" si="55"/>
        <v>10631972</v>
      </c>
      <c r="D196" s="758">
        <f t="shared" si="54"/>
        <v>882477.23132969043</v>
      </c>
      <c r="E196" s="758">
        <f t="shared" si="54"/>
        <v>65321.190042501519</v>
      </c>
      <c r="F196" s="758">
        <f t="shared" si="54"/>
        <v>757741.34790528228</v>
      </c>
      <c r="G196" s="758">
        <f t="shared" si="54"/>
        <v>709168.18457802059</v>
      </c>
      <c r="H196" s="25">
        <f t="shared" si="52"/>
        <v>13046679.953855494</v>
      </c>
      <c r="I196" s="758">
        <v>3200</v>
      </c>
      <c r="J196" s="758">
        <f t="shared" si="53"/>
        <v>4077.087485579842</v>
      </c>
      <c r="K196" s="666"/>
      <c r="L196" s="843" t="s">
        <v>1241</v>
      </c>
      <c r="M196" s="771">
        <f t="shared" si="47"/>
        <v>41503</v>
      </c>
      <c r="N196" s="771">
        <v>41506</v>
      </c>
      <c r="O196" s="772" t="s">
        <v>916</v>
      </c>
      <c r="P196" s="305">
        <v>534</v>
      </c>
      <c r="Q196" s="803">
        <v>19910.059351276741</v>
      </c>
      <c r="R196" s="25">
        <f t="shared" si="49"/>
        <v>10631972</v>
      </c>
      <c r="S196" s="449"/>
      <c r="T196" s="773"/>
      <c r="U196" s="803"/>
      <c r="V196" s="803"/>
      <c r="W196" s="25"/>
    </row>
    <row r="197" spans="1:23" ht="13.5" customHeight="1">
      <c r="A197" s="757">
        <f t="shared" si="48"/>
        <v>54</v>
      </c>
      <c r="B197" s="297" t="s">
        <v>758</v>
      </c>
      <c r="C197" s="25">
        <f t="shared" si="55"/>
        <v>2260100</v>
      </c>
      <c r="D197" s="758">
        <f t="shared" si="54"/>
        <v>81629.143897996357</v>
      </c>
      <c r="E197" s="758">
        <f t="shared" si="54"/>
        <v>6042.2100789313909</v>
      </c>
      <c r="F197" s="758">
        <f t="shared" si="54"/>
        <v>70091.074681238621</v>
      </c>
      <c r="G197" s="758">
        <f t="shared" si="54"/>
        <v>65598.057073466916</v>
      </c>
      <c r="H197" s="25">
        <f t="shared" si="52"/>
        <v>2483460.4857316334</v>
      </c>
      <c r="I197" s="758">
        <v>296</v>
      </c>
      <c r="J197" s="758">
        <f t="shared" si="53"/>
        <v>8390.0692085528153</v>
      </c>
      <c r="K197" s="666"/>
      <c r="L197" s="843" t="s">
        <v>1245</v>
      </c>
      <c r="M197" s="771">
        <f t="shared" si="47"/>
        <v>41504</v>
      </c>
      <c r="N197" s="771">
        <v>41507</v>
      </c>
      <c r="O197" s="772" t="s">
        <v>917</v>
      </c>
      <c r="P197" s="305">
        <v>100</v>
      </c>
      <c r="Q197" s="803">
        <v>22601</v>
      </c>
      <c r="R197" s="25">
        <f t="shared" si="49"/>
        <v>2260100</v>
      </c>
      <c r="S197" s="449"/>
      <c r="T197" s="773"/>
      <c r="U197" s="803"/>
      <c r="V197" s="803"/>
      <c r="W197" s="25"/>
    </row>
    <row r="198" spans="1:23" ht="13.5" customHeight="1">
      <c r="A198" s="757">
        <f t="shared" si="48"/>
        <v>55</v>
      </c>
      <c r="B198" s="297" t="s">
        <v>918</v>
      </c>
      <c r="C198" s="25">
        <f t="shared" si="55"/>
        <v>440046</v>
      </c>
      <c r="D198" s="758">
        <f t="shared" si="54"/>
        <v>14340.25500910747</v>
      </c>
      <c r="E198" s="758">
        <f t="shared" si="54"/>
        <v>1061.4693381906498</v>
      </c>
      <c r="F198" s="758">
        <f t="shared" si="54"/>
        <v>12313.296903460838</v>
      </c>
      <c r="G198" s="758">
        <f t="shared" si="54"/>
        <v>11523.982999392836</v>
      </c>
      <c r="H198" s="25">
        <f t="shared" si="52"/>
        <v>479285.00425015175</v>
      </c>
      <c r="I198" s="758">
        <v>52</v>
      </c>
      <c r="J198" s="758">
        <f t="shared" si="53"/>
        <v>9217.0193125029182</v>
      </c>
      <c r="K198" s="666"/>
      <c r="L198" s="192" t="s">
        <v>650</v>
      </c>
      <c r="M198" s="771">
        <f t="shared" si="47"/>
        <v>41508</v>
      </c>
      <c r="N198" s="771">
        <v>41511</v>
      </c>
      <c r="O198" s="772" t="s">
        <v>919</v>
      </c>
      <c r="P198" s="305">
        <f>I198</f>
        <v>52</v>
      </c>
      <c r="Q198" s="803">
        <v>8462.4198895027621</v>
      </c>
      <c r="R198" s="25">
        <f t="shared" si="49"/>
        <v>440046</v>
      </c>
      <c r="S198" s="449"/>
      <c r="T198" s="773"/>
      <c r="U198" s="803"/>
      <c r="V198" s="803"/>
      <c r="W198" s="25"/>
    </row>
    <row r="199" spans="1:23" ht="13.5" customHeight="1">
      <c r="A199" s="757">
        <f t="shared" si="48"/>
        <v>56</v>
      </c>
      <c r="B199" s="297" t="s">
        <v>1160</v>
      </c>
      <c r="C199" s="25">
        <f t="shared" si="55"/>
        <v>6746040</v>
      </c>
      <c r="D199" s="758">
        <f t="shared" si="54"/>
        <v>383326.04735883424</v>
      </c>
      <c r="E199" s="758">
        <f t="shared" si="54"/>
        <v>28373.891924711595</v>
      </c>
      <c r="F199" s="758">
        <f t="shared" si="54"/>
        <v>329143.897996357</v>
      </c>
      <c r="G199" s="758">
        <f t="shared" si="54"/>
        <v>308044.9301760777</v>
      </c>
      <c r="H199" s="25">
        <f t="shared" si="52"/>
        <v>7794928.7674559802</v>
      </c>
      <c r="I199" s="758">
        <v>1390</v>
      </c>
      <c r="J199" s="758">
        <f t="shared" si="53"/>
        <v>5607.8624226302018</v>
      </c>
      <c r="K199" s="666"/>
      <c r="L199" s="843" t="s">
        <v>1275</v>
      </c>
      <c r="M199" s="771">
        <f t="shared" si="47"/>
        <v>41508</v>
      </c>
      <c r="N199" s="771">
        <v>41511</v>
      </c>
      <c r="O199" s="772" t="s">
        <v>919</v>
      </c>
      <c r="P199" s="305">
        <v>630</v>
      </c>
      <c r="Q199" s="803">
        <v>10708</v>
      </c>
      <c r="R199" s="25">
        <f t="shared" si="49"/>
        <v>6746040</v>
      </c>
      <c r="S199" s="449"/>
      <c r="T199" s="773"/>
      <c r="U199" s="803"/>
      <c r="V199" s="803"/>
      <c r="W199" s="25"/>
    </row>
    <row r="200" spans="1:23" ht="13.5" customHeight="1">
      <c r="A200" s="757">
        <f t="shared" si="48"/>
        <v>57</v>
      </c>
      <c r="B200" s="297" t="s">
        <v>920</v>
      </c>
      <c r="C200" s="25">
        <f t="shared" si="55"/>
        <v>1428480</v>
      </c>
      <c r="D200" s="758">
        <f t="shared" si="54"/>
        <v>85489.981785063763</v>
      </c>
      <c r="E200" s="758">
        <f t="shared" si="54"/>
        <v>6327.9902853673348</v>
      </c>
      <c r="F200" s="758">
        <f t="shared" si="54"/>
        <v>73406.193078324228</v>
      </c>
      <c r="G200" s="758">
        <f t="shared" si="54"/>
        <v>68700.667880995752</v>
      </c>
      <c r="H200" s="25">
        <f t="shared" si="52"/>
        <v>1662404.833029751</v>
      </c>
      <c r="I200" s="758">
        <v>310</v>
      </c>
      <c r="J200" s="758">
        <f t="shared" si="53"/>
        <v>5362.596235579842</v>
      </c>
      <c r="K200" s="666"/>
      <c r="L200" s="843" t="s">
        <v>1273</v>
      </c>
      <c r="M200" s="771">
        <f t="shared" si="47"/>
        <v>41508</v>
      </c>
      <c r="N200" s="771">
        <v>41511</v>
      </c>
      <c r="O200" s="772" t="s">
        <v>919</v>
      </c>
      <c r="P200" s="305">
        <v>150</v>
      </c>
      <c r="Q200" s="803">
        <v>9523.2000000000007</v>
      </c>
      <c r="R200" s="25">
        <f t="shared" si="49"/>
        <v>1428480</v>
      </c>
      <c r="S200" s="449"/>
      <c r="T200" s="773"/>
      <c r="U200" s="803"/>
      <c r="V200" s="803"/>
      <c r="W200" s="25"/>
    </row>
    <row r="201" spans="1:23" ht="13.5" customHeight="1">
      <c r="A201" s="757">
        <f t="shared" si="48"/>
        <v>58</v>
      </c>
      <c r="B201" s="297" t="s">
        <v>918</v>
      </c>
      <c r="C201" s="25">
        <f t="shared" si="55"/>
        <v>739264</v>
      </c>
      <c r="D201" s="758">
        <f t="shared" si="54"/>
        <v>24819.672131147541</v>
      </c>
      <c r="E201" s="758">
        <f t="shared" si="54"/>
        <v>1837.1584699453551</v>
      </c>
      <c r="F201" s="758">
        <f t="shared" si="54"/>
        <v>21311.475409836065</v>
      </c>
      <c r="G201" s="758">
        <f t="shared" si="54"/>
        <v>19945.355191256829</v>
      </c>
      <c r="H201" s="25">
        <f t="shared" si="52"/>
        <v>807177.66120218579</v>
      </c>
      <c r="I201" s="758">
        <v>90</v>
      </c>
      <c r="J201" s="758">
        <f t="shared" si="53"/>
        <v>8968.6406800242858</v>
      </c>
      <c r="K201" s="666"/>
      <c r="L201" s="843" t="s">
        <v>1253</v>
      </c>
      <c r="M201" s="771">
        <f t="shared" si="47"/>
        <v>41508</v>
      </c>
      <c r="N201" s="771">
        <v>41511</v>
      </c>
      <c r="O201" s="772" t="s">
        <v>919</v>
      </c>
      <c r="P201" s="305">
        <v>32</v>
      </c>
      <c r="Q201" s="803">
        <v>23102</v>
      </c>
      <c r="R201" s="25">
        <f t="shared" si="49"/>
        <v>739264</v>
      </c>
      <c r="S201" s="449"/>
      <c r="T201" s="773"/>
      <c r="U201" s="803"/>
      <c r="V201" s="803"/>
      <c r="W201" s="25"/>
    </row>
    <row r="202" spans="1:23" ht="13.5" customHeight="1">
      <c r="A202" s="757">
        <f t="shared" si="48"/>
        <v>59</v>
      </c>
      <c r="B202" s="297" t="s">
        <v>1149</v>
      </c>
      <c r="C202" s="25">
        <f t="shared" si="55"/>
        <v>5061360</v>
      </c>
      <c r="D202" s="758">
        <f t="shared" si="54"/>
        <v>386083.78870673955</v>
      </c>
      <c r="E202" s="758">
        <f t="shared" si="54"/>
        <v>28578.020643594413</v>
      </c>
      <c r="F202" s="758">
        <f t="shared" si="54"/>
        <v>331511.83970856102</v>
      </c>
      <c r="G202" s="758">
        <f t="shared" si="54"/>
        <v>310261.08075288404</v>
      </c>
      <c r="H202" s="25">
        <f t="shared" si="52"/>
        <v>6117794.7298117792</v>
      </c>
      <c r="I202" s="758">
        <v>1400</v>
      </c>
      <c r="J202" s="758">
        <f t="shared" si="53"/>
        <v>4369.8533784369847</v>
      </c>
      <c r="K202" s="666"/>
      <c r="L202" s="843" t="s">
        <v>1266</v>
      </c>
      <c r="M202" s="771">
        <f t="shared" si="47"/>
        <v>41509</v>
      </c>
      <c r="N202" s="771">
        <v>41512</v>
      </c>
      <c r="O202" s="772" t="s">
        <v>921</v>
      </c>
      <c r="P202" s="305">
        <v>240</v>
      </c>
      <c r="Q202" s="803">
        <v>21089</v>
      </c>
      <c r="R202" s="25">
        <f t="shared" si="49"/>
        <v>5061360</v>
      </c>
      <c r="S202" s="449"/>
      <c r="T202" s="773"/>
      <c r="U202" s="803"/>
      <c r="V202" s="803"/>
      <c r="W202" s="25"/>
    </row>
    <row r="203" spans="1:23" ht="13.5" customHeight="1">
      <c r="A203" s="757">
        <f t="shared" si="48"/>
        <v>60</v>
      </c>
      <c r="B203" s="297" t="s">
        <v>1149</v>
      </c>
      <c r="C203" s="25">
        <f t="shared" si="55"/>
        <v>8719691</v>
      </c>
      <c r="D203" s="758">
        <f t="shared" si="54"/>
        <v>661857.92349726777</v>
      </c>
      <c r="E203" s="758">
        <f t="shared" si="54"/>
        <v>48990.892531876139</v>
      </c>
      <c r="F203" s="758">
        <f t="shared" si="54"/>
        <v>568306.0109289618</v>
      </c>
      <c r="G203" s="758">
        <f t="shared" si="54"/>
        <v>531876.13843351544</v>
      </c>
      <c r="H203" s="25">
        <f t="shared" si="52"/>
        <v>10530721.965391621</v>
      </c>
      <c r="I203" s="758">
        <v>2400</v>
      </c>
      <c r="J203" s="758">
        <f t="shared" si="53"/>
        <v>4387.8008189131751</v>
      </c>
      <c r="K203" s="666"/>
      <c r="L203" s="843" t="s">
        <v>1230</v>
      </c>
      <c r="M203" s="771">
        <f t="shared" si="47"/>
        <v>41509</v>
      </c>
      <c r="N203" s="771">
        <v>41512</v>
      </c>
      <c r="O203" s="772" t="s">
        <v>921</v>
      </c>
      <c r="P203" s="305">
        <v>391</v>
      </c>
      <c r="Q203" s="256">
        <v>22301</v>
      </c>
      <c r="R203" s="25">
        <f t="shared" si="49"/>
        <v>8719691</v>
      </c>
      <c r="S203" s="449"/>
      <c r="T203" s="773"/>
      <c r="U203" s="803"/>
      <c r="V203" s="803"/>
      <c r="W203" s="25"/>
    </row>
    <row r="204" spans="1:23" ht="13.5" customHeight="1">
      <c r="A204" s="757">
        <f t="shared" si="48"/>
        <v>61</v>
      </c>
      <c r="B204" s="297" t="s">
        <v>1140</v>
      </c>
      <c r="C204" s="25">
        <f t="shared" si="55"/>
        <v>4807615</v>
      </c>
      <c r="D204" s="758">
        <f t="shared" ref="D204:G223" si="56">IF($I$243&lt;&gt;0,D$243/$I$243*$I204,0)</f>
        <v>278531.87613843352</v>
      </c>
      <c r="E204" s="758">
        <f t="shared" si="56"/>
        <v>20617.00060716454</v>
      </c>
      <c r="F204" s="758">
        <f t="shared" si="56"/>
        <v>239162.11293260474</v>
      </c>
      <c r="G204" s="758">
        <f t="shared" si="56"/>
        <v>223831.20825743777</v>
      </c>
      <c r="H204" s="25">
        <f t="shared" si="52"/>
        <v>5569757.1979356408</v>
      </c>
      <c r="I204" s="758">
        <v>1010</v>
      </c>
      <c r="J204" s="758">
        <f t="shared" si="53"/>
        <v>5514.6110870649909</v>
      </c>
      <c r="K204" s="666"/>
      <c r="L204" s="843" t="s">
        <v>1270</v>
      </c>
      <c r="M204" s="771">
        <f t="shared" si="47"/>
        <v>41509</v>
      </c>
      <c r="N204" s="771">
        <v>41512</v>
      </c>
      <c r="O204" s="772" t="s">
        <v>1114</v>
      </c>
      <c r="P204" s="305">
        <v>215</v>
      </c>
      <c r="Q204" s="803">
        <v>22361</v>
      </c>
      <c r="R204" s="25">
        <f t="shared" si="49"/>
        <v>4807615</v>
      </c>
      <c r="S204" s="449"/>
      <c r="T204" s="773"/>
      <c r="U204" s="803"/>
      <c r="V204" s="803"/>
      <c r="W204" s="25"/>
    </row>
    <row r="205" spans="1:23" ht="13.5" customHeight="1">
      <c r="A205" s="757">
        <f t="shared" si="48"/>
        <v>62</v>
      </c>
      <c r="B205" s="297" t="s">
        <v>1144</v>
      </c>
      <c r="C205" s="25">
        <f t="shared" si="55"/>
        <v>1153916</v>
      </c>
      <c r="D205" s="758">
        <f t="shared" si="56"/>
        <v>28128.961748633883</v>
      </c>
      <c r="E205" s="758">
        <f t="shared" si="56"/>
        <v>2082.1129326047358</v>
      </c>
      <c r="F205" s="758">
        <f t="shared" si="56"/>
        <v>24153.005464480873</v>
      </c>
      <c r="G205" s="758">
        <f t="shared" si="56"/>
        <v>22604.735883424408</v>
      </c>
      <c r="H205" s="25">
        <f t="shared" si="52"/>
        <v>1230884.816029144</v>
      </c>
      <c r="I205" s="758">
        <v>102</v>
      </c>
      <c r="J205" s="758">
        <f t="shared" si="53"/>
        <v>12067.498196364157</v>
      </c>
      <c r="K205" s="666"/>
      <c r="L205" s="192" t="s">
        <v>614</v>
      </c>
      <c r="M205" s="771">
        <f t="shared" si="47"/>
        <v>41509</v>
      </c>
      <c r="N205" s="771">
        <v>41512</v>
      </c>
      <c r="O205" s="772" t="s">
        <v>1114</v>
      </c>
      <c r="P205" s="305">
        <v>106</v>
      </c>
      <c r="Q205" s="803">
        <v>10886</v>
      </c>
      <c r="R205" s="25">
        <f t="shared" si="49"/>
        <v>1153916</v>
      </c>
      <c r="S205" s="449"/>
      <c r="T205" s="773"/>
      <c r="U205" s="803"/>
      <c r="V205" s="803"/>
      <c r="W205" s="25"/>
    </row>
    <row r="206" spans="1:23" ht="13.5" customHeight="1">
      <c r="A206" s="757">
        <f t="shared" si="48"/>
        <v>63</v>
      </c>
      <c r="B206" s="297" t="s">
        <v>1008</v>
      </c>
      <c r="C206" s="25">
        <f t="shared" si="55"/>
        <v>4345200</v>
      </c>
      <c r="D206" s="758">
        <f t="shared" si="56"/>
        <v>110309.6539162113</v>
      </c>
      <c r="E206" s="758">
        <f t="shared" si="56"/>
        <v>8165.1487553126899</v>
      </c>
      <c r="F206" s="758">
        <f t="shared" si="56"/>
        <v>94717.668488160285</v>
      </c>
      <c r="G206" s="758">
        <f t="shared" si="56"/>
        <v>88646.023072252574</v>
      </c>
      <c r="H206" s="25">
        <f t="shared" si="52"/>
        <v>4647038.4942319375</v>
      </c>
      <c r="I206" s="758">
        <v>400</v>
      </c>
      <c r="J206" s="758">
        <f t="shared" si="53"/>
        <v>11617.596235579844</v>
      </c>
      <c r="K206" s="666"/>
      <c r="L206" s="843" t="s">
        <v>1280</v>
      </c>
      <c r="M206" s="771">
        <f t="shared" si="47"/>
        <v>41513</v>
      </c>
      <c r="N206" s="771">
        <v>41516</v>
      </c>
      <c r="O206" s="772" t="s">
        <v>1115</v>
      </c>
      <c r="P206" s="305">
        <f>I206</f>
        <v>400</v>
      </c>
      <c r="Q206" s="803">
        <v>10863</v>
      </c>
      <c r="R206" s="25">
        <f t="shared" si="49"/>
        <v>4345200</v>
      </c>
      <c r="S206" s="449"/>
      <c r="T206" s="773"/>
      <c r="U206" s="803"/>
      <c r="V206" s="803"/>
      <c r="W206" s="25"/>
    </row>
    <row r="207" spans="1:23" ht="13.5" customHeight="1">
      <c r="A207" s="757">
        <f t="shared" si="48"/>
        <v>64</v>
      </c>
      <c r="B207" s="297" t="s">
        <v>1007</v>
      </c>
      <c r="C207" s="25">
        <f t="shared" si="55"/>
        <v>2756250</v>
      </c>
      <c r="D207" s="758">
        <f t="shared" si="56"/>
        <v>57912.56830601093</v>
      </c>
      <c r="E207" s="758">
        <f t="shared" si="56"/>
        <v>4286.7030965391623</v>
      </c>
      <c r="F207" s="758">
        <f t="shared" si="56"/>
        <v>49726.775956284153</v>
      </c>
      <c r="G207" s="758">
        <f t="shared" si="56"/>
        <v>46539.162112932601</v>
      </c>
      <c r="H207" s="25">
        <f t="shared" si="52"/>
        <v>2914715.2094717673</v>
      </c>
      <c r="I207" s="758">
        <v>210</v>
      </c>
      <c r="J207" s="758">
        <f t="shared" si="53"/>
        <v>13879.596235579844</v>
      </c>
      <c r="K207" s="666"/>
      <c r="L207" s="843" t="s">
        <v>1291</v>
      </c>
      <c r="M207" s="771">
        <f t="shared" si="47"/>
        <v>41513</v>
      </c>
      <c r="N207" s="771">
        <v>41516</v>
      </c>
      <c r="O207" s="772" t="s">
        <v>1115</v>
      </c>
      <c r="P207" s="305">
        <f>I207</f>
        <v>210</v>
      </c>
      <c r="Q207" s="803">
        <v>13125</v>
      </c>
      <c r="R207" s="25">
        <f t="shared" si="49"/>
        <v>2756250</v>
      </c>
      <c r="S207" s="449"/>
      <c r="T207" s="773"/>
      <c r="U207" s="803"/>
      <c r="V207" s="803"/>
      <c r="W207" s="25"/>
    </row>
    <row r="208" spans="1:23" ht="13.5" customHeight="1">
      <c r="A208" s="757">
        <f t="shared" si="48"/>
        <v>65</v>
      </c>
      <c r="B208" s="297" t="s">
        <v>1004</v>
      </c>
      <c r="C208" s="25">
        <f t="shared" si="55"/>
        <v>951912</v>
      </c>
      <c r="D208" s="758">
        <f t="shared" si="56"/>
        <v>41366.120218579235</v>
      </c>
      <c r="E208" s="758">
        <f t="shared" si="56"/>
        <v>3061.9307832422587</v>
      </c>
      <c r="F208" s="758">
        <f t="shared" si="56"/>
        <v>35519.125683060112</v>
      </c>
      <c r="G208" s="758">
        <f t="shared" si="56"/>
        <v>33242.258652094715</v>
      </c>
      <c r="H208" s="25">
        <f t="shared" ref="H208:H239" si="57">SUM(C208:G208)</f>
        <v>1065101.4353369763</v>
      </c>
      <c r="I208" s="758">
        <v>150</v>
      </c>
      <c r="J208" s="758">
        <f t="shared" si="53"/>
        <v>7100.6762355798419</v>
      </c>
      <c r="K208" s="666"/>
      <c r="L208" s="843" t="s">
        <v>1234</v>
      </c>
      <c r="M208" s="771">
        <f t="shared" si="47"/>
        <v>41513</v>
      </c>
      <c r="N208" s="771">
        <v>41516</v>
      </c>
      <c r="O208" s="772" t="s">
        <v>1115</v>
      </c>
      <c r="P208" s="305">
        <v>52</v>
      </c>
      <c r="Q208" s="803">
        <v>18306</v>
      </c>
      <c r="R208" s="25">
        <f t="shared" si="49"/>
        <v>951912</v>
      </c>
      <c r="S208" s="449"/>
      <c r="T208" s="773"/>
      <c r="U208" s="803"/>
      <c r="V208" s="803"/>
      <c r="W208" s="25"/>
    </row>
    <row r="209" spans="1:23" ht="13.5" customHeight="1">
      <c r="A209" s="757">
        <f t="shared" si="48"/>
        <v>66</v>
      </c>
      <c r="B209" s="297" t="s">
        <v>938</v>
      </c>
      <c r="C209" s="25">
        <f t="shared" si="55"/>
        <v>10436868</v>
      </c>
      <c r="D209" s="758">
        <f t="shared" si="56"/>
        <v>161327.86885245904</v>
      </c>
      <c r="E209" s="758">
        <f t="shared" si="56"/>
        <v>11941.530054644809</v>
      </c>
      <c r="F209" s="758">
        <f t="shared" si="56"/>
        <v>138524.59016393442</v>
      </c>
      <c r="G209" s="758">
        <f t="shared" si="56"/>
        <v>129644.8087431694</v>
      </c>
      <c r="H209" s="25">
        <f t="shared" si="57"/>
        <v>10878306.797814209</v>
      </c>
      <c r="I209" s="758">
        <v>585</v>
      </c>
      <c r="J209" s="758">
        <f t="shared" si="53"/>
        <v>18595.396235579843</v>
      </c>
      <c r="K209" s="666"/>
      <c r="L209" s="843" t="s">
        <v>1230</v>
      </c>
      <c r="M209" s="771">
        <f t="shared" ref="M209:M241" si="58">N209-3</f>
        <v>41509</v>
      </c>
      <c r="N209" s="771">
        <v>41512</v>
      </c>
      <c r="O209" s="772" t="s">
        <v>1116</v>
      </c>
      <c r="P209" s="305">
        <f>I209*(4/5)</f>
        <v>468</v>
      </c>
      <c r="Q209" s="803">
        <v>22301</v>
      </c>
      <c r="R209" s="25">
        <f t="shared" si="49"/>
        <v>10436868</v>
      </c>
      <c r="S209" s="449"/>
      <c r="T209" s="773"/>
      <c r="U209" s="803"/>
      <c r="V209" s="803"/>
      <c r="W209" s="25"/>
    </row>
    <row r="210" spans="1:23" ht="13.5" customHeight="1">
      <c r="A210" s="757">
        <f t="shared" ref="A210:A241" si="59">IF(B210&lt;&gt;"",A209+1,"")</f>
        <v>67</v>
      </c>
      <c r="B210" s="297" t="s">
        <v>940</v>
      </c>
      <c r="C210" s="25">
        <f t="shared" si="55"/>
        <v>5499648</v>
      </c>
      <c r="D210" s="758">
        <f t="shared" si="56"/>
        <v>102312.20400728598</v>
      </c>
      <c r="E210" s="758">
        <f t="shared" si="56"/>
        <v>7573.17547055252</v>
      </c>
      <c r="F210" s="758">
        <f t="shared" si="56"/>
        <v>87850.637522768666</v>
      </c>
      <c r="G210" s="758">
        <f t="shared" si="56"/>
        <v>82219.186399514263</v>
      </c>
      <c r="H210" s="25">
        <f t="shared" si="57"/>
        <v>5779603.2034001201</v>
      </c>
      <c r="I210" s="758">
        <v>371</v>
      </c>
      <c r="J210" s="758">
        <f t="shared" si="53"/>
        <v>15578.445292183613</v>
      </c>
      <c r="K210" s="666"/>
      <c r="L210" s="192" t="s">
        <v>591</v>
      </c>
      <c r="M210" s="771">
        <f t="shared" si="58"/>
        <v>41509</v>
      </c>
      <c r="N210" s="771">
        <v>41512</v>
      </c>
      <c r="O210" s="772" t="s">
        <v>1116</v>
      </c>
      <c r="P210" s="305">
        <v>186</v>
      </c>
      <c r="Q210" s="803">
        <v>29568</v>
      </c>
      <c r="R210" s="25">
        <f t="shared" si="49"/>
        <v>5499648</v>
      </c>
      <c r="S210" s="449"/>
      <c r="T210" s="773"/>
      <c r="U210" s="803"/>
      <c r="V210" s="803"/>
      <c r="W210" s="25"/>
    </row>
    <row r="211" spans="1:23" ht="13.5" customHeight="1">
      <c r="A211" s="757">
        <f t="shared" si="59"/>
        <v>68</v>
      </c>
      <c r="B211" s="297" t="s">
        <v>1148</v>
      </c>
      <c r="C211" s="25">
        <f t="shared" si="55"/>
        <v>10035450</v>
      </c>
      <c r="D211" s="758">
        <f t="shared" si="56"/>
        <v>744590.16393442627</v>
      </c>
      <c r="E211" s="758">
        <f t="shared" si="56"/>
        <v>55114.75409836066</v>
      </c>
      <c r="F211" s="758">
        <f t="shared" si="56"/>
        <v>639344.26229508198</v>
      </c>
      <c r="G211" s="758">
        <f t="shared" si="56"/>
        <v>598360.65573770495</v>
      </c>
      <c r="H211" s="25">
        <f t="shared" si="57"/>
        <v>12072859.836065575</v>
      </c>
      <c r="I211" s="758">
        <v>2700</v>
      </c>
      <c r="J211" s="758">
        <f t="shared" si="53"/>
        <v>4471.4295689131759</v>
      </c>
      <c r="K211" s="666"/>
      <c r="L211" s="843" t="s">
        <v>1230</v>
      </c>
      <c r="M211" s="771">
        <f t="shared" si="58"/>
        <v>41519</v>
      </c>
      <c r="N211" s="771">
        <v>41522</v>
      </c>
      <c r="O211" s="772" t="s">
        <v>1117</v>
      </c>
      <c r="P211" s="305">
        <v>450</v>
      </c>
      <c r="Q211" s="256">
        <v>22301</v>
      </c>
      <c r="R211" s="25">
        <f t="shared" si="49"/>
        <v>10035450</v>
      </c>
      <c r="S211" s="449"/>
      <c r="T211" s="773"/>
      <c r="U211" s="803"/>
      <c r="V211" s="803"/>
      <c r="W211" s="25"/>
    </row>
    <row r="212" spans="1:23" ht="13.5" customHeight="1">
      <c r="A212" s="757">
        <f t="shared" si="59"/>
        <v>69</v>
      </c>
      <c r="B212" s="297" t="s">
        <v>1119</v>
      </c>
      <c r="C212" s="25">
        <f t="shared" si="55"/>
        <v>6799825</v>
      </c>
      <c r="D212" s="758">
        <f t="shared" si="56"/>
        <v>278531.87613843352</v>
      </c>
      <c r="E212" s="758">
        <f t="shared" si="56"/>
        <v>20617.00060716454</v>
      </c>
      <c r="F212" s="758">
        <f t="shared" si="56"/>
        <v>239162.11293260474</v>
      </c>
      <c r="G212" s="758">
        <f t="shared" si="56"/>
        <v>223831.20825743777</v>
      </c>
      <c r="H212" s="25">
        <f t="shared" si="57"/>
        <v>7561967.1979356408</v>
      </c>
      <c r="I212" s="758">
        <v>1010</v>
      </c>
      <c r="J212" s="758">
        <f t="shared" si="53"/>
        <v>7487.096235579842</v>
      </c>
      <c r="K212" s="666"/>
      <c r="L212" s="192" t="s">
        <v>635</v>
      </c>
      <c r="M212" s="771">
        <f t="shared" si="58"/>
        <v>41520</v>
      </c>
      <c r="N212" s="771">
        <v>41523</v>
      </c>
      <c r="O212" s="772" t="s">
        <v>1118</v>
      </c>
      <c r="P212" s="305">
        <v>505</v>
      </c>
      <c r="Q212" s="803">
        <v>13465</v>
      </c>
      <c r="R212" s="25">
        <f t="shared" si="49"/>
        <v>6799825</v>
      </c>
      <c r="S212" s="449"/>
      <c r="T212" s="773"/>
      <c r="U212" s="803"/>
      <c r="V212" s="803"/>
      <c r="W212" s="25"/>
    </row>
    <row r="213" spans="1:23" ht="13.5" customHeight="1">
      <c r="A213" s="757">
        <f t="shared" si="59"/>
        <v>70</v>
      </c>
      <c r="B213" s="297" t="s">
        <v>1120</v>
      </c>
      <c r="C213" s="25">
        <f t="shared" si="55"/>
        <v>5861000</v>
      </c>
      <c r="D213" s="758">
        <f t="shared" si="56"/>
        <v>275774.13479052827</v>
      </c>
      <c r="E213" s="758">
        <f t="shared" si="56"/>
        <v>20412.871888281723</v>
      </c>
      <c r="F213" s="758">
        <f t="shared" si="56"/>
        <v>236794.17122040072</v>
      </c>
      <c r="G213" s="758">
        <f t="shared" si="56"/>
        <v>221615.05768063146</v>
      </c>
      <c r="H213" s="25">
        <f t="shared" si="57"/>
        <v>6615596.2355798418</v>
      </c>
      <c r="I213" s="758">
        <v>1000</v>
      </c>
      <c r="J213" s="758">
        <f t="shared" si="53"/>
        <v>6615.596235579842</v>
      </c>
      <c r="K213" s="666"/>
      <c r="L213" s="192" t="s">
        <v>677</v>
      </c>
      <c r="M213" s="771">
        <f t="shared" si="58"/>
        <v>41520</v>
      </c>
      <c r="N213" s="771">
        <v>41523</v>
      </c>
      <c r="O213" s="772" t="s">
        <v>1118</v>
      </c>
      <c r="P213" s="305">
        <f>I213/2</f>
        <v>500</v>
      </c>
      <c r="Q213" s="803">
        <v>11722</v>
      </c>
      <c r="R213" s="25">
        <f t="shared" si="49"/>
        <v>5861000</v>
      </c>
      <c r="S213" s="449"/>
      <c r="T213" s="773"/>
      <c r="U213" s="803"/>
      <c r="V213" s="803"/>
      <c r="W213" s="25"/>
    </row>
    <row r="214" spans="1:23" ht="13.5" customHeight="1">
      <c r="A214" s="757">
        <f t="shared" si="59"/>
        <v>71</v>
      </c>
      <c r="B214" s="297" t="s">
        <v>1135</v>
      </c>
      <c r="C214" s="25">
        <f t="shared" si="55"/>
        <v>5571517</v>
      </c>
      <c r="D214" s="758">
        <f t="shared" si="56"/>
        <v>273016.39344262297</v>
      </c>
      <c r="E214" s="758">
        <f t="shared" si="56"/>
        <v>20208.743169398906</v>
      </c>
      <c r="F214" s="758">
        <f t="shared" si="56"/>
        <v>234426.22950819673</v>
      </c>
      <c r="G214" s="758">
        <f t="shared" si="56"/>
        <v>219398.90710382513</v>
      </c>
      <c r="H214" s="25">
        <f t="shared" si="57"/>
        <v>6318567.2732240446</v>
      </c>
      <c r="I214" s="758">
        <v>990</v>
      </c>
      <c r="J214" s="758">
        <f t="shared" si="53"/>
        <v>6382.3911850747927</v>
      </c>
      <c r="K214" s="666"/>
      <c r="L214" s="192" t="s">
        <v>713</v>
      </c>
      <c r="M214" s="771">
        <f t="shared" si="58"/>
        <v>41523</v>
      </c>
      <c r="N214" s="771">
        <v>41526</v>
      </c>
      <c r="O214" s="772" t="s">
        <v>1121</v>
      </c>
      <c r="P214" s="305">
        <v>270</v>
      </c>
      <c r="Q214" s="803">
        <v>20635.247863247863</v>
      </c>
      <c r="R214" s="25">
        <f t="shared" si="49"/>
        <v>5571517</v>
      </c>
      <c r="S214" s="449"/>
      <c r="T214" s="773"/>
      <c r="U214" s="803"/>
      <c r="V214" s="803"/>
      <c r="W214" s="25"/>
    </row>
    <row r="215" spans="1:23" ht="13.5" customHeight="1">
      <c r="A215" s="757">
        <f>IF(B215&lt;&gt;"",A214+1,"")</f>
        <v>72</v>
      </c>
      <c r="B215" s="297" t="s">
        <v>865</v>
      </c>
      <c r="C215" s="25">
        <f t="shared" si="55"/>
        <v>10054580</v>
      </c>
      <c r="D215" s="758">
        <f t="shared" si="56"/>
        <v>139265.93806921676</v>
      </c>
      <c r="E215" s="758">
        <f t="shared" si="56"/>
        <v>10308.50030358227</v>
      </c>
      <c r="F215" s="758">
        <f t="shared" si="56"/>
        <v>119581.05646630237</v>
      </c>
      <c r="G215" s="758">
        <f t="shared" si="56"/>
        <v>111915.60412871889</v>
      </c>
      <c r="H215" s="25">
        <f t="shared" si="57"/>
        <v>10435651.098967819</v>
      </c>
      <c r="I215" s="758">
        <v>505</v>
      </c>
      <c r="J215" s="758">
        <f t="shared" si="53"/>
        <v>20664.655641520432</v>
      </c>
      <c r="K215" s="666"/>
      <c r="L215" s="843" t="s">
        <v>1241</v>
      </c>
      <c r="M215" s="771">
        <f t="shared" si="58"/>
        <v>41523</v>
      </c>
      <c r="N215" s="771">
        <v>41526</v>
      </c>
      <c r="O215" s="772" t="s">
        <v>1122</v>
      </c>
      <c r="P215" s="305">
        <f>I215</f>
        <v>505</v>
      </c>
      <c r="Q215" s="256">
        <v>19910.059393752887</v>
      </c>
      <c r="R215" s="25">
        <f t="shared" si="49"/>
        <v>10054580</v>
      </c>
      <c r="S215" s="449"/>
      <c r="T215" s="773"/>
      <c r="U215" s="803"/>
      <c r="V215" s="803"/>
      <c r="W215" s="25"/>
    </row>
    <row r="216" spans="1:23" ht="13.5" customHeight="1">
      <c r="A216" s="757">
        <f t="shared" si="59"/>
        <v>73</v>
      </c>
      <c r="B216" s="297" t="s">
        <v>938</v>
      </c>
      <c r="C216" s="25">
        <f t="shared" si="55"/>
        <v>10436868</v>
      </c>
      <c r="D216" s="758">
        <f t="shared" si="56"/>
        <v>161327.86885245904</v>
      </c>
      <c r="E216" s="758">
        <f t="shared" si="56"/>
        <v>11941.530054644809</v>
      </c>
      <c r="F216" s="758">
        <f t="shared" si="56"/>
        <v>138524.59016393442</v>
      </c>
      <c r="G216" s="758">
        <f t="shared" si="56"/>
        <v>129644.8087431694</v>
      </c>
      <c r="H216" s="25">
        <f t="shared" si="57"/>
        <v>10878306.797814209</v>
      </c>
      <c r="I216" s="758">
        <v>585</v>
      </c>
      <c r="J216" s="758">
        <f t="shared" si="53"/>
        <v>18595.396235579843</v>
      </c>
      <c r="K216" s="666"/>
      <c r="L216" s="843" t="s">
        <v>1230</v>
      </c>
      <c r="M216" s="771">
        <f t="shared" si="58"/>
        <v>41523</v>
      </c>
      <c r="N216" s="771">
        <v>41526</v>
      </c>
      <c r="O216" s="772" t="s">
        <v>1123</v>
      </c>
      <c r="P216" s="305">
        <f>I216*(4/5)</f>
        <v>468</v>
      </c>
      <c r="Q216" s="803">
        <v>22301</v>
      </c>
      <c r="R216" s="25">
        <f t="shared" si="49"/>
        <v>10436868</v>
      </c>
      <c r="S216" s="449"/>
      <c r="T216" s="773"/>
      <c r="U216" s="803"/>
      <c r="V216" s="803"/>
      <c r="W216" s="25"/>
    </row>
    <row r="217" spans="1:23" ht="13.5" customHeight="1">
      <c r="A217" s="757">
        <f t="shared" si="59"/>
        <v>74</v>
      </c>
      <c r="B217" s="297" t="s">
        <v>940</v>
      </c>
      <c r="C217" s="25">
        <f t="shared" si="55"/>
        <v>4185000</v>
      </c>
      <c r="D217" s="758">
        <f t="shared" si="56"/>
        <v>82732.240437158471</v>
      </c>
      <c r="E217" s="758">
        <f t="shared" si="56"/>
        <v>6123.8615664845174</v>
      </c>
      <c r="F217" s="758">
        <f t="shared" si="56"/>
        <v>71038.251366120225</v>
      </c>
      <c r="G217" s="758">
        <f t="shared" si="56"/>
        <v>66484.51730418943</v>
      </c>
      <c r="H217" s="25">
        <f t="shared" si="57"/>
        <v>4411378.8706739526</v>
      </c>
      <c r="I217" s="758">
        <v>300</v>
      </c>
      <c r="J217" s="758">
        <f t="shared" si="53"/>
        <v>14704.596235579842</v>
      </c>
      <c r="K217" s="666"/>
      <c r="L217" s="843" t="s">
        <v>1249</v>
      </c>
      <c r="M217" s="771">
        <f t="shared" si="58"/>
        <v>41523</v>
      </c>
      <c r="N217" s="771">
        <v>41526</v>
      </c>
      <c r="O217" s="772" t="s">
        <v>1123</v>
      </c>
      <c r="P217" s="305">
        <v>150</v>
      </c>
      <c r="Q217" s="803">
        <v>27900</v>
      </c>
      <c r="R217" s="25">
        <f t="shared" si="49"/>
        <v>4185000</v>
      </c>
      <c r="S217" s="449"/>
      <c r="T217" s="773"/>
      <c r="U217" s="803"/>
      <c r="V217" s="803"/>
      <c r="W217" s="25"/>
    </row>
    <row r="218" spans="1:23" ht="13.5" customHeight="1">
      <c r="A218" s="757">
        <f t="shared" si="59"/>
        <v>75</v>
      </c>
      <c r="B218" s="297" t="s">
        <v>1148</v>
      </c>
      <c r="C218" s="25">
        <f t="shared" si="55"/>
        <v>9812440</v>
      </c>
      <c r="D218" s="758">
        <f t="shared" si="56"/>
        <v>739074.68123861577</v>
      </c>
      <c r="E218" s="758">
        <f t="shared" si="56"/>
        <v>54706.496660595025</v>
      </c>
      <c r="F218" s="758">
        <f t="shared" si="56"/>
        <v>634608.37887067394</v>
      </c>
      <c r="G218" s="758">
        <f t="shared" si="56"/>
        <v>593928.35458409227</v>
      </c>
      <c r="H218" s="25">
        <f t="shared" si="57"/>
        <v>11834757.911353977</v>
      </c>
      <c r="I218" s="758">
        <v>2680</v>
      </c>
      <c r="J218" s="758">
        <f t="shared" si="53"/>
        <v>4415.9544445350666</v>
      </c>
      <c r="K218" s="666"/>
      <c r="L218" s="843" t="s">
        <v>1230</v>
      </c>
      <c r="M218" s="771">
        <f t="shared" si="58"/>
        <v>41523</v>
      </c>
      <c r="N218" s="771">
        <v>41526</v>
      </c>
      <c r="O218" s="772" t="s">
        <v>922</v>
      </c>
      <c r="P218" s="305">
        <v>440</v>
      </c>
      <c r="Q218" s="256">
        <v>22301</v>
      </c>
      <c r="R218" s="25">
        <f t="shared" si="49"/>
        <v>9812440</v>
      </c>
      <c r="S218" s="449"/>
      <c r="T218" s="773"/>
      <c r="U218" s="803"/>
      <c r="V218" s="803"/>
      <c r="W218" s="25"/>
    </row>
    <row r="219" spans="1:23" ht="13.5" customHeight="1">
      <c r="A219" s="757">
        <f t="shared" si="59"/>
        <v>76</v>
      </c>
      <c r="B219" s="297" t="s">
        <v>923</v>
      </c>
      <c r="C219" s="25">
        <f t="shared" si="55"/>
        <v>1086300</v>
      </c>
      <c r="D219" s="758">
        <f t="shared" si="56"/>
        <v>27577.413479052826</v>
      </c>
      <c r="E219" s="758">
        <f t="shared" si="56"/>
        <v>2041.2871888281725</v>
      </c>
      <c r="F219" s="758">
        <f t="shared" si="56"/>
        <v>23679.417122040071</v>
      </c>
      <c r="G219" s="758">
        <f t="shared" si="56"/>
        <v>22161.505768063143</v>
      </c>
      <c r="H219" s="25">
        <f t="shared" si="57"/>
        <v>1161759.6235579844</v>
      </c>
      <c r="I219" s="758">
        <v>100</v>
      </c>
      <c r="J219" s="758">
        <f t="shared" si="53"/>
        <v>11617.596235579844</v>
      </c>
      <c r="K219" s="666"/>
      <c r="L219" s="843" t="s">
        <v>1280</v>
      </c>
      <c r="M219" s="771">
        <f t="shared" si="58"/>
        <v>41525</v>
      </c>
      <c r="N219" s="771">
        <v>41528</v>
      </c>
      <c r="O219" s="772" t="s">
        <v>924</v>
      </c>
      <c r="P219" s="305">
        <f>I219</f>
        <v>100</v>
      </c>
      <c r="Q219" s="803">
        <v>10863</v>
      </c>
      <c r="R219" s="25">
        <f t="shared" si="49"/>
        <v>1086300</v>
      </c>
      <c r="S219" s="449"/>
      <c r="T219" s="773"/>
      <c r="U219" s="803"/>
      <c r="V219" s="803"/>
      <c r="W219" s="25"/>
    </row>
    <row r="220" spans="1:23" ht="13.5" customHeight="1">
      <c r="A220" s="757">
        <f t="shared" si="59"/>
        <v>77</v>
      </c>
      <c r="B220" s="297" t="s">
        <v>926</v>
      </c>
      <c r="C220" s="25">
        <f t="shared" si="55"/>
        <v>1338750</v>
      </c>
      <c r="D220" s="758">
        <f t="shared" si="56"/>
        <v>28128.961748633883</v>
      </c>
      <c r="E220" s="758">
        <f t="shared" si="56"/>
        <v>2082.1129326047358</v>
      </c>
      <c r="F220" s="758">
        <f t="shared" si="56"/>
        <v>24153.005464480873</v>
      </c>
      <c r="G220" s="758">
        <f t="shared" si="56"/>
        <v>22604.735883424408</v>
      </c>
      <c r="H220" s="25">
        <f t="shared" si="57"/>
        <v>1415718.816029144</v>
      </c>
      <c r="I220" s="758">
        <v>102</v>
      </c>
      <c r="J220" s="758">
        <f t="shared" si="53"/>
        <v>13879.596235579844</v>
      </c>
      <c r="K220" s="666"/>
      <c r="L220" s="843" t="s">
        <v>1291</v>
      </c>
      <c r="M220" s="771">
        <f t="shared" si="58"/>
        <v>41525</v>
      </c>
      <c r="N220" s="771">
        <v>41528</v>
      </c>
      <c r="O220" s="772" t="s">
        <v>924</v>
      </c>
      <c r="P220" s="305">
        <f>I220</f>
        <v>102</v>
      </c>
      <c r="Q220" s="803">
        <v>13125</v>
      </c>
      <c r="R220" s="25">
        <f t="shared" si="49"/>
        <v>1338750</v>
      </c>
      <c r="S220" s="449"/>
      <c r="T220" s="773"/>
      <c r="U220" s="803"/>
      <c r="V220" s="803"/>
      <c r="W220" s="25"/>
    </row>
    <row r="221" spans="1:23" ht="13.5" customHeight="1">
      <c r="A221" s="757">
        <f t="shared" si="59"/>
        <v>78</v>
      </c>
      <c r="B221" s="297" t="s">
        <v>836</v>
      </c>
      <c r="C221" s="25">
        <f t="shared" si="55"/>
        <v>8394719</v>
      </c>
      <c r="D221" s="758">
        <f t="shared" si="56"/>
        <v>273567.94171220402</v>
      </c>
      <c r="E221" s="758">
        <f t="shared" si="56"/>
        <v>20249.56891317547</v>
      </c>
      <c r="F221" s="758">
        <f t="shared" si="56"/>
        <v>234899.81785063751</v>
      </c>
      <c r="G221" s="758">
        <f t="shared" si="56"/>
        <v>219842.13721918641</v>
      </c>
      <c r="H221" s="25">
        <f t="shared" si="57"/>
        <v>9143278.4656952042</v>
      </c>
      <c r="I221" s="758">
        <v>992</v>
      </c>
      <c r="J221" s="758">
        <f t="shared" si="53"/>
        <v>9217.014582354037</v>
      </c>
      <c r="K221" s="666"/>
      <c r="L221" s="192" t="s">
        <v>650</v>
      </c>
      <c r="M221" s="771">
        <f t="shared" si="58"/>
        <v>41530</v>
      </c>
      <c r="N221" s="771">
        <v>41533</v>
      </c>
      <c r="O221" s="772" t="s">
        <v>927</v>
      </c>
      <c r="P221" s="305">
        <f>I221</f>
        <v>992</v>
      </c>
      <c r="Q221" s="803">
        <v>8462.418420401089</v>
      </c>
      <c r="R221" s="25">
        <f t="shared" si="49"/>
        <v>8394719</v>
      </c>
      <c r="S221" s="449"/>
      <c r="T221" s="773"/>
      <c r="U221" s="803"/>
      <c r="V221" s="803"/>
      <c r="W221" s="25"/>
    </row>
    <row r="222" spans="1:23" ht="13.5" customHeight="1">
      <c r="A222" s="757">
        <f t="shared" si="59"/>
        <v>79</v>
      </c>
      <c r="B222" s="297" t="s">
        <v>865</v>
      </c>
      <c r="C222" s="25">
        <f t="shared" si="55"/>
        <v>9875389</v>
      </c>
      <c r="D222" s="758">
        <f t="shared" si="56"/>
        <v>136783.97085610201</v>
      </c>
      <c r="E222" s="758">
        <f t="shared" si="56"/>
        <v>10124.784456587735</v>
      </c>
      <c r="F222" s="758">
        <f t="shared" si="56"/>
        <v>117449.90892531876</v>
      </c>
      <c r="G222" s="758">
        <f t="shared" si="56"/>
        <v>109921.0686095932</v>
      </c>
      <c r="H222" s="25">
        <f t="shared" si="57"/>
        <v>10249668.732847603</v>
      </c>
      <c r="I222" s="758">
        <v>496</v>
      </c>
      <c r="J222" s="758">
        <f t="shared" si="53"/>
        <v>20664.654703321779</v>
      </c>
      <c r="K222" s="666"/>
      <c r="L222" s="843" t="s">
        <v>1241</v>
      </c>
      <c r="M222" s="771">
        <f t="shared" si="58"/>
        <v>41532</v>
      </c>
      <c r="N222" s="771">
        <v>41535</v>
      </c>
      <c r="O222" s="772" t="s">
        <v>928</v>
      </c>
      <c r="P222" s="305">
        <f>I222</f>
        <v>496</v>
      </c>
      <c r="Q222" s="256">
        <v>19910.059393752887</v>
      </c>
      <c r="R222" s="25">
        <f t="shared" si="49"/>
        <v>9875389</v>
      </c>
      <c r="S222" s="449"/>
      <c r="T222" s="773"/>
      <c r="U222" s="803"/>
      <c r="V222" s="803"/>
      <c r="W222" s="25"/>
    </row>
    <row r="223" spans="1:23" ht="13.5" customHeight="1">
      <c r="A223" s="757">
        <f t="shared" si="59"/>
        <v>80</v>
      </c>
      <c r="B223" s="297" t="s">
        <v>929</v>
      </c>
      <c r="C223" s="25">
        <f t="shared" si="55"/>
        <v>589000</v>
      </c>
      <c r="D223" s="758">
        <f t="shared" si="56"/>
        <v>81077.595628415307</v>
      </c>
      <c r="E223" s="758">
        <f t="shared" si="56"/>
        <v>6001.3843351548267</v>
      </c>
      <c r="F223" s="758">
        <f t="shared" si="56"/>
        <v>69617.486338797811</v>
      </c>
      <c r="G223" s="758">
        <f t="shared" si="56"/>
        <v>65154.826958105645</v>
      </c>
      <c r="H223" s="25">
        <f t="shared" si="57"/>
        <v>810851.29326047364</v>
      </c>
      <c r="I223" s="758">
        <v>294</v>
      </c>
      <c r="J223" s="758">
        <f t="shared" si="53"/>
        <v>2757.9975961240598</v>
      </c>
      <c r="K223" s="666"/>
      <c r="L223" s="843" t="s">
        <v>1167</v>
      </c>
      <c r="M223" s="771">
        <f t="shared" si="58"/>
        <v>41533</v>
      </c>
      <c r="N223" s="771">
        <v>41536</v>
      </c>
      <c r="O223" s="772" t="s">
        <v>930</v>
      </c>
      <c r="P223" s="305">
        <v>50</v>
      </c>
      <c r="Q223" s="823">
        <v>11780</v>
      </c>
      <c r="R223" s="25">
        <f t="shared" si="49"/>
        <v>589000</v>
      </c>
      <c r="S223" s="449"/>
      <c r="T223" s="773"/>
      <c r="U223" s="803"/>
      <c r="V223" s="803"/>
      <c r="W223" s="25"/>
    </row>
    <row r="224" spans="1:23" ht="13.5" customHeight="1">
      <c r="A224" s="757">
        <f t="shared" si="59"/>
        <v>81</v>
      </c>
      <c r="B224" s="297" t="s">
        <v>885</v>
      </c>
      <c r="C224" s="25">
        <f t="shared" si="55"/>
        <v>3420000</v>
      </c>
      <c r="D224" s="758">
        <f t="shared" ref="D224:G241" si="60">IF($I$243&lt;&gt;0,D$243/$I$243*$I224,0)</f>
        <v>140644.80874316941</v>
      </c>
      <c r="E224" s="758">
        <f t="shared" si="60"/>
        <v>10410.564663023679</v>
      </c>
      <c r="F224" s="758">
        <f t="shared" si="60"/>
        <v>120765.02732240438</v>
      </c>
      <c r="G224" s="758">
        <f t="shared" si="60"/>
        <v>113023.67941712204</v>
      </c>
      <c r="H224" s="25">
        <f t="shared" si="57"/>
        <v>3804844.0801457199</v>
      </c>
      <c r="I224" s="758">
        <v>510</v>
      </c>
      <c r="J224" s="758">
        <f t="shared" si="53"/>
        <v>7460.4785885210194</v>
      </c>
      <c r="K224" s="666"/>
      <c r="L224" s="843" t="s">
        <v>1237</v>
      </c>
      <c r="M224" s="771">
        <f t="shared" si="58"/>
        <v>41534</v>
      </c>
      <c r="N224" s="771">
        <v>41537</v>
      </c>
      <c r="O224" s="772" t="s">
        <v>931</v>
      </c>
      <c r="P224" s="305">
        <v>150</v>
      </c>
      <c r="Q224" s="803">
        <v>22800</v>
      </c>
      <c r="R224" s="25">
        <f t="shared" si="49"/>
        <v>3420000</v>
      </c>
      <c r="S224" s="449"/>
      <c r="T224" s="773"/>
      <c r="U224" s="803"/>
      <c r="V224" s="803"/>
      <c r="W224" s="25"/>
    </row>
    <row r="225" spans="1:23" ht="13.5" customHeight="1">
      <c r="A225" s="757">
        <f>IF(B225&lt;&gt;"",A224+1,"")</f>
        <v>82</v>
      </c>
      <c r="B225" s="297" t="s">
        <v>742</v>
      </c>
      <c r="C225" s="25">
        <f t="shared" si="55"/>
        <v>6590230</v>
      </c>
      <c r="D225" s="758">
        <f t="shared" si="60"/>
        <v>91281.238615664857</v>
      </c>
      <c r="E225" s="758">
        <f t="shared" si="60"/>
        <v>6756.6605950212506</v>
      </c>
      <c r="F225" s="758">
        <f t="shared" si="60"/>
        <v>78378.870673952639</v>
      </c>
      <c r="G225" s="758">
        <f t="shared" si="60"/>
        <v>73354.584092289006</v>
      </c>
      <c r="H225" s="25">
        <f t="shared" si="57"/>
        <v>6840001.3539769277</v>
      </c>
      <c r="I225" s="758">
        <v>331</v>
      </c>
      <c r="J225" s="758">
        <f t="shared" si="53"/>
        <v>20664.656658540567</v>
      </c>
      <c r="K225" s="666"/>
      <c r="L225" s="843" t="s">
        <v>1241</v>
      </c>
      <c r="M225" s="771">
        <f t="shared" si="58"/>
        <v>41535</v>
      </c>
      <c r="N225" s="771">
        <v>41538</v>
      </c>
      <c r="O225" s="772" t="s">
        <v>932</v>
      </c>
      <c r="P225" s="305">
        <f>I225</f>
        <v>331</v>
      </c>
      <c r="Q225" s="256">
        <v>19910.059393752887</v>
      </c>
      <c r="R225" s="25">
        <f t="shared" si="49"/>
        <v>6590230</v>
      </c>
      <c r="S225" s="449"/>
      <c r="T225" s="773"/>
      <c r="U225" s="803"/>
      <c r="V225" s="803"/>
      <c r="W225" s="25"/>
    </row>
    <row r="226" spans="1:23" ht="13.5" customHeight="1">
      <c r="A226" s="757">
        <f t="shared" si="59"/>
        <v>83</v>
      </c>
      <c r="B226" s="297" t="s">
        <v>883</v>
      </c>
      <c r="C226" s="25">
        <f t="shared" si="55"/>
        <v>3028800</v>
      </c>
      <c r="D226" s="758">
        <f t="shared" si="60"/>
        <v>118582.87795992715</v>
      </c>
      <c r="E226" s="758">
        <f t="shared" si="60"/>
        <v>8777.5349119611419</v>
      </c>
      <c r="F226" s="758">
        <f t="shared" si="60"/>
        <v>101821.49362477231</v>
      </c>
      <c r="G226" s="758">
        <f t="shared" si="60"/>
        <v>95294.474802671524</v>
      </c>
      <c r="H226" s="25">
        <f t="shared" si="57"/>
        <v>3353276.3812993322</v>
      </c>
      <c r="I226" s="758">
        <v>430</v>
      </c>
      <c r="J226" s="758">
        <f t="shared" si="53"/>
        <v>7798.3171658124002</v>
      </c>
      <c r="K226" s="666"/>
      <c r="L226" s="843" t="s">
        <v>1235</v>
      </c>
      <c r="M226" s="771">
        <f t="shared" si="58"/>
        <v>41537</v>
      </c>
      <c r="N226" s="771">
        <v>41540</v>
      </c>
      <c r="O226" s="772" t="s">
        <v>1124</v>
      </c>
      <c r="P226" s="305">
        <v>240</v>
      </c>
      <c r="Q226" s="256">
        <v>12620</v>
      </c>
      <c r="R226" s="25">
        <f t="shared" si="49"/>
        <v>3028800</v>
      </c>
      <c r="S226" s="449"/>
      <c r="T226" s="773"/>
      <c r="U226" s="803"/>
      <c r="V226" s="803"/>
      <c r="W226" s="25"/>
    </row>
    <row r="227" spans="1:23" ht="13.5" customHeight="1">
      <c r="A227" s="757">
        <f t="shared" si="59"/>
        <v>84</v>
      </c>
      <c r="B227" s="297" t="s">
        <v>1132</v>
      </c>
      <c r="C227" s="25">
        <f t="shared" si="55"/>
        <v>2342970</v>
      </c>
      <c r="D227" s="758">
        <f t="shared" si="60"/>
        <v>55154.826958105652</v>
      </c>
      <c r="E227" s="758">
        <f t="shared" si="60"/>
        <v>4082.574377656345</v>
      </c>
      <c r="F227" s="758">
        <f t="shared" si="60"/>
        <v>47358.834244080143</v>
      </c>
      <c r="G227" s="758">
        <f t="shared" si="60"/>
        <v>44323.011536126287</v>
      </c>
      <c r="H227" s="25">
        <f t="shared" si="57"/>
        <v>2493889.2471159687</v>
      </c>
      <c r="I227" s="758">
        <v>200</v>
      </c>
      <c r="J227" s="758">
        <f t="shared" si="53"/>
        <v>12469.446235579844</v>
      </c>
      <c r="K227" s="666"/>
      <c r="L227" s="843" t="s">
        <v>1195</v>
      </c>
      <c r="M227" s="771">
        <f t="shared" si="58"/>
        <v>41537</v>
      </c>
      <c r="N227" s="771">
        <v>41540</v>
      </c>
      <c r="O227" s="772" t="s">
        <v>1124</v>
      </c>
      <c r="P227" s="305">
        <v>210</v>
      </c>
      <c r="Q227" s="803">
        <v>11157</v>
      </c>
      <c r="R227" s="25">
        <f t="shared" si="49"/>
        <v>2342970</v>
      </c>
      <c r="S227" s="449"/>
      <c r="T227" s="773"/>
      <c r="U227" s="803"/>
      <c r="V227" s="803"/>
      <c r="W227" s="25"/>
    </row>
    <row r="228" spans="1:23" ht="13.5" customHeight="1">
      <c r="A228" s="757">
        <f t="shared" si="59"/>
        <v>85</v>
      </c>
      <c r="B228" s="297" t="s">
        <v>1130</v>
      </c>
      <c r="C228" s="25">
        <f t="shared" si="55"/>
        <v>1294157</v>
      </c>
      <c r="D228" s="758">
        <f t="shared" si="60"/>
        <v>29783.60655737705</v>
      </c>
      <c r="E228" s="758">
        <f t="shared" si="60"/>
        <v>2204.5901639344261</v>
      </c>
      <c r="F228" s="758">
        <f t="shared" si="60"/>
        <v>25573.77049180328</v>
      </c>
      <c r="G228" s="758">
        <f t="shared" si="60"/>
        <v>23934.426229508197</v>
      </c>
      <c r="H228" s="25">
        <f t="shared" si="57"/>
        <v>1375653.3934426231</v>
      </c>
      <c r="I228" s="758">
        <v>108</v>
      </c>
      <c r="J228" s="758">
        <f t="shared" si="53"/>
        <v>12737.531420765028</v>
      </c>
      <c r="K228" s="666"/>
      <c r="L228" s="843" t="s">
        <v>1229</v>
      </c>
      <c r="M228" s="771">
        <f t="shared" si="58"/>
        <v>41537</v>
      </c>
      <c r="N228" s="771">
        <v>41540</v>
      </c>
      <c r="O228" s="772" t="s">
        <v>1124</v>
      </c>
      <c r="P228" s="305">
        <v>109</v>
      </c>
      <c r="Q228" s="803">
        <v>11873</v>
      </c>
      <c r="R228" s="25">
        <f t="shared" si="49"/>
        <v>1294157</v>
      </c>
      <c r="S228" s="449"/>
      <c r="T228" s="773"/>
      <c r="U228" s="803"/>
      <c r="V228" s="803"/>
      <c r="W228" s="25"/>
    </row>
    <row r="229" spans="1:23" ht="13.5" customHeight="1">
      <c r="A229" s="757">
        <f t="shared" si="59"/>
        <v>86</v>
      </c>
      <c r="B229" s="297" t="s">
        <v>1133</v>
      </c>
      <c r="C229" s="25">
        <f t="shared" si="55"/>
        <v>1570740</v>
      </c>
      <c r="D229" s="758">
        <f t="shared" si="60"/>
        <v>70873.952641165757</v>
      </c>
      <c r="E229" s="758">
        <f t="shared" si="60"/>
        <v>5246.1080752884036</v>
      </c>
      <c r="F229" s="758">
        <f t="shared" si="60"/>
        <v>60856.102003642984</v>
      </c>
      <c r="G229" s="758">
        <f t="shared" si="60"/>
        <v>56955.069823922284</v>
      </c>
      <c r="H229" s="25">
        <f t="shared" si="57"/>
        <v>1764671.2325440196</v>
      </c>
      <c r="I229" s="758">
        <v>257</v>
      </c>
      <c r="J229" s="758">
        <f t="shared" si="53"/>
        <v>6866.4250293541618</v>
      </c>
      <c r="K229" s="666"/>
      <c r="L229" s="843" t="s">
        <v>1176</v>
      </c>
      <c r="M229" s="771">
        <f t="shared" si="58"/>
        <v>41537</v>
      </c>
      <c r="N229" s="771">
        <v>41540</v>
      </c>
      <c r="O229" s="772" t="s">
        <v>1124</v>
      </c>
      <c r="P229" s="305">
        <v>60</v>
      </c>
      <c r="Q229" s="803">
        <v>26179</v>
      </c>
      <c r="R229" s="25">
        <f t="shared" si="49"/>
        <v>1570740</v>
      </c>
      <c r="S229" s="449"/>
      <c r="T229" s="773"/>
      <c r="U229" s="803"/>
      <c r="V229" s="803"/>
      <c r="W229" s="25"/>
    </row>
    <row r="230" spans="1:23" ht="13.5" customHeight="1">
      <c r="A230" s="757">
        <f t="shared" si="59"/>
        <v>87</v>
      </c>
      <c r="B230" s="297" t="s">
        <v>815</v>
      </c>
      <c r="C230" s="25">
        <f t="shared" si="55"/>
        <v>6784000</v>
      </c>
      <c r="D230" s="758">
        <f t="shared" si="60"/>
        <v>116928.23315118397</v>
      </c>
      <c r="E230" s="758">
        <f t="shared" si="60"/>
        <v>8655.0576806314511</v>
      </c>
      <c r="F230" s="758">
        <f t="shared" si="60"/>
        <v>100400.72859744991</v>
      </c>
      <c r="G230" s="758">
        <f t="shared" si="60"/>
        <v>93964.784456587731</v>
      </c>
      <c r="H230" s="25">
        <f t="shared" si="57"/>
        <v>7103948.8038858529</v>
      </c>
      <c r="I230" s="758">
        <v>424</v>
      </c>
      <c r="J230" s="758">
        <f t="shared" si="53"/>
        <v>16754.59623557984</v>
      </c>
      <c r="K230" s="666"/>
      <c r="L230" s="192" t="s">
        <v>688</v>
      </c>
      <c r="M230" s="771">
        <f t="shared" si="58"/>
        <v>41537</v>
      </c>
      <c r="N230" s="771">
        <v>41540</v>
      </c>
      <c r="O230" s="772" t="s">
        <v>933</v>
      </c>
      <c r="P230" s="305">
        <f>I230</f>
        <v>424</v>
      </c>
      <c r="Q230" s="803">
        <v>16000</v>
      </c>
      <c r="R230" s="25">
        <f t="shared" si="49"/>
        <v>6784000</v>
      </c>
      <c r="S230" s="449"/>
      <c r="T230" s="773"/>
      <c r="U230" s="803"/>
      <c r="V230" s="803"/>
      <c r="W230" s="25"/>
    </row>
    <row r="231" spans="1:23" ht="13.5" customHeight="1">
      <c r="A231" s="757">
        <f t="shared" si="59"/>
        <v>88</v>
      </c>
      <c r="B231" s="297" t="s">
        <v>887</v>
      </c>
      <c r="C231" s="25">
        <f t="shared" si="55"/>
        <v>5802390</v>
      </c>
      <c r="D231" s="758">
        <f t="shared" si="60"/>
        <v>270258.65209471766</v>
      </c>
      <c r="E231" s="758">
        <f t="shared" si="60"/>
        <v>20004.614450516092</v>
      </c>
      <c r="F231" s="758">
        <f t="shared" si="60"/>
        <v>232058.28779599271</v>
      </c>
      <c r="G231" s="758">
        <f t="shared" si="60"/>
        <v>217182.75652701882</v>
      </c>
      <c r="H231" s="25">
        <f t="shared" si="57"/>
        <v>6541894.3108682455</v>
      </c>
      <c r="I231" s="758">
        <v>980</v>
      </c>
      <c r="J231" s="758">
        <f t="shared" si="53"/>
        <v>6675.4023580288222</v>
      </c>
      <c r="K231" s="666"/>
      <c r="L231" s="192" t="s">
        <v>677</v>
      </c>
      <c r="M231" s="771">
        <f t="shared" si="58"/>
        <v>41537</v>
      </c>
      <c r="N231" s="771">
        <v>41540</v>
      </c>
      <c r="O231" s="772" t="s">
        <v>934</v>
      </c>
      <c r="P231" s="305">
        <v>495</v>
      </c>
      <c r="Q231" s="803">
        <v>11722</v>
      </c>
      <c r="R231" s="25">
        <f t="shared" si="49"/>
        <v>5802390</v>
      </c>
      <c r="S231" s="449"/>
      <c r="T231" s="773"/>
      <c r="U231" s="803"/>
      <c r="V231" s="803"/>
      <c r="W231" s="25"/>
    </row>
    <row r="232" spans="1:23" ht="13.5" customHeight="1">
      <c r="A232" s="757">
        <f t="shared" si="59"/>
        <v>89</v>
      </c>
      <c r="B232" s="297" t="s">
        <v>1148</v>
      </c>
      <c r="C232" s="25">
        <f t="shared" si="55"/>
        <v>8959527</v>
      </c>
      <c r="D232" s="758">
        <f t="shared" si="60"/>
        <v>744590.16393442627</v>
      </c>
      <c r="E232" s="758">
        <f t="shared" si="60"/>
        <v>55114.75409836066</v>
      </c>
      <c r="F232" s="758">
        <f t="shared" si="60"/>
        <v>639344.26229508198</v>
      </c>
      <c r="G232" s="758">
        <f t="shared" si="60"/>
        <v>598360.65573770495</v>
      </c>
      <c r="H232" s="25">
        <f t="shared" si="57"/>
        <v>10996936.836065575</v>
      </c>
      <c r="I232" s="758">
        <v>2700</v>
      </c>
      <c r="J232" s="758">
        <f t="shared" si="53"/>
        <v>4072.9395689131761</v>
      </c>
      <c r="K232" s="666"/>
      <c r="L232" s="843" t="s">
        <v>1241</v>
      </c>
      <c r="M232" s="771">
        <f t="shared" si="58"/>
        <v>41539</v>
      </c>
      <c r="N232" s="771">
        <v>41542</v>
      </c>
      <c r="O232" s="772" t="s">
        <v>935</v>
      </c>
      <c r="P232" s="305">
        <f>I232/6</f>
        <v>450</v>
      </c>
      <c r="Q232" s="803">
        <v>19910.059351276741</v>
      </c>
      <c r="R232" s="25">
        <f t="shared" si="49"/>
        <v>8959527</v>
      </c>
      <c r="S232" s="449"/>
      <c r="T232" s="773"/>
      <c r="U232" s="803"/>
      <c r="V232" s="803"/>
      <c r="W232" s="25"/>
    </row>
    <row r="233" spans="1:23" ht="13.5" customHeight="1">
      <c r="A233" s="757">
        <f t="shared" si="59"/>
        <v>90</v>
      </c>
      <c r="B233" s="297" t="s">
        <v>1151</v>
      </c>
      <c r="C233" s="25">
        <f t="shared" si="55"/>
        <v>9284352</v>
      </c>
      <c r="D233" s="758">
        <f t="shared" si="60"/>
        <v>965209.47176684893</v>
      </c>
      <c r="E233" s="758">
        <f t="shared" si="60"/>
        <v>71445.051608986032</v>
      </c>
      <c r="F233" s="758">
        <f t="shared" si="60"/>
        <v>828779.59927140258</v>
      </c>
      <c r="G233" s="758">
        <f t="shared" si="60"/>
        <v>775652.70188221009</v>
      </c>
      <c r="H233" s="25">
        <f t="shared" si="57"/>
        <v>11925438.824529445</v>
      </c>
      <c r="I233" s="758">
        <v>3500</v>
      </c>
      <c r="J233" s="758">
        <f t="shared" si="53"/>
        <v>3407.2682355798415</v>
      </c>
      <c r="K233" s="666"/>
      <c r="L233" s="192" t="s">
        <v>591</v>
      </c>
      <c r="M233" s="771">
        <f t="shared" si="58"/>
        <v>41540</v>
      </c>
      <c r="N233" s="771">
        <v>41543</v>
      </c>
      <c r="O233" s="772" t="s">
        <v>936</v>
      </c>
      <c r="P233" s="305">
        <v>314</v>
      </c>
      <c r="Q233" s="803">
        <v>29568</v>
      </c>
      <c r="R233" s="25">
        <f t="shared" si="49"/>
        <v>9284352</v>
      </c>
      <c r="S233" s="449"/>
      <c r="T233" s="773"/>
      <c r="U233" s="803"/>
      <c r="V233" s="803"/>
      <c r="W233" s="25"/>
    </row>
    <row r="234" spans="1:23" ht="13.5" customHeight="1">
      <c r="A234" s="757">
        <f t="shared" si="59"/>
        <v>91</v>
      </c>
      <c r="B234" s="297" t="s">
        <v>836</v>
      </c>
      <c r="C234" s="25">
        <f t="shared" si="55"/>
        <v>8496268</v>
      </c>
      <c r="D234" s="758">
        <f t="shared" si="60"/>
        <v>276877.23132969037</v>
      </c>
      <c r="E234" s="758">
        <f t="shared" si="60"/>
        <v>20494.523375834851</v>
      </c>
      <c r="F234" s="758">
        <f t="shared" si="60"/>
        <v>237741.34790528234</v>
      </c>
      <c r="G234" s="758">
        <f t="shared" si="60"/>
        <v>222501.51791135396</v>
      </c>
      <c r="H234" s="25">
        <f t="shared" si="57"/>
        <v>9253882.6205221619</v>
      </c>
      <c r="I234" s="758">
        <v>1004</v>
      </c>
      <c r="J234" s="758">
        <f t="shared" si="53"/>
        <v>9217.0145622730688</v>
      </c>
      <c r="K234" s="666"/>
      <c r="L234" s="192" t="s">
        <v>650</v>
      </c>
      <c r="M234" s="771">
        <f t="shared" si="58"/>
        <v>41544</v>
      </c>
      <c r="N234" s="771">
        <v>41547</v>
      </c>
      <c r="O234" s="772" t="s">
        <v>937</v>
      </c>
      <c r="P234" s="305">
        <f>I234</f>
        <v>1004</v>
      </c>
      <c r="Q234" s="803">
        <v>8462.418420401089</v>
      </c>
      <c r="R234" s="25">
        <f t="shared" si="49"/>
        <v>8496268</v>
      </c>
      <c r="S234" s="449"/>
      <c r="T234" s="773"/>
      <c r="U234" s="803"/>
      <c r="V234" s="803"/>
      <c r="W234" s="25"/>
    </row>
    <row r="235" spans="1:23" ht="13.5" customHeight="1">
      <c r="A235" s="757">
        <f t="shared" si="59"/>
        <v>92</v>
      </c>
      <c r="B235" s="297" t="s">
        <v>938</v>
      </c>
      <c r="C235" s="25">
        <f t="shared" si="55"/>
        <v>9366420</v>
      </c>
      <c r="D235" s="758">
        <f t="shared" si="60"/>
        <v>144781.42076502735</v>
      </c>
      <c r="E235" s="758">
        <f t="shared" si="60"/>
        <v>10716.757741347905</v>
      </c>
      <c r="F235" s="758">
        <f t="shared" si="60"/>
        <v>124316.93989071038</v>
      </c>
      <c r="G235" s="758">
        <f t="shared" si="60"/>
        <v>116347.90528233151</v>
      </c>
      <c r="H235" s="25">
        <f t="shared" si="57"/>
        <v>9762583.0236794185</v>
      </c>
      <c r="I235" s="758">
        <v>525</v>
      </c>
      <c r="J235" s="758">
        <f t="shared" si="53"/>
        <v>18595.396235579843</v>
      </c>
      <c r="K235" s="666"/>
      <c r="L235" s="843" t="s">
        <v>1230</v>
      </c>
      <c r="M235" s="771">
        <f t="shared" si="58"/>
        <v>41544</v>
      </c>
      <c r="N235" s="771">
        <v>41547</v>
      </c>
      <c r="O235" s="772" t="s">
        <v>939</v>
      </c>
      <c r="P235" s="305">
        <f>I235*(4/5)</f>
        <v>420</v>
      </c>
      <c r="Q235" s="803">
        <v>22301</v>
      </c>
      <c r="R235" s="25">
        <f t="shared" si="49"/>
        <v>9366420</v>
      </c>
      <c r="S235" s="449"/>
      <c r="T235" s="773"/>
      <c r="U235" s="803"/>
      <c r="V235" s="803"/>
      <c r="W235" s="25"/>
    </row>
    <row r="236" spans="1:23" ht="13.5" customHeight="1">
      <c r="A236" s="757">
        <f t="shared" si="59"/>
        <v>93</v>
      </c>
      <c r="B236" s="297" t="s">
        <v>940</v>
      </c>
      <c r="C236" s="25">
        <f t="shared" si="55"/>
        <v>5085696</v>
      </c>
      <c r="D236" s="758">
        <f t="shared" si="60"/>
        <v>94866.302367941724</v>
      </c>
      <c r="E236" s="758">
        <f t="shared" si="60"/>
        <v>7022.0279295689134</v>
      </c>
      <c r="F236" s="758">
        <f t="shared" si="60"/>
        <v>81457.194899817856</v>
      </c>
      <c r="G236" s="758">
        <f t="shared" si="60"/>
        <v>76235.579842137216</v>
      </c>
      <c r="H236" s="25">
        <f t="shared" si="57"/>
        <v>5345277.1050394652</v>
      </c>
      <c r="I236" s="758">
        <v>344</v>
      </c>
      <c r="J236" s="758">
        <f t="shared" si="53"/>
        <v>15538.59623557984</v>
      </c>
      <c r="K236" s="666"/>
      <c r="L236" s="192" t="s">
        <v>591</v>
      </c>
      <c r="M236" s="771">
        <f t="shared" si="58"/>
        <v>41544</v>
      </c>
      <c r="N236" s="771">
        <v>41547</v>
      </c>
      <c r="O236" s="772" t="s">
        <v>939</v>
      </c>
      <c r="P236" s="305">
        <f>I236/2</f>
        <v>172</v>
      </c>
      <c r="Q236" s="803">
        <v>29568</v>
      </c>
      <c r="R236" s="25">
        <f t="shared" si="49"/>
        <v>5085696</v>
      </c>
      <c r="S236" s="449"/>
      <c r="T236" s="773"/>
      <c r="U236" s="803"/>
      <c r="V236" s="803"/>
      <c r="W236" s="25"/>
    </row>
    <row r="237" spans="1:23" ht="13.5" customHeight="1">
      <c r="A237" s="757">
        <f t="shared" si="59"/>
        <v>94</v>
      </c>
      <c r="B237" s="297" t="s">
        <v>941</v>
      </c>
      <c r="C237" s="25">
        <f t="shared" si="55"/>
        <v>3881136</v>
      </c>
      <c r="D237" s="758">
        <f t="shared" si="60"/>
        <v>137611.29326047358</v>
      </c>
      <c r="E237" s="758">
        <f t="shared" si="60"/>
        <v>10186.023072252581</v>
      </c>
      <c r="F237" s="758">
        <f t="shared" si="60"/>
        <v>118160.29143897997</v>
      </c>
      <c r="G237" s="758">
        <f t="shared" si="60"/>
        <v>110585.91378263509</v>
      </c>
      <c r="H237" s="25">
        <f t="shared" si="57"/>
        <v>4257679.5215543415</v>
      </c>
      <c r="I237" s="758">
        <v>499</v>
      </c>
      <c r="J237" s="758">
        <f t="shared" si="53"/>
        <v>8532.4238908904645</v>
      </c>
      <c r="K237" s="666"/>
      <c r="L237" s="843" t="s">
        <v>1253</v>
      </c>
      <c r="M237" s="771">
        <f t="shared" si="58"/>
        <v>41544</v>
      </c>
      <c r="N237" s="771">
        <v>41547</v>
      </c>
      <c r="O237" s="772" t="s">
        <v>942</v>
      </c>
      <c r="P237" s="305">
        <v>168</v>
      </c>
      <c r="Q237" s="803">
        <v>23102</v>
      </c>
      <c r="R237" s="25">
        <f t="shared" si="49"/>
        <v>3881136</v>
      </c>
      <c r="S237" s="449"/>
      <c r="T237" s="773"/>
      <c r="U237" s="803"/>
      <c r="V237" s="803"/>
      <c r="W237" s="25"/>
    </row>
    <row r="238" spans="1:23" ht="13.5" customHeight="1">
      <c r="A238" s="757">
        <f t="shared" si="59"/>
        <v>95</v>
      </c>
      <c r="B238" s="297" t="s">
        <v>943</v>
      </c>
      <c r="C238" s="25">
        <f t="shared" si="55"/>
        <v>1764000</v>
      </c>
      <c r="D238" s="758">
        <f t="shared" si="60"/>
        <v>138714.38979963571</v>
      </c>
      <c r="E238" s="758">
        <f t="shared" si="60"/>
        <v>10267.674559805708</v>
      </c>
      <c r="F238" s="758">
        <f t="shared" si="60"/>
        <v>119107.46812386156</v>
      </c>
      <c r="G238" s="758">
        <f t="shared" si="60"/>
        <v>111472.37401335762</v>
      </c>
      <c r="H238" s="25">
        <f t="shared" si="57"/>
        <v>2143561.9064966608</v>
      </c>
      <c r="I238" s="758">
        <v>503</v>
      </c>
      <c r="J238" s="758">
        <f t="shared" si="53"/>
        <v>4261.5544860768605</v>
      </c>
      <c r="K238" s="666"/>
      <c r="L238" s="192" t="s">
        <v>702</v>
      </c>
      <c r="M238" s="771">
        <f t="shared" si="58"/>
        <v>41544</v>
      </c>
      <c r="N238" s="771">
        <v>41547</v>
      </c>
      <c r="O238" s="772" t="s">
        <v>942</v>
      </c>
      <c r="P238" s="305">
        <v>125</v>
      </c>
      <c r="Q238" s="823">
        <v>14112</v>
      </c>
      <c r="R238" s="25">
        <f t="shared" si="49"/>
        <v>1764000</v>
      </c>
      <c r="S238" s="449"/>
      <c r="T238" s="773"/>
      <c r="U238" s="803"/>
      <c r="V238" s="803"/>
      <c r="W238" s="25"/>
    </row>
    <row r="239" spans="1:23" ht="13.5" customHeight="1">
      <c r="A239" s="757">
        <f t="shared" si="59"/>
        <v>96</v>
      </c>
      <c r="B239" s="297" t="s">
        <v>943</v>
      </c>
      <c r="C239" s="25">
        <f t="shared" si="55"/>
        <v>1764000</v>
      </c>
      <c r="D239" s="758">
        <f t="shared" si="60"/>
        <v>138714.38979963571</v>
      </c>
      <c r="E239" s="758">
        <f t="shared" si="60"/>
        <v>10267.674559805708</v>
      </c>
      <c r="F239" s="758">
        <f t="shared" si="60"/>
        <v>119107.46812386156</v>
      </c>
      <c r="G239" s="758">
        <f t="shared" si="60"/>
        <v>111472.37401335762</v>
      </c>
      <c r="H239" s="25">
        <f t="shared" si="57"/>
        <v>2143561.9064966608</v>
      </c>
      <c r="I239" s="758">
        <v>503</v>
      </c>
      <c r="J239" s="758">
        <f t="shared" si="53"/>
        <v>4261.5544860768605</v>
      </c>
      <c r="K239" s="666"/>
      <c r="L239" s="192" t="s">
        <v>702</v>
      </c>
      <c r="M239" s="771">
        <f t="shared" si="58"/>
        <v>41544</v>
      </c>
      <c r="N239" s="771">
        <v>41547</v>
      </c>
      <c r="O239" s="772" t="s">
        <v>942</v>
      </c>
      <c r="P239" s="305">
        <v>125</v>
      </c>
      <c r="Q239" s="823">
        <v>14112</v>
      </c>
      <c r="R239" s="25">
        <f t="shared" si="49"/>
        <v>1764000</v>
      </c>
      <c r="S239" s="449"/>
      <c r="T239" s="773"/>
      <c r="U239" s="803"/>
      <c r="V239" s="803"/>
      <c r="W239" s="25"/>
    </row>
    <row r="240" spans="1:23" ht="13.5" customHeight="1">
      <c r="A240" s="757">
        <f t="shared" si="59"/>
        <v>97</v>
      </c>
      <c r="B240" s="297" t="s">
        <v>944</v>
      </c>
      <c r="C240" s="25">
        <f t="shared" ref="C240:C241" si="61">R240</f>
        <v>1812195</v>
      </c>
      <c r="D240" s="758">
        <f t="shared" si="60"/>
        <v>140644.80874316941</v>
      </c>
      <c r="E240" s="758">
        <f t="shared" si="60"/>
        <v>10410.564663023679</v>
      </c>
      <c r="F240" s="758">
        <f t="shared" si="60"/>
        <v>120765.02732240438</v>
      </c>
      <c r="G240" s="758">
        <f t="shared" si="60"/>
        <v>113023.67941712204</v>
      </c>
      <c r="H240" s="25">
        <f t="shared" ref="H240:H241" si="62">SUM(C240:G240)</f>
        <v>2197039.0801457195</v>
      </c>
      <c r="I240" s="758">
        <v>510</v>
      </c>
      <c r="J240" s="758">
        <f t="shared" ref="J240:J241" si="63">IF(I240&lt;&gt;"",H240/I240,"")</f>
        <v>4307.9197649916068</v>
      </c>
      <c r="K240" s="666"/>
      <c r="L240" s="843" t="s">
        <v>1196</v>
      </c>
      <c r="M240" s="771">
        <f t="shared" si="58"/>
        <v>41544</v>
      </c>
      <c r="N240" s="771">
        <v>41547</v>
      </c>
      <c r="O240" s="772" t="s">
        <v>942</v>
      </c>
      <c r="P240" s="305">
        <v>105</v>
      </c>
      <c r="Q240" s="803">
        <v>17259</v>
      </c>
      <c r="R240" s="25">
        <f t="shared" si="49"/>
        <v>1812195</v>
      </c>
      <c r="S240" s="449"/>
      <c r="T240" s="773"/>
      <c r="U240" s="803"/>
      <c r="V240" s="803"/>
      <c r="W240" s="25"/>
    </row>
    <row r="241" spans="1:23" ht="13.5" customHeight="1">
      <c r="A241" s="757">
        <f t="shared" si="59"/>
        <v>98</v>
      </c>
      <c r="B241" s="297" t="s">
        <v>1135</v>
      </c>
      <c r="C241" s="25">
        <f t="shared" si="61"/>
        <v>14547850</v>
      </c>
      <c r="D241" s="758">
        <f t="shared" si="60"/>
        <v>744590.16393442627</v>
      </c>
      <c r="E241" s="758">
        <f t="shared" si="60"/>
        <v>55114.75409836066</v>
      </c>
      <c r="F241" s="758">
        <f t="shared" si="60"/>
        <v>639344.26229508198</v>
      </c>
      <c r="G241" s="758">
        <f t="shared" si="60"/>
        <v>598360.65573770495</v>
      </c>
      <c r="H241" s="25">
        <f t="shared" si="62"/>
        <v>16585259.836065575</v>
      </c>
      <c r="I241" s="758">
        <v>2700</v>
      </c>
      <c r="J241" s="758">
        <f t="shared" si="63"/>
        <v>6142.688828172435</v>
      </c>
      <c r="K241" s="666"/>
      <c r="L241" s="192" t="s">
        <v>713</v>
      </c>
      <c r="M241" s="771">
        <f t="shared" si="58"/>
        <v>41544</v>
      </c>
      <c r="N241" s="771">
        <v>41547</v>
      </c>
      <c r="O241" s="772" t="s">
        <v>945</v>
      </c>
      <c r="P241" s="305">
        <v>705</v>
      </c>
      <c r="Q241" s="803">
        <v>20635.247863247863</v>
      </c>
      <c r="R241" s="25">
        <f t="shared" si="49"/>
        <v>14547850</v>
      </c>
      <c r="S241" s="449"/>
      <c r="T241" s="773"/>
      <c r="U241" s="803"/>
      <c r="V241" s="803"/>
      <c r="W241" s="25"/>
    </row>
    <row r="242" spans="1:23" s="777" customFormat="1" ht="13.5" customHeight="1">
      <c r="A242" s="757" t="str">
        <f>IF(B242&lt;&gt;"",#REF!+1,"")</f>
        <v/>
      </c>
      <c r="B242" s="789"/>
      <c r="C242" s="25"/>
      <c r="D242" s="758"/>
      <c r="E242" s="758"/>
      <c r="F242" s="758"/>
      <c r="G242" s="758"/>
      <c r="H242" s="25"/>
      <c r="I242" s="257"/>
      <c r="J242" s="758"/>
      <c r="K242" s="666"/>
      <c r="L242" s="449"/>
      <c r="M242" s="773"/>
      <c r="N242" s="771"/>
      <c r="O242" s="772"/>
      <c r="P242" s="305"/>
      <c r="Q242" s="803"/>
      <c r="R242" s="25">
        <f t="shared" si="49"/>
        <v>0</v>
      </c>
      <c r="S242" s="449"/>
      <c r="T242" s="773"/>
      <c r="U242" s="803"/>
      <c r="V242" s="803"/>
      <c r="W242" s="25">
        <f t="shared" si="44"/>
        <v>0</v>
      </c>
    </row>
    <row r="243" spans="1:23" s="755" customFormat="1" ht="13.5" customHeight="1">
      <c r="A243" s="759"/>
      <c r="B243" s="760" t="s">
        <v>249</v>
      </c>
      <c r="C243" s="535">
        <f>SUM(C144:C242)</f>
        <v>490749554</v>
      </c>
      <c r="D243" s="535">
        <v>22710000</v>
      </c>
      <c r="E243" s="535">
        <f>W243</f>
        <v>1681000</v>
      </c>
      <c r="F243" s="535">
        <v>19500000</v>
      </c>
      <c r="G243" s="535">
        <v>18250000</v>
      </c>
      <c r="H243" s="535">
        <f>SUM(H144:H242)</f>
        <v>552890554.00000024</v>
      </c>
      <c r="I243" s="535">
        <f>ROUND(SUM(I144:I242),0)</f>
        <v>82350</v>
      </c>
      <c r="J243" s="535"/>
      <c r="K243" s="768"/>
      <c r="L243" s="778"/>
      <c r="M243" s="779"/>
      <c r="N243" s="779"/>
      <c r="O243" s="780"/>
      <c r="P243" s="822"/>
      <c r="Q243" s="27"/>
      <c r="R243" s="47">
        <f>SUM(R144:R242)</f>
        <v>490749554</v>
      </c>
      <c r="S243" s="778"/>
      <c r="T243" s="779"/>
      <c r="U243" s="792"/>
      <c r="V243" s="27"/>
      <c r="W243" s="47">
        <f>SUM(W144:W242)</f>
        <v>1681000</v>
      </c>
    </row>
    <row r="244" spans="1:23" s="755" customFormat="1" ht="13.5" customHeight="1">
      <c r="A244" s="761"/>
      <c r="B244" s="762"/>
      <c r="C244" s="756"/>
      <c r="D244" s="756"/>
      <c r="E244" s="756"/>
      <c r="F244" s="756"/>
      <c r="G244" s="756"/>
      <c r="H244" s="756">
        <v>584933650</v>
      </c>
      <c r="I244" s="756"/>
      <c r="J244" s="756"/>
      <c r="K244" s="768"/>
      <c r="L244" s="793"/>
      <c r="M244" s="793"/>
      <c r="N244" s="793"/>
      <c r="O244" s="890"/>
      <c r="P244" s="891"/>
      <c r="Q244" s="770"/>
      <c r="R244" s="793"/>
      <c r="S244" s="793"/>
      <c r="T244" s="793"/>
      <c r="U244" s="793"/>
      <c r="V244" s="770"/>
      <c r="W244" s="793"/>
    </row>
    <row r="245" spans="1:23" s="755" customFormat="1">
      <c r="A245" s="761"/>
      <c r="B245" s="762"/>
      <c r="C245" s="756"/>
      <c r="D245" s="756"/>
      <c r="E245" s="756"/>
      <c r="F245" s="756"/>
      <c r="G245" s="756"/>
      <c r="H245" s="756">
        <f>H244-H243</f>
        <v>32043095.999999762</v>
      </c>
      <c r="I245" s="756"/>
      <c r="J245" s="756"/>
      <c r="K245" s="768"/>
      <c r="L245" s="293"/>
      <c r="M245" s="749"/>
      <c r="N245" s="749"/>
      <c r="O245" s="767"/>
      <c r="P245" s="815"/>
      <c r="Q245" s="293"/>
      <c r="R245" s="754"/>
      <c r="S245" s="293"/>
      <c r="T245" s="749"/>
      <c r="U245" s="293"/>
      <c r="V245" s="293"/>
      <c r="W245" s="754"/>
    </row>
    <row r="246" spans="1:23" ht="18" customHeight="1">
      <c r="A246" s="572" t="str">
        <f>TH!$A$1</f>
        <v>Đơn vị: CÔNG TY TNHH SX TM KIM DUNG PHÁT</v>
      </c>
      <c r="B246" s="755"/>
      <c r="C246" s="293"/>
      <c r="D246" s="293"/>
      <c r="E246" s="293"/>
      <c r="F246" s="293"/>
      <c r="G246" s="293"/>
      <c r="H246" s="293"/>
      <c r="I246" s="600"/>
      <c r="J246" s="293"/>
      <c r="K246" s="768"/>
      <c r="L246" s="293"/>
      <c r="M246" s="749"/>
      <c r="N246" s="749"/>
      <c r="S246" s="293"/>
      <c r="T246" s="749"/>
    </row>
    <row r="247" spans="1:23" ht="18.75" customHeight="1">
      <c r="A247" s="756" t="s">
        <v>1166</v>
      </c>
      <c r="B247" s="756"/>
      <c r="C247" s="756"/>
      <c r="D247" s="756"/>
      <c r="E247" s="756"/>
      <c r="F247" s="756"/>
      <c r="G247" s="756"/>
      <c r="H247" s="756"/>
      <c r="I247" s="756"/>
      <c r="J247" s="756"/>
      <c r="K247" s="768"/>
      <c r="L247" s="293"/>
      <c r="M247" s="749"/>
      <c r="N247" s="749"/>
      <c r="S247" s="293"/>
      <c r="T247" s="749"/>
    </row>
    <row r="248" spans="1:23" ht="12.75" customHeight="1">
      <c r="A248" s="807"/>
      <c r="B248" s="799"/>
      <c r="C248" s="799"/>
      <c r="D248" s="799"/>
      <c r="E248" s="799"/>
      <c r="F248" s="799"/>
      <c r="G248" s="799"/>
      <c r="H248" s="799"/>
      <c r="I248" s="769"/>
      <c r="J248" s="799"/>
      <c r="K248" s="768"/>
      <c r="L248" s="293"/>
      <c r="M248" s="749"/>
      <c r="N248" s="749"/>
      <c r="S248" s="293"/>
      <c r="T248" s="749"/>
    </row>
    <row r="249" spans="1:23" s="447" customFormat="1" ht="30.75" customHeight="1">
      <c r="A249" s="826" t="s">
        <v>35</v>
      </c>
      <c r="B249" s="442" t="s">
        <v>240</v>
      </c>
      <c r="C249" s="443" t="s">
        <v>243</v>
      </c>
      <c r="D249" s="443" t="s">
        <v>440</v>
      </c>
      <c r="E249" s="443" t="s">
        <v>244</v>
      </c>
      <c r="F249" s="443" t="s">
        <v>433</v>
      </c>
      <c r="G249" s="444" t="s">
        <v>245</v>
      </c>
      <c r="H249" s="443" t="s">
        <v>246</v>
      </c>
      <c r="I249" s="445" t="s">
        <v>241</v>
      </c>
      <c r="J249" s="443" t="s">
        <v>247</v>
      </c>
      <c r="K249" s="446"/>
      <c r="L249" s="442" t="s">
        <v>240</v>
      </c>
      <c r="M249" s="443" t="s">
        <v>234</v>
      </c>
      <c r="N249" s="443"/>
      <c r="O249" s="750"/>
      <c r="P249" s="817" t="s">
        <v>199</v>
      </c>
      <c r="Q249" s="443" t="s">
        <v>242</v>
      </c>
      <c r="R249" s="443" t="s">
        <v>248</v>
      </c>
      <c r="S249" s="442" t="s">
        <v>240</v>
      </c>
      <c r="T249" s="443" t="s">
        <v>234</v>
      </c>
      <c r="U249" s="443" t="s">
        <v>199</v>
      </c>
      <c r="V249" s="443" t="s">
        <v>242</v>
      </c>
      <c r="W249" s="442" t="s">
        <v>248</v>
      </c>
    </row>
    <row r="250" spans="1:23" ht="16.5" customHeight="1">
      <c r="A250" s="757">
        <v>1</v>
      </c>
      <c r="B250" s="297" t="s">
        <v>938</v>
      </c>
      <c r="C250" s="25">
        <f>R250</f>
        <v>1024000</v>
      </c>
      <c r="D250" s="758">
        <f t="shared" ref="D250:G269" si="64">IF($I$367&lt;&gt;0,D$367/$I$367*$I250,0)</f>
        <v>19823.443148984363</v>
      </c>
      <c r="E250" s="758">
        <f t="shared" si="64"/>
        <v>1464.4345389339799</v>
      </c>
      <c r="F250" s="758">
        <f t="shared" si="64"/>
        <v>19422.705559508078</v>
      </c>
      <c r="G250" s="758">
        <f t="shared" si="64"/>
        <v>15898.828278135119</v>
      </c>
      <c r="H250" s="25">
        <f>SUM(C250:G250)-1</f>
        <v>1080608.4115255615</v>
      </c>
      <c r="I250" s="758">
        <v>60</v>
      </c>
      <c r="J250" s="758">
        <f>IF(I250&lt;&gt;"",H250/I250,"")</f>
        <v>18010.140192092691</v>
      </c>
      <c r="K250" s="666"/>
      <c r="L250" s="192" t="s">
        <v>688</v>
      </c>
      <c r="M250" s="771">
        <f>N250-3</f>
        <v>41545</v>
      </c>
      <c r="N250" s="771">
        <v>41548</v>
      </c>
      <c r="O250" s="772" t="s">
        <v>946</v>
      </c>
      <c r="P250" s="305">
        <v>64</v>
      </c>
      <c r="Q250" s="794">
        <v>16000</v>
      </c>
      <c r="R250" s="25">
        <f t="shared" ref="R250:R366" si="65">ROUND(P250*Q250,0)</f>
        <v>1024000</v>
      </c>
      <c r="S250" s="448" t="s">
        <v>373</v>
      </c>
      <c r="T250" s="771">
        <v>41548</v>
      </c>
      <c r="U250" s="803">
        <v>25</v>
      </c>
      <c r="V250" s="803">
        <v>25000</v>
      </c>
      <c r="W250" s="25">
        <f t="shared" ref="W250:W366" si="66">ROUND(U250*V250,0)</f>
        <v>625000</v>
      </c>
    </row>
    <row r="251" spans="1:23" ht="16.5" customHeight="1">
      <c r="A251" s="757">
        <f t="shared" ref="A251:A313" si="67">IF(B251&lt;&gt;"",A250+1,"")</f>
        <v>2</v>
      </c>
      <c r="B251" s="297" t="s">
        <v>940</v>
      </c>
      <c r="C251" s="25">
        <f t="shared" ref="C251:C314" si="68">R251</f>
        <v>1448832</v>
      </c>
      <c r="D251" s="758">
        <f t="shared" si="64"/>
        <v>32378.290476674458</v>
      </c>
      <c r="E251" s="758">
        <f t="shared" si="64"/>
        <v>2391.9097469255007</v>
      </c>
      <c r="F251" s="758">
        <f t="shared" si="64"/>
        <v>31723.752413863196</v>
      </c>
      <c r="G251" s="758">
        <f t="shared" si="64"/>
        <v>25968.086187620695</v>
      </c>
      <c r="H251" s="25">
        <f t="shared" ref="H251:H252" si="69">SUM(C251:G251)-1</f>
        <v>1541293.0388250838</v>
      </c>
      <c r="I251" s="758">
        <v>98</v>
      </c>
      <c r="J251" s="758">
        <f t="shared" ref="J251" si="70">IF(I251&lt;&gt;"",H251/I251,"")</f>
        <v>15727.479988011059</v>
      </c>
      <c r="K251" s="666"/>
      <c r="L251" s="192" t="s">
        <v>630</v>
      </c>
      <c r="M251" s="771">
        <f t="shared" ref="M251:M314" si="71">N251-3</f>
        <v>41545</v>
      </c>
      <c r="N251" s="771">
        <v>41548</v>
      </c>
      <c r="O251" s="772" t="s">
        <v>946</v>
      </c>
      <c r="P251" s="305">
        <f>I251</f>
        <v>98</v>
      </c>
      <c r="Q251" s="801">
        <v>14784</v>
      </c>
      <c r="R251" s="25">
        <f t="shared" si="65"/>
        <v>1448832</v>
      </c>
      <c r="S251" s="449" t="s">
        <v>346</v>
      </c>
      <c r="T251" s="771">
        <v>41548</v>
      </c>
      <c r="U251" s="801">
        <v>24</v>
      </c>
      <c r="V251" s="801">
        <v>44000</v>
      </c>
      <c r="W251" s="25">
        <f t="shared" si="66"/>
        <v>1056000</v>
      </c>
    </row>
    <row r="252" spans="1:23" ht="16.5" customHeight="1">
      <c r="A252" s="757">
        <f t="shared" si="67"/>
        <v>3</v>
      </c>
      <c r="B252" s="297" t="s">
        <v>1154</v>
      </c>
      <c r="C252" s="25">
        <f t="shared" si="68"/>
        <v>5770402</v>
      </c>
      <c r="D252" s="758">
        <f t="shared" si="64"/>
        <v>513427.17755869497</v>
      </c>
      <c r="E252" s="758">
        <f t="shared" si="64"/>
        <v>37928.854558390078</v>
      </c>
      <c r="F252" s="758">
        <f t="shared" si="64"/>
        <v>503048.07399125927</v>
      </c>
      <c r="G252" s="758">
        <f t="shared" si="64"/>
        <v>411779.65240369958</v>
      </c>
      <c r="H252" s="25">
        <f t="shared" si="69"/>
        <v>7236584.7585120434</v>
      </c>
      <c r="I252" s="758">
        <v>1554</v>
      </c>
      <c r="J252" s="758">
        <f t="shared" ref="J252:J315" si="72">IF(I252&lt;&gt;"",H252/I252,"")</f>
        <v>4656.7469488494489</v>
      </c>
      <c r="K252" s="666"/>
      <c r="L252" s="192" t="s">
        <v>611</v>
      </c>
      <c r="M252" s="771">
        <f t="shared" si="71"/>
        <v>41545</v>
      </c>
      <c r="N252" s="771">
        <v>41548</v>
      </c>
      <c r="O252" s="772" t="s">
        <v>947</v>
      </c>
      <c r="P252" s="305">
        <v>682</v>
      </c>
      <c r="Q252" s="801">
        <v>8461</v>
      </c>
      <c r="R252" s="25">
        <f t="shared" ref="R252:R315" si="73">ROUND(P252*Q252,0)</f>
        <v>5770402</v>
      </c>
      <c r="S252" s="449"/>
      <c r="T252" s="771"/>
      <c r="U252" s="801"/>
      <c r="V252" s="801"/>
      <c r="W252" s="25">
        <f t="shared" ref="W252:W315" si="74">ROUND(U252*V252,0)</f>
        <v>0</v>
      </c>
    </row>
    <row r="253" spans="1:23" ht="16.5" customHeight="1">
      <c r="A253" s="757">
        <f t="shared" si="67"/>
        <v>4</v>
      </c>
      <c r="B253" s="297" t="s">
        <v>874</v>
      </c>
      <c r="C253" s="25">
        <f t="shared" si="68"/>
        <v>5506775</v>
      </c>
      <c r="D253" s="758">
        <f t="shared" si="64"/>
        <v>173455.12755361316</v>
      </c>
      <c r="E253" s="758">
        <f t="shared" si="64"/>
        <v>12813.802215672324</v>
      </c>
      <c r="F253" s="758">
        <f t="shared" si="64"/>
        <v>169948.6736456957</v>
      </c>
      <c r="G253" s="758">
        <f t="shared" si="64"/>
        <v>139114.74743368229</v>
      </c>
      <c r="H253" s="25">
        <f t="shared" ref="H253:H281" si="75">SUM(C253:G253)</f>
        <v>6002107.3508486627</v>
      </c>
      <c r="I253" s="758">
        <v>525</v>
      </c>
      <c r="J253" s="758">
        <f t="shared" si="72"/>
        <v>11432.585430187928</v>
      </c>
      <c r="K253" s="666"/>
      <c r="L253" s="192" t="s">
        <v>674</v>
      </c>
      <c r="M253" s="771">
        <f t="shared" si="71"/>
        <v>41545</v>
      </c>
      <c r="N253" s="771">
        <v>41548</v>
      </c>
      <c r="O253" s="772" t="s">
        <v>947</v>
      </c>
      <c r="P253" s="305">
        <v>575</v>
      </c>
      <c r="Q253" s="801">
        <v>9577</v>
      </c>
      <c r="R253" s="25">
        <f t="shared" si="73"/>
        <v>5506775</v>
      </c>
      <c r="S253" s="449"/>
      <c r="T253" s="771"/>
      <c r="U253" s="753"/>
      <c r="V253" s="256"/>
      <c r="W253" s="25">
        <f t="shared" si="74"/>
        <v>0</v>
      </c>
    </row>
    <row r="254" spans="1:23" ht="16.5" customHeight="1">
      <c r="A254" s="757">
        <f t="shared" si="67"/>
        <v>5</v>
      </c>
      <c r="B254" s="297" t="s">
        <v>845</v>
      </c>
      <c r="C254" s="25">
        <f t="shared" si="68"/>
        <v>3840000</v>
      </c>
      <c r="D254" s="758">
        <f t="shared" si="64"/>
        <v>72685.958212942656</v>
      </c>
      <c r="E254" s="758">
        <f t="shared" si="64"/>
        <v>5369.5933094245929</v>
      </c>
      <c r="F254" s="758">
        <f t="shared" si="64"/>
        <v>71216.587051529626</v>
      </c>
      <c r="G254" s="758">
        <f t="shared" si="64"/>
        <v>58295.703686495443</v>
      </c>
      <c r="H254" s="25">
        <f t="shared" si="75"/>
        <v>4047567.8422603924</v>
      </c>
      <c r="I254" s="758">
        <v>220</v>
      </c>
      <c r="J254" s="758">
        <f t="shared" si="72"/>
        <v>18398.035646638145</v>
      </c>
      <c r="K254" s="666"/>
      <c r="L254" s="192" t="s">
        <v>688</v>
      </c>
      <c r="M254" s="771">
        <f t="shared" si="71"/>
        <v>41545</v>
      </c>
      <c r="N254" s="771">
        <v>41548</v>
      </c>
      <c r="O254" s="772" t="s">
        <v>948</v>
      </c>
      <c r="P254" s="305">
        <v>240</v>
      </c>
      <c r="Q254" s="801">
        <v>16000</v>
      </c>
      <c r="R254" s="25">
        <f t="shared" si="73"/>
        <v>3840000</v>
      </c>
      <c r="S254" s="449"/>
      <c r="T254" s="771"/>
      <c r="U254" s="803"/>
      <c r="V254" s="801"/>
      <c r="W254" s="25">
        <f t="shared" si="74"/>
        <v>0</v>
      </c>
    </row>
    <row r="255" spans="1:23" ht="16.5" customHeight="1">
      <c r="A255" s="757">
        <f t="shared" si="67"/>
        <v>6</v>
      </c>
      <c r="B255" s="297" t="s">
        <v>1151</v>
      </c>
      <c r="C255" s="25">
        <f t="shared" si="68"/>
        <v>9656000</v>
      </c>
      <c r="D255" s="758">
        <f t="shared" si="64"/>
        <v>1122337.2729516646</v>
      </c>
      <c r="E255" s="758">
        <f t="shared" si="64"/>
        <v>82911.402145978835</v>
      </c>
      <c r="F255" s="758">
        <f t="shared" si="64"/>
        <v>1099648.8464274826</v>
      </c>
      <c r="G255" s="758">
        <f t="shared" si="64"/>
        <v>900138.66101375001</v>
      </c>
      <c r="H255" s="25">
        <f t="shared" si="75"/>
        <v>12861036.182538876</v>
      </c>
      <c r="I255" s="758">
        <v>3397</v>
      </c>
      <c r="J255" s="758">
        <f t="shared" si="72"/>
        <v>3785.9982874709676</v>
      </c>
      <c r="K255" s="666"/>
      <c r="L255" s="192" t="s">
        <v>644</v>
      </c>
      <c r="M255" s="771">
        <f t="shared" si="71"/>
        <v>41546</v>
      </c>
      <c r="N255" s="771">
        <v>41549</v>
      </c>
      <c r="O255" s="772" t="s">
        <v>949</v>
      </c>
      <c r="P255" s="305">
        <v>500</v>
      </c>
      <c r="Q255" s="801">
        <v>19312</v>
      </c>
      <c r="R255" s="25">
        <f t="shared" si="73"/>
        <v>9656000</v>
      </c>
      <c r="S255" s="449"/>
      <c r="T255" s="771"/>
      <c r="U255" s="803"/>
      <c r="V255" s="801"/>
      <c r="W255" s="25">
        <f t="shared" si="74"/>
        <v>0</v>
      </c>
    </row>
    <row r="256" spans="1:23" ht="16.5" customHeight="1">
      <c r="A256" s="757">
        <f t="shared" si="67"/>
        <v>7</v>
      </c>
      <c r="B256" s="297" t="s">
        <v>944</v>
      </c>
      <c r="C256" s="25">
        <f t="shared" si="68"/>
        <v>1787600</v>
      </c>
      <c r="D256" s="758">
        <f t="shared" si="64"/>
        <v>163213.01525997126</v>
      </c>
      <c r="E256" s="758">
        <f t="shared" si="64"/>
        <v>12057.177703889769</v>
      </c>
      <c r="F256" s="758">
        <f t="shared" si="64"/>
        <v>159913.60910661652</v>
      </c>
      <c r="G256" s="758">
        <f t="shared" si="64"/>
        <v>130900.35282331248</v>
      </c>
      <c r="H256" s="25">
        <f t="shared" si="75"/>
        <v>2253684.1548937899</v>
      </c>
      <c r="I256" s="758">
        <v>494</v>
      </c>
      <c r="J256" s="758">
        <f t="shared" si="72"/>
        <v>4562.1136738740688</v>
      </c>
      <c r="K256" s="666"/>
      <c r="L256" s="843" t="s">
        <v>1204</v>
      </c>
      <c r="M256" s="771">
        <f t="shared" si="71"/>
        <v>41547</v>
      </c>
      <c r="N256" s="771">
        <v>41550</v>
      </c>
      <c r="O256" s="772" t="s">
        <v>951</v>
      </c>
      <c r="P256" s="305">
        <v>100</v>
      </c>
      <c r="Q256" s="801">
        <v>17876</v>
      </c>
      <c r="R256" s="25">
        <f t="shared" si="73"/>
        <v>1787600</v>
      </c>
      <c r="S256" s="449"/>
      <c r="T256" s="771"/>
      <c r="U256" s="803"/>
      <c r="V256" s="801"/>
      <c r="W256" s="25">
        <f t="shared" si="74"/>
        <v>0</v>
      </c>
    </row>
    <row r="257" spans="1:23" ht="16.5" customHeight="1">
      <c r="A257" s="757">
        <f t="shared" si="67"/>
        <v>8</v>
      </c>
      <c r="B257" s="297" t="s">
        <v>952</v>
      </c>
      <c r="C257" s="25">
        <f t="shared" si="68"/>
        <v>1895250</v>
      </c>
      <c r="D257" s="758">
        <f t="shared" si="64"/>
        <v>168168.87604721735</v>
      </c>
      <c r="E257" s="758">
        <f t="shared" si="64"/>
        <v>12423.286338623264</v>
      </c>
      <c r="F257" s="758">
        <f t="shared" si="64"/>
        <v>164769.28549649354</v>
      </c>
      <c r="G257" s="758">
        <f t="shared" si="64"/>
        <v>134875.05989284627</v>
      </c>
      <c r="H257" s="25">
        <f t="shared" si="75"/>
        <v>2375486.50777518</v>
      </c>
      <c r="I257" s="758">
        <v>509</v>
      </c>
      <c r="J257" s="758">
        <f t="shared" si="72"/>
        <v>4666.9675987724559</v>
      </c>
      <c r="K257" s="666"/>
      <c r="L257" s="843" t="s">
        <v>1232</v>
      </c>
      <c r="M257" s="771">
        <f t="shared" si="71"/>
        <v>41547</v>
      </c>
      <c r="N257" s="771">
        <v>41550</v>
      </c>
      <c r="O257" s="772" t="s">
        <v>951</v>
      </c>
      <c r="P257" s="305">
        <v>150</v>
      </c>
      <c r="Q257" s="801">
        <v>12635</v>
      </c>
      <c r="R257" s="25">
        <f t="shared" si="73"/>
        <v>1895250</v>
      </c>
      <c r="S257" s="449"/>
      <c r="T257" s="771"/>
      <c r="U257" s="803"/>
      <c r="V257" s="801"/>
      <c r="W257" s="25">
        <f t="shared" si="74"/>
        <v>0</v>
      </c>
    </row>
    <row r="258" spans="1:23" ht="16.5" customHeight="1">
      <c r="A258" s="757">
        <f t="shared" si="67"/>
        <v>9</v>
      </c>
      <c r="B258" s="297" t="s">
        <v>1151</v>
      </c>
      <c r="C258" s="25">
        <f t="shared" si="68"/>
        <v>310245</v>
      </c>
      <c r="D258" s="758">
        <f t="shared" si="64"/>
        <v>34030.244072423156</v>
      </c>
      <c r="E258" s="758">
        <f t="shared" si="64"/>
        <v>2513.9459585033323</v>
      </c>
      <c r="F258" s="758">
        <f t="shared" si="64"/>
        <v>33342.311210488871</v>
      </c>
      <c r="G258" s="758">
        <f t="shared" si="64"/>
        <v>27292.988544131957</v>
      </c>
      <c r="H258" s="25">
        <f t="shared" si="75"/>
        <v>407424.48978554737</v>
      </c>
      <c r="I258" s="758">
        <v>103</v>
      </c>
      <c r="J258" s="758">
        <f t="shared" si="72"/>
        <v>3955.5775707334697</v>
      </c>
      <c r="K258" s="666"/>
      <c r="L258" s="192" t="s">
        <v>628</v>
      </c>
      <c r="M258" s="771">
        <f t="shared" si="71"/>
        <v>41549</v>
      </c>
      <c r="N258" s="771">
        <v>41552</v>
      </c>
      <c r="O258" s="772" t="s">
        <v>953</v>
      </c>
      <c r="P258" s="305">
        <v>37</v>
      </c>
      <c r="Q258" s="801">
        <v>8385</v>
      </c>
      <c r="R258" s="25">
        <f t="shared" si="73"/>
        <v>310245</v>
      </c>
      <c r="S258" s="449"/>
      <c r="T258" s="771"/>
      <c r="U258" s="803"/>
      <c r="V258" s="801"/>
      <c r="W258" s="25">
        <f t="shared" si="74"/>
        <v>0</v>
      </c>
    </row>
    <row r="259" spans="1:23" ht="16.5" customHeight="1">
      <c r="A259" s="757">
        <f t="shared" si="67"/>
        <v>10</v>
      </c>
      <c r="B259" s="297" t="s">
        <v>1148</v>
      </c>
      <c r="C259" s="25">
        <f t="shared" si="68"/>
        <v>8982052</v>
      </c>
      <c r="D259" s="758">
        <f t="shared" si="64"/>
        <v>878178.53150000726</v>
      </c>
      <c r="E259" s="758">
        <f t="shared" si="64"/>
        <v>64874.450074775312</v>
      </c>
      <c r="F259" s="758">
        <f t="shared" si="64"/>
        <v>860425.85628620791</v>
      </c>
      <c r="G259" s="758">
        <f t="shared" si="64"/>
        <v>704318.09272138576</v>
      </c>
      <c r="H259" s="25">
        <f t="shared" si="75"/>
        <v>11489848.930582376</v>
      </c>
      <c r="I259" s="758">
        <v>2658</v>
      </c>
      <c r="J259" s="758">
        <f t="shared" si="72"/>
        <v>4322.7422613176732</v>
      </c>
      <c r="K259" s="666"/>
      <c r="L259" s="192" t="s">
        <v>716</v>
      </c>
      <c r="M259" s="771">
        <f t="shared" si="71"/>
        <v>41549</v>
      </c>
      <c r="N259" s="771">
        <v>41552</v>
      </c>
      <c r="O259" s="772" t="s">
        <v>953</v>
      </c>
      <c r="P259" s="305">
        <v>410</v>
      </c>
      <c r="Q259" s="801">
        <v>21907.443037974685</v>
      </c>
      <c r="R259" s="25">
        <f t="shared" si="73"/>
        <v>8982052</v>
      </c>
      <c r="S259" s="449"/>
      <c r="T259" s="771"/>
      <c r="U259" s="803"/>
      <c r="V259" s="801"/>
      <c r="W259" s="25">
        <f t="shared" si="74"/>
        <v>0</v>
      </c>
    </row>
    <row r="260" spans="1:23" ht="16.5" customHeight="1">
      <c r="A260" s="757">
        <f t="shared" si="67"/>
        <v>11</v>
      </c>
      <c r="B260" s="297" t="s">
        <v>1135</v>
      </c>
      <c r="C260" s="25">
        <f t="shared" si="68"/>
        <v>12598370</v>
      </c>
      <c r="D260" s="758">
        <f t="shared" si="64"/>
        <v>746683.02527841099</v>
      </c>
      <c r="E260" s="758">
        <f t="shared" si="64"/>
        <v>55160.367633179914</v>
      </c>
      <c r="F260" s="758">
        <f t="shared" si="64"/>
        <v>731588.5760748043</v>
      </c>
      <c r="G260" s="758">
        <f t="shared" si="64"/>
        <v>598855.86514308956</v>
      </c>
      <c r="H260" s="25">
        <f t="shared" si="75"/>
        <v>14730657.834129486</v>
      </c>
      <c r="I260" s="758">
        <v>2260</v>
      </c>
      <c r="J260" s="758">
        <f t="shared" si="72"/>
        <v>6517.9901920926932</v>
      </c>
      <c r="K260" s="666"/>
      <c r="L260" s="192" t="s">
        <v>719</v>
      </c>
      <c r="M260" s="771">
        <f t="shared" si="71"/>
        <v>41549</v>
      </c>
      <c r="N260" s="771">
        <v>41552</v>
      </c>
      <c r="O260" s="772" t="s">
        <v>954</v>
      </c>
      <c r="P260" s="305">
        <f>I260/2</f>
        <v>1130</v>
      </c>
      <c r="Q260" s="801">
        <v>11149</v>
      </c>
      <c r="R260" s="25">
        <f t="shared" si="73"/>
        <v>12598370</v>
      </c>
      <c r="S260" s="449"/>
      <c r="T260" s="771"/>
      <c r="U260" s="803"/>
      <c r="V260" s="801"/>
      <c r="W260" s="25">
        <f t="shared" si="74"/>
        <v>0</v>
      </c>
    </row>
    <row r="261" spans="1:23" ht="16.5" customHeight="1">
      <c r="A261" s="757">
        <f t="shared" si="67"/>
        <v>12</v>
      </c>
      <c r="B261" s="297" t="s">
        <v>865</v>
      </c>
      <c r="C261" s="25">
        <f t="shared" si="68"/>
        <v>9728680</v>
      </c>
      <c r="D261" s="758">
        <f t="shared" si="64"/>
        <v>170481.61108126552</v>
      </c>
      <c r="E261" s="758">
        <f t="shared" si="64"/>
        <v>12594.137034832227</v>
      </c>
      <c r="F261" s="758">
        <f t="shared" si="64"/>
        <v>167035.26781176947</v>
      </c>
      <c r="G261" s="758">
        <f t="shared" si="64"/>
        <v>136729.92319196204</v>
      </c>
      <c r="H261" s="25">
        <f t="shared" si="75"/>
        <v>10215520.939119829</v>
      </c>
      <c r="I261" s="758">
        <v>516</v>
      </c>
      <c r="J261" s="758">
        <f t="shared" si="72"/>
        <v>19797.521199844628</v>
      </c>
      <c r="K261" s="666"/>
      <c r="L261" s="192" t="s">
        <v>679</v>
      </c>
      <c r="M261" s="771">
        <f t="shared" si="71"/>
        <v>41552</v>
      </c>
      <c r="N261" s="771">
        <v>41555</v>
      </c>
      <c r="O261" s="772" t="s">
        <v>955</v>
      </c>
      <c r="P261" s="305">
        <v>520</v>
      </c>
      <c r="Q261" s="801">
        <v>18709</v>
      </c>
      <c r="R261" s="25">
        <f t="shared" si="73"/>
        <v>9728680</v>
      </c>
      <c r="S261" s="449"/>
      <c r="T261" s="771"/>
      <c r="U261" s="803"/>
      <c r="V261" s="801"/>
      <c r="W261" s="25">
        <f t="shared" si="74"/>
        <v>0</v>
      </c>
    </row>
    <row r="262" spans="1:23" ht="16.5" customHeight="1">
      <c r="A262" s="757">
        <f t="shared" si="67"/>
        <v>13</v>
      </c>
      <c r="B262" s="297" t="s">
        <v>1129</v>
      </c>
      <c r="C262" s="25">
        <f t="shared" si="68"/>
        <v>1691152</v>
      </c>
      <c r="D262" s="758">
        <f t="shared" si="64"/>
        <v>100438.77862152077</v>
      </c>
      <c r="E262" s="758">
        <f t="shared" si="64"/>
        <v>7419.801663932165</v>
      </c>
      <c r="F262" s="758">
        <f t="shared" si="64"/>
        <v>98408.374834840943</v>
      </c>
      <c r="G262" s="758">
        <f t="shared" si="64"/>
        <v>80554.063275884604</v>
      </c>
      <c r="H262" s="25">
        <f t="shared" si="75"/>
        <v>1977973.0183961785</v>
      </c>
      <c r="I262" s="758">
        <v>304</v>
      </c>
      <c r="J262" s="758">
        <f t="shared" si="72"/>
        <v>6506.4901920926923</v>
      </c>
      <c r="K262" s="666"/>
      <c r="L262" s="192" t="s">
        <v>634</v>
      </c>
      <c r="M262" s="771">
        <f t="shared" si="71"/>
        <v>41554</v>
      </c>
      <c r="N262" s="771">
        <v>41557</v>
      </c>
      <c r="O262" s="772" t="s">
        <v>956</v>
      </c>
      <c r="P262" s="305">
        <f>I262/2</f>
        <v>152</v>
      </c>
      <c r="Q262" s="801">
        <v>11126</v>
      </c>
      <c r="R262" s="25">
        <f t="shared" si="73"/>
        <v>1691152</v>
      </c>
      <c r="S262" s="449"/>
      <c r="T262" s="771"/>
      <c r="U262" s="803"/>
      <c r="V262" s="801"/>
      <c r="W262" s="25">
        <f t="shared" si="74"/>
        <v>0</v>
      </c>
    </row>
    <row r="263" spans="1:23" ht="16.5" customHeight="1">
      <c r="A263" s="757">
        <f t="shared" si="67"/>
        <v>14</v>
      </c>
      <c r="B263" s="297" t="s">
        <v>836</v>
      </c>
      <c r="C263" s="25">
        <f t="shared" si="68"/>
        <v>8500000</v>
      </c>
      <c r="D263" s="758">
        <f t="shared" si="64"/>
        <v>329069.1562731404</v>
      </c>
      <c r="E263" s="758">
        <f t="shared" si="64"/>
        <v>24309.613346304068</v>
      </c>
      <c r="F263" s="758">
        <f t="shared" si="64"/>
        <v>322416.9122878341</v>
      </c>
      <c r="G263" s="758">
        <f t="shared" si="64"/>
        <v>263920.54941704299</v>
      </c>
      <c r="H263" s="25">
        <f t="shared" si="75"/>
        <v>9439716.2313243207</v>
      </c>
      <c r="I263" s="758">
        <v>996</v>
      </c>
      <c r="J263" s="758">
        <f t="shared" si="72"/>
        <v>9477.6267382774313</v>
      </c>
      <c r="K263" s="666"/>
      <c r="L263" s="192" t="s">
        <v>685</v>
      </c>
      <c r="M263" s="771">
        <f t="shared" si="71"/>
        <v>41560</v>
      </c>
      <c r="N263" s="771">
        <v>41563</v>
      </c>
      <c r="O263" s="772" t="s">
        <v>957</v>
      </c>
      <c r="P263" s="305">
        <v>1000</v>
      </c>
      <c r="Q263" s="801">
        <v>8500</v>
      </c>
      <c r="R263" s="25">
        <f t="shared" si="73"/>
        <v>8500000</v>
      </c>
      <c r="S263" s="449"/>
      <c r="T263" s="771"/>
      <c r="U263" s="803"/>
      <c r="V263" s="801"/>
      <c r="W263" s="25">
        <f t="shared" si="74"/>
        <v>0</v>
      </c>
    </row>
    <row r="264" spans="1:23" ht="16.5" customHeight="1">
      <c r="A264" s="757">
        <f t="shared" si="67"/>
        <v>15</v>
      </c>
      <c r="B264" s="297" t="s">
        <v>1158</v>
      </c>
      <c r="C264" s="25">
        <f t="shared" si="68"/>
        <v>5463010</v>
      </c>
      <c r="D264" s="758">
        <f t="shared" si="64"/>
        <v>462547.00680963509</v>
      </c>
      <c r="E264" s="758">
        <f t="shared" si="64"/>
        <v>34170.139241792866</v>
      </c>
      <c r="F264" s="758">
        <f t="shared" si="64"/>
        <v>453196.46305518853</v>
      </c>
      <c r="G264" s="758">
        <f t="shared" si="64"/>
        <v>370972.65982315282</v>
      </c>
      <c r="H264" s="25">
        <f t="shared" si="75"/>
        <v>6783896.2689297702</v>
      </c>
      <c r="I264" s="758">
        <v>1400</v>
      </c>
      <c r="J264" s="758">
        <f t="shared" si="72"/>
        <v>4845.6401920926928</v>
      </c>
      <c r="K264" s="666"/>
      <c r="L264" s="192" t="s">
        <v>719</v>
      </c>
      <c r="M264" s="771">
        <f t="shared" si="71"/>
        <v>41560</v>
      </c>
      <c r="N264" s="771">
        <v>41563</v>
      </c>
      <c r="O264" s="772" t="s">
        <v>958</v>
      </c>
      <c r="P264" s="305">
        <v>490</v>
      </c>
      <c r="Q264" s="801">
        <v>11149</v>
      </c>
      <c r="R264" s="25">
        <f t="shared" si="73"/>
        <v>5463010</v>
      </c>
      <c r="S264" s="449"/>
      <c r="T264" s="771"/>
      <c r="U264" s="803"/>
      <c r="V264" s="801"/>
      <c r="W264" s="25">
        <f t="shared" si="74"/>
        <v>0</v>
      </c>
    </row>
    <row r="265" spans="1:23" ht="16.5" customHeight="1">
      <c r="A265" s="757">
        <f t="shared" si="67"/>
        <v>16</v>
      </c>
      <c r="B265" s="297" t="s">
        <v>1148</v>
      </c>
      <c r="C265" s="25">
        <f t="shared" si="68"/>
        <v>16800000</v>
      </c>
      <c r="D265" s="758">
        <f t="shared" si="64"/>
        <v>1781136.366936245</v>
      </c>
      <c r="E265" s="758">
        <f t="shared" si="64"/>
        <v>131579.44332321809</v>
      </c>
      <c r="F265" s="758">
        <f t="shared" si="64"/>
        <v>1745130.094521801</v>
      </c>
      <c r="G265" s="758">
        <f t="shared" si="64"/>
        <v>1428509.7207904404</v>
      </c>
      <c r="H265" s="25">
        <f t="shared" si="75"/>
        <v>21886355.625571705</v>
      </c>
      <c r="I265" s="758">
        <v>5391</v>
      </c>
      <c r="J265" s="758">
        <f t="shared" si="72"/>
        <v>4059.7951447916353</v>
      </c>
      <c r="K265" s="666"/>
      <c r="L265" s="192" t="s">
        <v>703</v>
      </c>
      <c r="M265" s="771">
        <f t="shared" si="71"/>
        <v>41560</v>
      </c>
      <c r="N265" s="771">
        <v>41563</v>
      </c>
      <c r="O265" s="772" t="s">
        <v>959</v>
      </c>
      <c r="P265" s="305">
        <v>1000</v>
      </c>
      <c r="Q265" s="801">
        <v>16800</v>
      </c>
      <c r="R265" s="25">
        <f t="shared" si="73"/>
        <v>16800000</v>
      </c>
      <c r="S265" s="449"/>
      <c r="T265" s="771"/>
      <c r="U265" s="803"/>
      <c r="V265" s="801"/>
      <c r="W265" s="25">
        <f t="shared" si="74"/>
        <v>0</v>
      </c>
    </row>
    <row r="266" spans="1:23" ht="16.5" customHeight="1">
      <c r="A266" s="757">
        <f t="shared" si="67"/>
        <v>17</v>
      </c>
      <c r="B266" s="297" t="s">
        <v>938</v>
      </c>
      <c r="C266" s="25">
        <f t="shared" si="68"/>
        <v>1696000</v>
      </c>
      <c r="D266" s="758">
        <f t="shared" si="64"/>
        <v>33039.071914973938</v>
      </c>
      <c r="E266" s="758">
        <f t="shared" si="64"/>
        <v>2440.7242315566332</v>
      </c>
      <c r="F266" s="758">
        <f t="shared" si="64"/>
        <v>32371.175932513466</v>
      </c>
      <c r="G266" s="758">
        <f t="shared" si="64"/>
        <v>26498.047130225201</v>
      </c>
      <c r="H266" s="25">
        <f t="shared" si="75"/>
        <v>1790349.0192092692</v>
      </c>
      <c r="I266" s="758">
        <v>100</v>
      </c>
      <c r="J266" s="758">
        <f t="shared" si="72"/>
        <v>17903.490192092693</v>
      </c>
      <c r="K266" s="666"/>
      <c r="L266" s="192" t="s">
        <v>688</v>
      </c>
      <c r="M266" s="771">
        <f t="shared" si="71"/>
        <v>41562</v>
      </c>
      <c r="N266" s="771">
        <v>41565</v>
      </c>
      <c r="O266" s="772" t="s">
        <v>960</v>
      </c>
      <c r="P266" s="305">
        <v>106</v>
      </c>
      <c r="Q266" s="794">
        <v>16000</v>
      </c>
      <c r="R266" s="25">
        <f t="shared" si="73"/>
        <v>1696000</v>
      </c>
      <c r="S266" s="449"/>
      <c r="T266" s="771"/>
      <c r="U266" s="803"/>
      <c r="V266" s="801"/>
      <c r="W266" s="25">
        <f t="shared" si="74"/>
        <v>0</v>
      </c>
    </row>
    <row r="267" spans="1:23" ht="16.5" customHeight="1">
      <c r="A267" s="757">
        <f t="shared" si="67"/>
        <v>18</v>
      </c>
      <c r="B267" s="297" t="s">
        <v>1140</v>
      </c>
      <c r="C267" s="25">
        <f t="shared" si="68"/>
        <v>4324168</v>
      </c>
      <c r="D267" s="758">
        <f t="shared" si="64"/>
        <v>382262.06205624843</v>
      </c>
      <c r="E267" s="758">
        <f t="shared" si="64"/>
        <v>28239.179359110247</v>
      </c>
      <c r="F267" s="758">
        <f t="shared" si="64"/>
        <v>374534.50553918083</v>
      </c>
      <c r="G267" s="758">
        <f t="shared" si="64"/>
        <v>306582.40529670555</v>
      </c>
      <c r="H267" s="25">
        <f t="shared" si="75"/>
        <v>5415786.1522512445</v>
      </c>
      <c r="I267" s="758">
        <v>1157</v>
      </c>
      <c r="J267" s="758">
        <f t="shared" si="72"/>
        <v>4680.8869077365989</v>
      </c>
      <c r="K267" s="666"/>
      <c r="L267" s="192" t="s">
        <v>598</v>
      </c>
      <c r="M267" s="771">
        <f t="shared" si="71"/>
        <v>41563</v>
      </c>
      <c r="N267" s="771">
        <v>41566</v>
      </c>
      <c r="O267" s="772" t="s">
        <v>961</v>
      </c>
      <c r="P267" s="305">
        <v>244</v>
      </c>
      <c r="Q267" s="801">
        <v>17722</v>
      </c>
      <c r="R267" s="25">
        <f t="shared" si="73"/>
        <v>4324168</v>
      </c>
      <c r="S267" s="449"/>
      <c r="T267" s="771"/>
      <c r="U267" s="803"/>
      <c r="V267" s="801"/>
      <c r="W267" s="25">
        <f t="shared" si="74"/>
        <v>0</v>
      </c>
    </row>
    <row r="268" spans="1:23" ht="16.5" customHeight="1">
      <c r="A268" s="757">
        <f t="shared" si="67"/>
        <v>19</v>
      </c>
      <c r="B268" s="297" t="s">
        <v>962</v>
      </c>
      <c r="C268" s="25">
        <f t="shared" si="68"/>
        <v>1530880</v>
      </c>
      <c r="D268" s="758">
        <f t="shared" si="64"/>
        <v>72685.958212942656</v>
      </c>
      <c r="E268" s="758">
        <f t="shared" si="64"/>
        <v>5369.5933094245929</v>
      </c>
      <c r="F268" s="758">
        <f t="shared" si="64"/>
        <v>71216.587051529626</v>
      </c>
      <c r="G268" s="758">
        <f t="shared" si="64"/>
        <v>58295.703686495443</v>
      </c>
      <c r="H268" s="25">
        <f t="shared" si="75"/>
        <v>1738447.8422603924</v>
      </c>
      <c r="I268" s="758">
        <v>220</v>
      </c>
      <c r="J268" s="758">
        <f t="shared" si="72"/>
        <v>7902.0356466381472</v>
      </c>
      <c r="K268" s="666"/>
      <c r="L268" s="843" t="s">
        <v>694</v>
      </c>
      <c r="M268" s="771">
        <f t="shared" si="71"/>
        <v>41563</v>
      </c>
      <c r="N268" s="771">
        <v>41566</v>
      </c>
      <c r="O268" s="772" t="s">
        <v>961</v>
      </c>
      <c r="P268" s="8">
        <v>230</v>
      </c>
      <c r="Q268" s="293">
        <v>6656</v>
      </c>
      <c r="R268" s="25">
        <f t="shared" si="73"/>
        <v>1530880</v>
      </c>
      <c r="S268" s="449"/>
      <c r="T268" s="771"/>
      <c r="U268" s="803"/>
      <c r="V268" s="801"/>
      <c r="W268" s="25">
        <f t="shared" si="74"/>
        <v>0</v>
      </c>
    </row>
    <row r="269" spans="1:23" ht="16.5" customHeight="1">
      <c r="A269" s="757">
        <f t="shared" si="67"/>
        <v>20</v>
      </c>
      <c r="B269" s="297" t="s">
        <v>729</v>
      </c>
      <c r="C269" s="25">
        <f t="shared" si="68"/>
        <v>3922000</v>
      </c>
      <c r="D269" s="758">
        <f t="shared" si="64"/>
        <v>174776.69043021213</v>
      </c>
      <c r="E269" s="758">
        <f t="shared" si="64"/>
        <v>12911.43118493459</v>
      </c>
      <c r="F269" s="758">
        <f t="shared" si="64"/>
        <v>171243.52068299623</v>
      </c>
      <c r="G269" s="758">
        <f t="shared" si="64"/>
        <v>140174.66931889131</v>
      </c>
      <c r="H269" s="25">
        <f t="shared" si="75"/>
        <v>4421106.3116170345</v>
      </c>
      <c r="I269" s="758">
        <v>529</v>
      </c>
      <c r="J269" s="758">
        <f t="shared" si="72"/>
        <v>8357.4788499376828</v>
      </c>
      <c r="K269" s="666"/>
      <c r="L269" s="192" t="s">
        <v>646</v>
      </c>
      <c r="M269" s="771">
        <f t="shared" si="71"/>
        <v>41565</v>
      </c>
      <c r="N269" s="771">
        <v>41568</v>
      </c>
      <c r="O269" s="772" t="s">
        <v>963</v>
      </c>
      <c r="P269" s="305">
        <v>530</v>
      </c>
      <c r="Q269" s="801">
        <v>7400</v>
      </c>
      <c r="R269" s="25">
        <f t="shared" si="73"/>
        <v>3922000</v>
      </c>
      <c r="S269" s="449"/>
      <c r="T269" s="771"/>
      <c r="U269" s="803"/>
      <c r="V269" s="801"/>
      <c r="W269" s="25">
        <f t="shared" si="74"/>
        <v>0</v>
      </c>
    </row>
    <row r="270" spans="1:23" ht="16.5" customHeight="1">
      <c r="A270" s="757">
        <f t="shared" si="67"/>
        <v>21</v>
      </c>
      <c r="B270" s="297" t="s">
        <v>964</v>
      </c>
      <c r="C270" s="25">
        <f t="shared" si="68"/>
        <v>196398</v>
      </c>
      <c r="D270" s="758">
        <f t="shared" ref="D270:G289" si="76">IF($I$367&lt;&gt;0,D$367/$I$367*$I270,0)</f>
        <v>26431.25753197915</v>
      </c>
      <c r="E270" s="758">
        <f t="shared" si="76"/>
        <v>1952.5793852453066</v>
      </c>
      <c r="F270" s="758">
        <f t="shared" si="76"/>
        <v>25896.940746010772</v>
      </c>
      <c r="G270" s="758">
        <f t="shared" si="76"/>
        <v>21198.43770418016</v>
      </c>
      <c r="H270" s="25">
        <f t="shared" si="75"/>
        <v>271877.2153674154</v>
      </c>
      <c r="I270" s="758">
        <v>80</v>
      </c>
      <c r="J270" s="758">
        <f t="shared" si="72"/>
        <v>3398.4651920926926</v>
      </c>
      <c r="K270" s="666"/>
      <c r="L270" s="192" t="s">
        <v>612</v>
      </c>
      <c r="M270" s="771">
        <f t="shared" si="71"/>
        <v>41565</v>
      </c>
      <c r="N270" s="771">
        <v>41568</v>
      </c>
      <c r="O270" s="772" t="s">
        <v>965</v>
      </c>
      <c r="P270" s="305">
        <v>27</v>
      </c>
      <c r="Q270" s="801">
        <v>7274</v>
      </c>
      <c r="R270" s="25">
        <f t="shared" si="73"/>
        <v>196398</v>
      </c>
      <c r="S270" s="449"/>
      <c r="T270" s="771"/>
      <c r="U270" s="803"/>
      <c r="V270" s="801"/>
      <c r="W270" s="25">
        <f t="shared" si="74"/>
        <v>0</v>
      </c>
    </row>
    <row r="271" spans="1:23" ht="16.5" customHeight="1">
      <c r="A271" s="757">
        <f t="shared" si="67"/>
        <v>22</v>
      </c>
      <c r="B271" s="297" t="s">
        <v>966</v>
      </c>
      <c r="C271" s="25">
        <f t="shared" si="68"/>
        <v>237460</v>
      </c>
      <c r="D271" s="758">
        <f t="shared" si="76"/>
        <v>26431.25753197915</v>
      </c>
      <c r="E271" s="758">
        <f t="shared" si="76"/>
        <v>1952.5793852453066</v>
      </c>
      <c r="F271" s="758">
        <f t="shared" si="76"/>
        <v>25896.940746010772</v>
      </c>
      <c r="G271" s="758">
        <f t="shared" si="76"/>
        <v>21198.43770418016</v>
      </c>
      <c r="H271" s="25">
        <f t="shared" si="75"/>
        <v>312939.21536741534</v>
      </c>
      <c r="I271" s="758">
        <v>80</v>
      </c>
      <c r="J271" s="758">
        <f t="shared" si="72"/>
        <v>3911.7401920926918</v>
      </c>
      <c r="K271" s="666"/>
      <c r="L271" s="843" t="s">
        <v>1229</v>
      </c>
      <c r="M271" s="771">
        <f t="shared" si="71"/>
        <v>41565</v>
      </c>
      <c r="N271" s="771">
        <v>41568</v>
      </c>
      <c r="O271" s="772" t="s">
        <v>965</v>
      </c>
      <c r="P271" s="305">
        <v>20</v>
      </c>
      <c r="Q271" s="801">
        <v>11873</v>
      </c>
      <c r="R271" s="25">
        <f t="shared" si="73"/>
        <v>237460</v>
      </c>
      <c r="S271" s="449"/>
      <c r="T271" s="771"/>
      <c r="U271" s="803"/>
      <c r="V271" s="801"/>
      <c r="W271" s="25">
        <f t="shared" si="74"/>
        <v>0</v>
      </c>
    </row>
    <row r="272" spans="1:23" ht="16.5" customHeight="1">
      <c r="A272" s="757">
        <f t="shared" si="67"/>
        <v>23</v>
      </c>
      <c r="B272" s="297" t="s">
        <v>1162</v>
      </c>
      <c r="C272" s="25">
        <f t="shared" si="68"/>
        <v>290960</v>
      </c>
      <c r="D272" s="758">
        <f t="shared" si="76"/>
        <v>26100.866812829408</v>
      </c>
      <c r="E272" s="758">
        <f t="shared" si="76"/>
        <v>1928.1721429297402</v>
      </c>
      <c r="F272" s="758">
        <f t="shared" si="76"/>
        <v>25573.228986685637</v>
      </c>
      <c r="G272" s="758">
        <f t="shared" si="76"/>
        <v>20933.457232877907</v>
      </c>
      <c r="H272" s="25">
        <f t="shared" si="75"/>
        <v>365495.72517532267</v>
      </c>
      <c r="I272" s="758">
        <v>79</v>
      </c>
      <c r="J272" s="758">
        <f t="shared" si="72"/>
        <v>4626.5281667762365</v>
      </c>
      <c r="K272" s="666"/>
      <c r="L272" s="192" t="s">
        <v>612</v>
      </c>
      <c r="M272" s="771">
        <f t="shared" si="71"/>
        <v>41565</v>
      </c>
      <c r="N272" s="771">
        <v>41568</v>
      </c>
      <c r="O272" s="772" t="s">
        <v>965</v>
      </c>
      <c r="P272" s="305">
        <v>40</v>
      </c>
      <c r="Q272" s="801">
        <v>7274</v>
      </c>
      <c r="R272" s="25">
        <f t="shared" si="73"/>
        <v>290960</v>
      </c>
      <c r="S272" s="449"/>
      <c r="T272" s="771"/>
      <c r="U272" s="803"/>
      <c r="V272" s="801"/>
      <c r="W272" s="25">
        <f t="shared" si="74"/>
        <v>0</v>
      </c>
    </row>
    <row r="273" spans="1:23" ht="16.5" customHeight="1">
      <c r="A273" s="757">
        <f t="shared" si="67"/>
        <v>24</v>
      </c>
      <c r="B273" s="297" t="s">
        <v>1159</v>
      </c>
      <c r="C273" s="25">
        <f t="shared" si="68"/>
        <v>253830</v>
      </c>
      <c r="D273" s="758">
        <f t="shared" si="76"/>
        <v>27092.038970278627</v>
      </c>
      <c r="E273" s="758">
        <f t="shared" si="76"/>
        <v>2001.3938698764393</v>
      </c>
      <c r="F273" s="758">
        <f t="shared" si="76"/>
        <v>26544.364264661042</v>
      </c>
      <c r="G273" s="758">
        <f t="shared" si="76"/>
        <v>21728.398646784663</v>
      </c>
      <c r="H273" s="25">
        <f t="shared" si="75"/>
        <v>331196.19575160078</v>
      </c>
      <c r="I273" s="758">
        <v>82</v>
      </c>
      <c r="J273" s="758">
        <f t="shared" si="72"/>
        <v>4038.9779969707411</v>
      </c>
      <c r="K273" s="666"/>
      <c r="L273" s="192" t="s">
        <v>611</v>
      </c>
      <c r="M273" s="771">
        <f t="shared" si="71"/>
        <v>41565</v>
      </c>
      <c r="N273" s="771">
        <v>41568</v>
      </c>
      <c r="O273" s="772" t="s">
        <v>965</v>
      </c>
      <c r="P273" s="305">
        <v>30</v>
      </c>
      <c r="Q273" s="801">
        <v>8461</v>
      </c>
      <c r="R273" s="25">
        <f t="shared" si="73"/>
        <v>253830</v>
      </c>
      <c r="S273" s="449"/>
      <c r="T273" s="771"/>
      <c r="U273" s="803"/>
      <c r="V273" s="801"/>
      <c r="W273" s="25">
        <f t="shared" si="74"/>
        <v>0</v>
      </c>
    </row>
    <row r="274" spans="1:23" ht="16.5" customHeight="1">
      <c r="A274" s="757">
        <f t="shared" si="67"/>
        <v>25</v>
      </c>
      <c r="B274" s="297" t="s">
        <v>967</v>
      </c>
      <c r="C274" s="25">
        <f t="shared" si="68"/>
        <v>445040</v>
      </c>
      <c r="D274" s="758">
        <f t="shared" si="76"/>
        <v>26761.648251128889</v>
      </c>
      <c r="E274" s="758">
        <f t="shared" si="76"/>
        <v>1976.9866275608729</v>
      </c>
      <c r="F274" s="758">
        <f t="shared" si="76"/>
        <v>26220.652505335907</v>
      </c>
      <c r="G274" s="758">
        <f t="shared" si="76"/>
        <v>21463.418175482413</v>
      </c>
      <c r="H274" s="25">
        <f t="shared" si="75"/>
        <v>521462.70555950812</v>
      </c>
      <c r="I274" s="758">
        <v>81</v>
      </c>
      <c r="J274" s="758">
        <f t="shared" si="72"/>
        <v>6437.8111797470137</v>
      </c>
      <c r="K274" s="666"/>
      <c r="L274" s="192" t="s">
        <v>634</v>
      </c>
      <c r="M274" s="771">
        <f t="shared" si="71"/>
        <v>41565</v>
      </c>
      <c r="N274" s="771">
        <v>41568</v>
      </c>
      <c r="O274" s="772" t="s">
        <v>965</v>
      </c>
      <c r="P274" s="305">
        <v>40</v>
      </c>
      <c r="Q274" s="801">
        <v>11126</v>
      </c>
      <c r="R274" s="25">
        <f t="shared" si="73"/>
        <v>445040</v>
      </c>
      <c r="S274" s="449"/>
      <c r="T274" s="771"/>
      <c r="U274" s="803"/>
      <c r="V274" s="801"/>
      <c r="W274" s="25">
        <f t="shared" si="74"/>
        <v>0</v>
      </c>
    </row>
    <row r="275" spans="1:23" ht="16.5" customHeight="1">
      <c r="A275" s="757">
        <f>IF(B275&lt;&gt;"",A274+1,"")</f>
        <v>26</v>
      </c>
      <c r="B275" s="297" t="s">
        <v>968</v>
      </c>
      <c r="C275" s="25">
        <f t="shared" si="68"/>
        <v>442900</v>
      </c>
      <c r="D275" s="758">
        <f t="shared" si="76"/>
        <v>26761.648251128889</v>
      </c>
      <c r="E275" s="758">
        <f t="shared" si="76"/>
        <v>1976.9866275608729</v>
      </c>
      <c r="F275" s="758">
        <f t="shared" si="76"/>
        <v>26220.652505335907</v>
      </c>
      <c r="G275" s="758">
        <f t="shared" si="76"/>
        <v>21463.418175482413</v>
      </c>
      <c r="H275" s="25">
        <f t="shared" si="75"/>
        <v>519322.70555950812</v>
      </c>
      <c r="I275" s="758">
        <v>81</v>
      </c>
      <c r="J275" s="758">
        <f t="shared" si="72"/>
        <v>6411.3914266605943</v>
      </c>
      <c r="K275" s="666"/>
      <c r="L275" s="843" t="s">
        <v>1218</v>
      </c>
      <c r="M275" s="771">
        <f t="shared" si="71"/>
        <v>41565</v>
      </c>
      <c r="N275" s="771">
        <v>41568</v>
      </c>
      <c r="O275" s="772" t="s">
        <v>965</v>
      </c>
      <c r="P275" s="305">
        <v>100</v>
      </c>
      <c r="Q275" s="801">
        <v>4429</v>
      </c>
      <c r="R275" s="25">
        <f t="shared" si="73"/>
        <v>442900</v>
      </c>
      <c r="S275" s="449"/>
      <c r="T275" s="771"/>
      <c r="U275" s="803"/>
      <c r="V275" s="801"/>
      <c r="W275" s="25">
        <f t="shared" si="74"/>
        <v>0</v>
      </c>
    </row>
    <row r="276" spans="1:23" ht="16.5" customHeight="1">
      <c r="A276" s="757">
        <f t="shared" si="67"/>
        <v>27</v>
      </c>
      <c r="B276" s="297" t="s">
        <v>969</v>
      </c>
      <c r="C276" s="25">
        <f t="shared" si="68"/>
        <v>298651</v>
      </c>
      <c r="D276" s="758">
        <f t="shared" si="76"/>
        <v>26431.25753197915</v>
      </c>
      <c r="E276" s="758">
        <f t="shared" si="76"/>
        <v>1952.5793852453066</v>
      </c>
      <c r="F276" s="758">
        <f t="shared" si="76"/>
        <v>25896.940746010772</v>
      </c>
      <c r="G276" s="758">
        <f t="shared" si="76"/>
        <v>21198.43770418016</v>
      </c>
      <c r="H276" s="25">
        <f t="shared" si="75"/>
        <v>374130.21536741534</v>
      </c>
      <c r="I276" s="758">
        <v>80</v>
      </c>
      <c r="J276" s="758">
        <f t="shared" si="72"/>
        <v>4676.6276920926921</v>
      </c>
      <c r="K276" s="666"/>
      <c r="L276" s="843" t="s">
        <v>1241</v>
      </c>
      <c r="M276" s="771">
        <f t="shared" si="71"/>
        <v>41565</v>
      </c>
      <c r="N276" s="771">
        <v>41568</v>
      </c>
      <c r="O276" s="772" t="s">
        <v>970</v>
      </c>
      <c r="P276" s="305">
        <v>15</v>
      </c>
      <c r="Q276" s="801">
        <v>19910.04</v>
      </c>
      <c r="R276" s="25">
        <f t="shared" si="73"/>
        <v>298651</v>
      </c>
      <c r="S276" s="449"/>
      <c r="T276" s="771"/>
      <c r="U276" s="803"/>
      <c r="V276" s="801"/>
      <c r="W276" s="25">
        <f t="shared" si="74"/>
        <v>0</v>
      </c>
    </row>
    <row r="277" spans="1:23" ht="16.5" customHeight="1">
      <c r="A277" s="757">
        <f t="shared" si="67"/>
        <v>28</v>
      </c>
      <c r="B277" s="297" t="s">
        <v>971</v>
      </c>
      <c r="C277" s="25">
        <f t="shared" si="68"/>
        <v>218220</v>
      </c>
      <c r="D277" s="758">
        <f t="shared" si="76"/>
        <v>19493.052429834624</v>
      </c>
      <c r="E277" s="758">
        <f t="shared" si="76"/>
        <v>1440.0272966184136</v>
      </c>
      <c r="F277" s="758">
        <f t="shared" si="76"/>
        <v>19098.993800182947</v>
      </c>
      <c r="G277" s="758">
        <f t="shared" si="76"/>
        <v>15633.847806832868</v>
      </c>
      <c r="H277" s="25">
        <f t="shared" si="75"/>
        <v>273885.92133346881</v>
      </c>
      <c r="I277" s="758">
        <v>59</v>
      </c>
      <c r="J277" s="758">
        <f t="shared" si="72"/>
        <v>4642.1342598893016</v>
      </c>
      <c r="K277" s="666"/>
      <c r="L277" s="192" t="s">
        <v>612</v>
      </c>
      <c r="M277" s="771">
        <f t="shared" si="71"/>
        <v>41565</v>
      </c>
      <c r="N277" s="771">
        <v>41568</v>
      </c>
      <c r="O277" s="772" t="s">
        <v>970</v>
      </c>
      <c r="P277" s="305">
        <v>30</v>
      </c>
      <c r="Q277" s="801">
        <v>7274</v>
      </c>
      <c r="R277" s="25">
        <f t="shared" si="73"/>
        <v>218220</v>
      </c>
      <c r="S277" s="449"/>
      <c r="T277" s="771"/>
      <c r="U277" s="803"/>
      <c r="V277" s="801"/>
      <c r="W277" s="25">
        <f t="shared" si="74"/>
        <v>0</v>
      </c>
    </row>
    <row r="278" spans="1:23" ht="16.5" customHeight="1">
      <c r="A278" s="757">
        <f t="shared" si="67"/>
        <v>29</v>
      </c>
      <c r="B278" s="297" t="s">
        <v>972</v>
      </c>
      <c r="C278" s="25">
        <f t="shared" si="68"/>
        <v>442900</v>
      </c>
      <c r="D278" s="758">
        <f t="shared" si="76"/>
        <v>26431.25753197915</v>
      </c>
      <c r="E278" s="758">
        <f t="shared" si="76"/>
        <v>1952.5793852453066</v>
      </c>
      <c r="F278" s="758">
        <f t="shared" si="76"/>
        <v>25896.940746010772</v>
      </c>
      <c r="G278" s="758">
        <f t="shared" si="76"/>
        <v>21198.43770418016</v>
      </c>
      <c r="H278" s="25">
        <f t="shared" si="75"/>
        <v>518379.21536741534</v>
      </c>
      <c r="I278" s="758">
        <v>80</v>
      </c>
      <c r="J278" s="758">
        <f t="shared" si="72"/>
        <v>6479.7401920926914</v>
      </c>
      <c r="K278" s="666"/>
      <c r="L278" s="843" t="s">
        <v>1218</v>
      </c>
      <c r="M278" s="771">
        <f t="shared" si="71"/>
        <v>41565</v>
      </c>
      <c r="N278" s="771">
        <v>41568</v>
      </c>
      <c r="O278" s="772" t="s">
        <v>970</v>
      </c>
      <c r="P278" s="305">
        <v>100</v>
      </c>
      <c r="Q278" s="801">
        <v>4429</v>
      </c>
      <c r="R278" s="25">
        <f t="shared" si="73"/>
        <v>442900</v>
      </c>
      <c r="S278" s="449"/>
      <c r="T278" s="771"/>
      <c r="U278" s="803"/>
      <c r="V278" s="801"/>
      <c r="W278" s="25">
        <f t="shared" si="74"/>
        <v>0</v>
      </c>
    </row>
    <row r="279" spans="1:23" ht="16.5" customHeight="1">
      <c r="A279" s="757">
        <f t="shared" si="67"/>
        <v>30</v>
      </c>
      <c r="B279" s="297" t="s">
        <v>973</v>
      </c>
      <c r="C279" s="25">
        <f t="shared" si="68"/>
        <v>125775</v>
      </c>
      <c r="D279" s="758">
        <f t="shared" si="76"/>
        <v>4955.8607872460907</v>
      </c>
      <c r="E279" s="758">
        <f t="shared" si="76"/>
        <v>366.10863473349497</v>
      </c>
      <c r="F279" s="758">
        <f t="shared" si="76"/>
        <v>4855.6763898770196</v>
      </c>
      <c r="G279" s="758">
        <f t="shared" si="76"/>
        <v>3974.7070695337798</v>
      </c>
      <c r="H279" s="25">
        <f t="shared" si="75"/>
        <v>139927.3528813904</v>
      </c>
      <c r="I279" s="758">
        <v>15</v>
      </c>
      <c r="J279" s="758">
        <f t="shared" si="72"/>
        <v>9328.4901920926932</v>
      </c>
      <c r="K279" s="666"/>
      <c r="L279" s="192" t="s">
        <v>628</v>
      </c>
      <c r="M279" s="771">
        <f t="shared" si="71"/>
        <v>41565</v>
      </c>
      <c r="N279" s="771">
        <v>41568</v>
      </c>
      <c r="O279" s="772" t="s">
        <v>970</v>
      </c>
      <c r="P279" s="305">
        <f>I279</f>
        <v>15</v>
      </c>
      <c r="Q279" s="801">
        <v>8385</v>
      </c>
      <c r="R279" s="25">
        <f t="shared" si="73"/>
        <v>125775</v>
      </c>
      <c r="S279" s="449"/>
      <c r="T279" s="771"/>
      <c r="U279" s="803"/>
      <c r="V279" s="801"/>
      <c r="W279" s="25">
        <f t="shared" si="74"/>
        <v>0</v>
      </c>
    </row>
    <row r="280" spans="1:23" ht="16.5" customHeight="1">
      <c r="A280" s="757">
        <f t="shared" si="67"/>
        <v>31</v>
      </c>
      <c r="B280" s="297" t="s">
        <v>974</v>
      </c>
      <c r="C280" s="25">
        <f t="shared" si="68"/>
        <v>207480</v>
      </c>
      <c r="D280" s="758">
        <f t="shared" si="76"/>
        <v>6938.2051021445268</v>
      </c>
      <c r="E280" s="758">
        <f t="shared" si="76"/>
        <v>512.55208862689301</v>
      </c>
      <c r="F280" s="758">
        <f t="shared" si="76"/>
        <v>6797.9469458278281</v>
      </c>
      <c r="G280" s="758">
        <f t="shared" si="76"/>
        <v>5564.5898973472922</v>
      </c>
      <c r="H280" s="25">
        <f t="shared" si="75"/>
        <v>227293.29403394656</v>
      </c>
      <c r="I280" s="758">
        <v>21</v>
      </c>
      <c r="J280" s="758">
        <f t="shared" si="72"/>
        <v>10823.490192092693</v>
      </c>
      <c r="K280" s="666"/>
      <c r="L280" s="192" t="s">
        <v>656</v>
      </c>
      <c r="M280" s="771">
        <f t="shared" si="71"/>
        <v>41565</v>
      </c>
      <c r="N280" s="771">
        <v>41568</v>
      </c>
      <c r="O280" s="772" t="s">
        <v>970</v>
      </c>
      <c r="P280" s="305">
        <v>15</v>
      </c>
      <c r="Q280" s="801">
        <v>13832</v>
      </c>
      <c r="R280" s="25">
        <f t="shared" si="73"/>
        <v>207480</v>
      </c>
      <c r="S280" s="449"/>
      <c r="T280" s="771"/>
      <c r="U280" s="803"/>
      <c r="V280" s="801"/>
      <c r="W280" s="25">
        <f t="shared" si="74"/>
        <v>0</v>
      </c>
    </row>
    <row r="281" spans="1:23" ht="16.5" customHeight="1">
      <c r="A281" s="757">
        <f t="shared" si="67"/>
        <v>32</v>
      </c>
      <c r="B281" s="297" t="s">
        <v>975</v>
      </c>
      <c r="C281" s="25">
        <f t="shared" si="68"/>
        <v>67080</v>
      </c>
      <c r="D281" s="758">
        <f t="shared" si="76"/>
        <v>2643.1257531979149</v>
      </c>
      <c r="E281" s="758">
        <f t="shared" si="76"/>
        <v>195.25793852453066</v>
      </c>
      <c r="F281" s="758">
        <f t="shared" si="76"/>
        <v>2589.6940746010773</v>
      </c>
      <c r="G281" s="758">
        <f t="shared" si="76"/>
        <v>2119.843770418016</v>
      </c>
      <c r="H281" s="25">
        <f t="shared" si="75"/>
        <v>74627.921536741545</v>
      </c>
      <c r="I281" s="758">
        <v>8</v>
      </c>
      <c r="J281" s="758">
        <f t="shared" si="72"/>
        <v>9328.4901920926932</v>
      </c>
      <c r="K281" s="666"/>
      <c r="L281" s="192" t="s">
        <v>628</v>
      </c>
      <c r="M281" s="771">
        <f t="shared" si="71"/>
        <v>41565</v>
      </c>
      <c r="N281" s="771">
        <v>41568</v>
      </c>
      <c r="O281" s="772" t="s">
        <v>970</v>
      </c>
      <c r="P281" s="305">
        <f>I281</f>
        <v>8</v>
      </c>
      <c r="Q281" s="801">
        <v>8385</v>
      </c>
      <c r="R281" s="25">
        <f t="shared" si="73"/>
        <v>67080</v>
      </c>
      <c r="S281" s="449"/>
      <c r="T281" s="771"/>
      <c r="U281" s="803"/>
      <c r="V281" s="801"/>
      <c r="W281" s="25">
        <f t="shared" si="74"/>
        <v>0</v>
      </c>
    </row>
    <row r="282" spans="1:23" ht="16.5" customHeight="1">
      <c r="A282" s="757">
        <f t="shared" si="67"/>
        <v>33</v>
      </c>
      <c r="B282" s="297" t="s">
        <v>976</v>
      </c>
      <c r="C282" s="25">
        <f t="shared" si="68"/>
        <v>99550</v>
      </c>
      <c r="D282" s="758">
        <f t="shared" si="76"/>
        <v>3303.9071914973938</v>
      </c>
      <c r="E282" s="758">
        <f t="shared" si="76"/>
        <v>244.07242315566333</v>
      </c>
      <c r="F282" s="758">
        <f t="shared" si="76"/>
        <v>3237.1175932513465</v>
      </c>
      <c r="G282" s="758">
        <f t="shared" si="76"/>
        <v>2649.80471302252</v>
      </c>
      <c r="H282" s="25">
        <f t="shared" ref="H282:H313" si="77">SUM(C282:G282)</f>
        <v>108984.90192092692</v>
      </c>
      <c r="I282" s="758">
        <v>10</v>
      </c>
      <c r="J282" s="758">
        <f t="shared" si="72"/>
        <v>10898.490192092691</v>
      </c>
      <c r="K282" s="666"/>
      <c r="L282" s="843" t="s">
        <v>1241</v>
      </c>
      <c r="M282" s="771">
        <f t="shared" si="71"/>
        <v>41565</v>
      </c>
      <c r="N282" s="771">
        <v>41568</v>
      </c>
      <c r="O282" s="772" t="s">
        <v>970</v>
      </c>
      <c r="P282" s="305">
        <f>I282/2</f>
        <v>5</v>
      </c>
      <c r="Q282" s="801">
        <v>19910.05909888824</v>
      </c>
      <c r="R282" s="25">
        <f t="shared" si="73"/>
        <v>99550</v>
      </c>
      <c r="S282" s="449"/>
      <c r="T282" s="771"/>
      <c r="U282" s="803"/>
      <c r="V282" s="801"/>
      <c r="W282" s="25">
        <f t="shared" si="74"/>
        <v>0</v>
      </c>
    </row>
    <row r="283" spans="1:23" ht="16.5" customHeight="1">
      <c r="A283" s="757">
        <f t="shared" si="67"/>
        <v>34</v>
      </c>
      <c r="B283" s="297" t="s">
        <v>977</v>
      </c>
      <c r="C283" s="25">
        <f t="shared" si="68"/>
        <v>143655</v>
      </c>
      <c r="D283" s="758">
        <f t="shared" si="76"/>
        <v>3303.9071914973938</v>
      </c>
      <c r="E283" s="758">
        <f t="shared" si="76"/>
        <v>244.07242315566333</v>
      </c>
      <c r="F283" s="758">
        <f t="shared" si="76"/>
        <v>3237.1175932513465</v>
      </c>
      <c r="G283" s="758">
        <f t="shared" si="76"/>
        <v>2649.80471302252</v>
      </c>
      <c r="H283" s="25">
        <f t="shared" si="77"/>
        <v>153089.9019209269</v>
      </c>
      <c r="I283" s="758">
        <v>10</v>
      </c>
      <c r="J283" s="758">
        <f t="shared" si="72"/>
        <v>15308.99019209269</v>
      </c>
      <c r="K283" s="666"/>
      <c r="L283" s="192" t="s">
        <v>674</v>
      </c>
      <c r="M283" s="771">
        <f t="shared" si="71"/>
        <v>41565</v>
      </c>
      <c r="N283" s="771">
        <v>41568</v>
      </c>
      <c r="O283" s="772" t="s">
        <v>970</v>
      </c>
      <c r="P283" s="305">
        <v>15</v>
      </c>
      <c r="Q283" s="801">
        <v>9577</v>
      </c>
      <c r="R283" s="25">
        <f t="shared" si="73"/>
        <v>143655</v>
      </c>
      <c r="S283" s="449"/>
      <c r="T283" s="771"/>
      <c r="U283" s="803"/>
      <c r="V283" s="801"/>
      <c r="W283" s="25">
        <f t="shared" si="74"/>
        <v>0</v>
      </c>
    </row>
    <row r="284" spans="1:23" ht="16.5" customHeight="1">
      <c r="A284" s="757">
        <f t="shared" si="67"/>
        <v>35</v>
      </c>
      <c r="B284" s="297" t="s">
        <v>978</v>
      </c>
      <c r="C284" s="25">
        <f t="shared" si="68"/>
        <v>374180</v>
      </c>
      <c r="D284" s="758">
        <f t="shared" si="76"/>
        <v>20484.224587283839</v>
      </c>
      <c r="E284" s="758">
        <f t="shared" si="76"/>
        <v>1513.2490235651126</v>
      </c>
      <c r="F284" s="758">
        <f t="shared" si="76"/>
        <v>20070.129078158348</v>
      </c>
      <c r="G284" s="758">
        <f t="shared" si="76"/>
        <v>16428.789220739625</v>
      </c>
      <c r="H284" s="25">
        <f t="shared" si="77"/>
        <v>432676.39190974692</v>
      </c>
      <c r="I284" s="758">
        <v>62</v>
      </c>
      <c r="J284" s="758">
        <f t="shared" si="72"/>
        <v>6978.6514824152728</v>
      </c>
      <c r="K284" s="666"/>
      <c r="L284" s="192" t="s">
        <v>679</v>
      </c>
      <c r="M284" s="771">
        <f t="shared" si="71"/>
        <v>41565</v>
      </c>
      <c r="N284" s="771">
        <v>41568</v>
      </c>
      <c r="O284" s="772" t="s">
        <v>979</v>
      </c>
      <c r="P284" s="8">
        <v>20</v>
      </c>
      <c r="Q284" s="293">
        <v>18709</v>
      </c>
      <c r="R284" s="25">
        <f t="shared" si="73"/>
        <v>374180</v>
      </c>
      <c r="S284" s="449"/>
      <c r="T284" s="771"/>
      <c r="U284" s="803"/>
      <c r="V284" s="801"/>
      <c r="W284" s="25">
        <f t="shared" si="74"/>
        <v>0</v>
      </c>
    </row>
    <row r="285" spans="1:23" ht="16.5" customHeight="1">
      <c r="A285" s="757">
        <f t="shared" si="67"/>
        <v>36</v>
      </c>
      <c r="B285" s="297" t="s">
        <v>980</v>
      </c>
      <c r="C285" s="25">
        <f t="shared" si="68"/>
        <v>574620</v>
      </c>
      <c r="D285" s="758">
        <f t="shared" si="76"/>
        <v>16519.535957486969</v>
      </c>
      <c r="E285" s="758">
        <f t="shared" si="76"/>
        <v>1220.3621157783166</v>
      </c>
      <c r="F285" s="758">
        <f t="shared" si="76"/>
        <v>16185.587966256733</v>
      </c>
      <c r="G285" s="758">
        <f t="shared" si="76"/>
        <v>13249.0235651126</v>
      </c>
      <c r="H285" s="25">
        <f t="shared" si="77"/>
        <v>621794.5096046346</v>
      </c>
      <c r="I285" s="758">
        <v>50</v>
      </c>
      <c r="J285" s="758">
        <f t="shared" si="72"/>
        <v>12435.890192092693</v>
      </c>
      <c r="K285" s="666"/>
      <c r="L285" s="192" t="s">
        <v>674</v>
      </c>
      <c r="M285" s="771">
        <f t="shared" si="71"/>
        <v>41565</v>
      </c>
      <c r="N285" s="771">
        <v>41568</v>
      </c>
      <c r="O285" s="772" t="s">
        <v>981</v>
      </c>
      <c r="P285" s="305">
        <v>60</v>
      </c>
      <c r="Q285" s="801">
        <v>9577</v>
      </c>
      <c r="R285" s="25">
        <f t="shared" si="73"/>
        <v>574620</v>
      </c>
      <c r="S285" s="449"/>
      <c r="T285" s="771"/>
      <c r="U285" s="803"/>
      <c r="V285" s="801"/>
      <c r="W285" s="25">
        <f t="shared" si="74"/>
        <v>0</v>
      </c>
    </row>
    <row r="286" spans="1:23" ht="16.5" customHeight="1">
      <c r="A286" s="757">
        <f t="shared" si="67"/>
        <v>37</v>
      </c>
      <c r="B286" s="297" t="s">
        <v>982</v>
      </c>
      <c r="C286" s="25">
        <f t="shared" si="68"/>
        <v>550851</v>
      </c>
      <c r="D286" s="758">
        <f t="shared" si="76"/>
        <v>16849.926676636707</v>
      </c>
      <c r="E286" s="758">
        <f t="shared" si="76"/>
        <v>1244.7693580938831</v>
      </c>
      <c r="F286" s="758">
        <f t="shared" si="76"/>
        <v>16509.299725581866</v>
      </c>
      <c r="G286" s="758">
        <f t="shared" si="76"/>
        <v>13514.004036414852</v>
      </c>
      <c r="H286" s="25">
        <f t="shared" si="77"/>
        <v>598968.99979672732</v>
      </c>
      <c r="I286" s="758">
        <v>51</v>
      </c>
      <c r="J286" s="758">
        <f t="shared" si="72"/>
        <v>11744.490192092693</v>
      </c>
      <c r="K286" s="666"/>
      <c r="L286" s="192" t="s">
        <v>670</v>
      </c>
      <c r="M286" s="771">
        <f t="shared" si="71"/>
        <v>41565</v>
      </c>
      <c r="N286" s="771">
        <v>41568</v>
      </c>
      <c r="O286" s="772" t="s">
        <v>983</v>
      </c>
      <c r="P286" s="305">
        <f>I286</f>
        <v>51</v>
      </c>
      <c r="Q286" s="801">
        <v>10801</v>
      </c>
      <c r="R286" s="25">
        <f t="shared" si="73"/>
        <v>550851</v>
      </c>
      <c r="S286" s="449"/>
      <c r="T286" s="771"/>
      <c r="U286" s="803"/>
      <c r="V286" s="801"/>
      <c r="W286" s="25">
        <f t="shared" si="74"/>
        <v>0</v>
      </c>
    </row>
    <row r="287" spans="1:23" ht="16.5" customHeight="1">
      <c r="A287" s="757">
        <f t="shared" si="67"/>
        <v>38</v>
      </c>
      <c r="B287" s="297" t="s">
        <v>1156</v>
      </c>
      <c r="C287" s="25">
        <f t="shared" si="68"/>
        <v>240042</v>
      </c>
      <c r="D287" s="758">
        <f t="shared" si="76"/>
        <v>21805.7874638828</v>
      </c>
      <c r="E287" s="758">
        <f t="shared" si="76"/>
        <v>1610.877992827378</v>
      </c>
      <c r="F287" s="758">
        <f t="shared" si="76"/>
        <v>21364.976115458889</v>
      </c>
      <c r="G287" s="758">
        <f t="shared" si="76"/>
        <v>17488.711105948631</v>
      </c>
      <c r="H287" s="25">
        <f t="shared" si="77"/>
        <v>302312.35267811763</v>
      </c>
      <c r="I287" s="758">
        <v>66</v>
      </c>
      <c r="J287" s="758">
        <f t="shared" si="72"/>
        <v>4580.4901920926914</v>
      </c>
      <c r="K287" s="666"/>
      <c r="L287" s="192" t="s">
        <v>612</v>
      </c>
      <c r="M287" s="771">
        <f t="shared" si="71"/>
        <v>41565</v>
      </c>
      <c r="N287" s="771">
        <v>41568</v>
      </c>
      <c r="O287" s="772" t="s">
        <v>984</v>
      </c>
      <c r="P287" s="305">
        <f>I287/2</f>
        <v>33</v>
      </c>
      <c r="Q287" s="801">
        <v>7274</v>
      </c>
      <c r="R287" s="25">
        <f t="shared" si="73"/>
        <v>240042</v>
      </c>
      <c r="S287" s="449"/>
      <c r="T287" s="771"/>
      <c r="U287" s="803"/>
      <c r="V287" s="801"/>
      <c r="W287" s="25">
        <f t="shared" si="74"/>
        <v>0</v>
      </c>
    </row>
    <row r="288" spans="1:23" ht="16.5" customHeight="1">
      <c r="A288" s="757">
        <f t="shared" si="67"/>
        <v>39</v>
      </c>
      <c r="B288" s="297" t="s">
        <v>1157</v>
      </c>
      <c r="C288" s="25">
        <f t="shared" si="68"/>
        <v>245040</v>
      </c>
      <c r="D288" s="758">
        <f t="shared" si="76"/>
        <v>20484.224587283839</v>
      </c>
      <c r="E288" s="758">
        <f t="shared" si="76"/>
        <v>1513.2490235651126</v>
      </c>
      <c r="F288" s="758">
        <f t="shared" si="76"/>
        <v>20070.129078158348</v>
      </c>
      <c r="G288" s="758">
        <f t="shared" si="76"/>
        <v>16428.789220739625</v>
      </c>
      <c r="H288" s="25">
        <f t="shared" si="77"/>
        <v>303536.39190974692</v>
      </c>
      <c r="I288" s="758">
        <v>62</v>
      </c>
      <c r="J288" s="758">
        <f t="shared" si="72"/>
        <v>4895.7482566088211</v>
      </c>
      <c r="K288" s="666"/>
      <c r="L288" s="297" t="s">
        <v>639</v>
      </c>
      <c r="M288" s="771">
        <f t="shared" si="71"/>
        <v>41565</v>
      </c>
      <c r="N288" s="771">
        <v>41568</v>
      </c>
      <c r="O288" s="772" t="s">
        <v>642</v>
      </c>
      <c r="P288" s="305">
        <v>12</v>
      </c>
      <c r="Q288" s="801">
        <v>20420</v>
      </c>
      <c r="R288" s="25">
        <f t="shared" si="73"/>
        <v>245040</v>
      </c>
      <c r="S288" s="449"/>
      <c r="T288" s="771"/>
      <c r="U288" s="803"/>
      <c r="V288" s="801"/>
      <c r="W288" s="25">
        <f t="shared" si="74"/>
        <v>0</v>
      </c>
    </row>
    <row r="289" spans="1:23" ht="16.5" customHeight="1">
      <c r="A289" s="757">
        <f t="shared" si="67"/>
        <v>40</v>
      </c>
      <c r="B289" s="297" t="s">
        <v>985</v>
      </c>
      <c r="C289" s="25">
        <f t="shared" si="68"/>
        <v>240000</v>
      </c>
      <c r="D289" s="758">
        <f t="shared" si="76"/>
        <v>5286.2515063958299</v>
      </c>
      <c r="E289" s="758">
        <f t="shared" si="76"/>
        <v>390.51587704906132</v>
      </c>
      <c r="F289" s="758">
        <f t="shared" si="76"/>
        <v>5179.3881492021546</v>
      </c>
      <c r="G289" s="758">
        <f t="shared" si="76"/>
        <v>4239.687540836032</v>
      </c>
      <c r="H289" s="25">
        <f t="shared" si="77"/>
        <v>255095.84307348309</v>
      </c>
      <c r="I289" s="758">
        <v>16</v>
      </c>
      <c r="J289" s="758">
        <f t="shared" si="72"/>
        <v>15943.490192092693</v>
      </c>
      <c r="K289" s="666"/>
      <c r="L289" s="192" t="s">
        <v>709</v>
      </c>
      <c r="M289" s="771">
        <f t="shared" si="71"/>
        <v>41565</v>
      </c>
      <c r="N289" s="771">
        <v>41568</v>
      </c>
      <c r="O289" s="772" t="s">
        <v>986</v>
      </c>
      <c r="P289" s="305">
        <f>I289</f>
        <v>16</v>
      </c>
      <c r="Q289" s="801">
        <v>15000</v>
      </c>
      <c r="R289" s="25">
        <f t="shared" si="73"/>
        <v>240000</v>
      </c>
      <c r="S289" s="449"/>
      <c r="T289" s="771"/>
      <c r="U289" s="803"/>
      <c r="V289" s="801"/>
      <c r="W289" s="25">
        <f t="shared" si="74"/>
        <v>0</v>
      </c>
    </row>
    <row r="290" spans="1:23" ht="16.5" customHeight="1">
      <c r="A290" s="757">
        <f t="shared" si="67"/>
        <v>41</v>
      </c>
      <c r="B290" s="297" t="s">
        <v>987</v>
      </c>
      <c r="C290" s="25">
        <f t="shared" si="68"/>
        <v>195000</v>
      </c>
      <c r="D290" s="758">
        <f t="shared" ref="D290:G309" si="78">IF($I$367&lt;&gt;0,D$367/$I$367*$I290,0)</f>
        <v>4295.0793489466114</v>
      </c>
      <c r="E290" s="758">
        <f t="shared" si="78"/>
        <v>317.29415010236232</v>
      </c>
      <c r="F290" s="758">
        <f t="shared" si="78"/>
        <v>4208.2528712267504</v>
      </c>
      <c r="G290" s="758">
        <f t="shared" si="78"/>
        <v>3444.7461269292762</v>
      </c>
      <c r="H290" s="25">
        <f t="shared" si="77"/>
        <v>207265.37249720498</v>
      </c>
      <c r="I290" s="758">
        <v>13</v>
      </c>
      <c r="J290" s="758">
        <f t="shared" si="72"/>
        <v>15943.490192092691</v>
      </c>
      <c r="K290" s="666"/>
      <c r="L290" s="192" t="s">
        <v>709</v>
      </c>
      <c r="M290" s="771">
        <f t="shared" si="71"/>
        <v>41565</v>
      </c>
      <c r="N290" s="771">
        <v>41568</v>
      </c>
      <c r="O290" s="772" t="s">
        <v>988</v>
      </c>
      <c r="P290" s="305">
        <f>I290</f>
        <v>13</v>
      </c>
      <c r="Q290" s="801">
        <v>15000</v>
      </c>
      <c r="R290" s="25">
        <f t="shared" si="73"/>
        <v>195000</v>
      </c>
      <c r="S290" s="449"/>
      <c r="T290" s="771"/>
      <c r="U290" s="803"/>
      <c r="V290" s="801"/>
      <c r="W290" s="25">
        <f t="shared" si="74"/>
        <v>0</v>
      </c>
    </row>
    <row r="291" spans="1:23" ht="16.5" customHeight="1">
      <c r="A291" s="757">
        <f>IF(B291&lt;&gt;"",A290+1,"")</f>
        <v>42</v>
      </c>
      <c r="B291" s="297" t="s">
        <v>989</v>
      </c>
      <c r="C291" s="25">
        <f t="shared" si="68"/>
        <v>299364</v>
      </c>
      <c r="D291" s="758">
        <f t="shared" si="78"/>
        <v>4295.0793489466114</v>
      </c>
      <c r="E291" s="758">
        <f t="shared" si="78"/>
        <v>317.29415010236232</v>
      </c>
      <c r="F291" s="758">
        <f t="shared" si="78"/>
        <v>4208.2528712267504</v>
      </c>
      <c r="G291" s="758">
        <f t="shared" si="78"/>
        <v>3444.7461269292762</v>
      </c>
      <c r="H291" s="25">
        <f t="shared" si="77"/>
        <v>311629.37249720504</v>
      </c>
      <c r="I291" s="758">
        <v>13</v>
      </c>
      <c r="J291" s="758">
        <f t="shared" si="72"/>
        <v>23971.490192092697</v>
      </c>
      <c r="K291" s="666"/>
      <c r="L291" s="843" t="s">
        <v>1251</v>
      </c>
      <c r="M291" s="771">
        <f t="shared" si="71"/>
        <v>41565</v>
      </c>
      <c r="N291" s="771">
        <v>41568</v>
      </c>
      <c r="O291" s="772" t="s">
        <v>990</v>
      </c>
      <c r="P291" s="305">
        <v>13</v>
      </c>
      <c r="Q291" s="801">
        <v>23028</v>
      </c>
      <c r="R291" s="25">
        <f t="shared" si="73"/>
        <v>299364</v>
      </c>
      <c r="S291" s="449"/>
      <c r="T291" s="771"/>
      <c r="U291" s="803"/>
      <c r="V291" s="801"/>
      <c r="W291" s="25">
        <f t="shared" si="74"/>
        <v>0</v>
      </c>
    </row>
    <row r="292" spans="1:23" ht="16.5" customHeight="1">
      <c r="A292" s="757">
        <f t="shared" si="67"/>
        <v>43</v>
      </c>
      <c r="B292" s="297" t="s">
        <v>1153</v>
      </c>
      <c r="C292" s="25">
        <f t="shared" si="68"/>
        <v>693000</v>
      </c>
      <c r="D292" s="758">
        <f t="shared" si="78"/>
        <v>66078.143829947876</v>
      </c>
      <c r="E292" s="758">
        <f t="shared" si="78"/>
        <v>4881.4484631132664</v>
      </c>
      <c r="F292" s="758">
        <f t="shared" si="78"/>
        <v>64742.351865026933</v>
      </c>
      <c r="G292" s="758">
        <f t="shared" si="78"/>
        <v>52996.094260450402</v>
      </c>
      <c r="H292" s="25">
        <f t="shared" si="77"/>
        <v>881698.03841853864</v>
      </c>
      <c r="I292" s="758">
        <v>200</v>
      </c>
      <c r="J292" s="758">
        <f t="shared" si="72"/>
        <v>4408.4901920926932</v>
      </c>
      <c r="K292" s="666"/>
      <c r="L292" s="192" t="s">
        <v>648</v>
      </c>
      <c r="M292" s="771">
        <f t="shared" si="71"/>
        <v>41565</v>
      </c>
      <c r="N292" s="771">
        <v>41568</v>
      </c>
      <c r="O292" s="772" t="s">
        <v>981</v>
      </c>
      <c r="P292" s="305">
        <v>105</v>
      </c>
      <c r="Q292" s="801">
        <v>6600</v>
      </c>
      <c r="R292" s="25">
        <f t="shared" si="73"/>
        <v>693000</v>
      </c>
      <c r="S292" s="449"/>
      <c r="T292" s="771"/>
      <c r="U292" s="803"/>
      <c r="V292" s="801"/>
      <c r="W292" s="25">
        <f t="shared" si="74"/>
        <v>0</v>
      </c>
    </row>
    <row r="293" spans="1:23" ht="16.5" customHeight="1">
      <c r="A293" s="757">
        <f t="shared" si="67"/>
        <v>44</v>
      </c>
      <c r="B293" s="297" t="s">
        <v>991</v>
      </c>
      <c r="C293" s="25">
        <f t="shared" si="68"/>
        <v>1641600</v>
      </c>
      <c r="D293" s="758">
        <f t="shared" si="78"/>
        <v>16519.535957486969</v>
      </c>
      <c r="E293" s="758">
        <f t="shared" si="78"/>
        <v>1220.3621157783166</v>
      </c>
      <c r="F293" s="758">
        <f t="shared" si="78"/>
        <v>16185.587966256733</v>
      </c>
      <c r="G293" s="758">
        <f t="shared" si="78"/>
        <v>13249.0235651126</v>
      </c>
      <c r="H293" s="25">
        <f t="shared" si="77"/>
        <v>1688774.5096046347</v>
      </c>
      <c r="I293" s="758">
        <v>50</v>
      </c>
      <c r="J293" s="758">
        <f t="shared" si="72"/>
        <v>33775.490192092693</v>
      </c>
      <c r="K293" s="666"/>
      <c r="L293" s="843" t="s">
        <v>1177</v>
      </c>
      <c r="M293" s="771">
        <f t="shared" si="71"/>
        <v>41565</v>
      </c>
      <c r="N293" s="771">
        <v>41568</v>
      </c>
      <c r="O293" s="772" t="s">
        <v>986</v>
      </c>
      <c r="P293" s="305">
        <v>50</v>
      </c>
      <c r="Q293" s="801">
        <v>32832</v>
      </c>
      <c r="R293" s="25">
        <f t="shared" si="73"/>
        <v>1641600</v>
      </c>
      <c r="S293" s="449"/>
      <c r="T293" s="771"/>
      <c r="U293" s="803"/>
      <c r="V293" s="801"/>
      <c r="W293" s="25">
        <f t="shared" si="74"/>
        <v>0</v>
      </c>
    </row>
    <row r="294" spans="1:23" ht="16.5" customHeight="1">
      <c r="A294" s="757">
        <f t="shared" si="67"/>
        <v>45</v>
      </c>
      <c r="B294" s="297" t="s">
        <v>992</v>
      </c>
      <c r="C294" s="25">
        <f t="shared" si="68"/>
        <v>3079890</v>
      </c>
      <c r="D294" s="758">
        <f t="shared" si="78"/>
        <v>16519.535957486969</v>
      </c>
      <c r="E294" s="758">
        <f t="shared" si="78"/>
        <v>1220.3621157783166</v>
      </c>
      <c r="F294" s="758">
        <f t="shared" si="78"/>
        <v>16185.587966256733</v>
      </c>
      <c r="G294" s="758">
        <f t="shared" si="78"/>
        <v>13249.0235651126</v>
      </c>
      <c r="H294" s="25">
        <f t="shared" si="77"/>
        <v>3127064.5096046347</v>
      </c>
      <c r="I294" s="758">
        <v>50</v>
      </c>
      <c r="J294" s="758">
        <f t="shared" si="72"/>
        <v>62541.290192092696</v>
      </c>
      <c r="K294" s="666"/>
      <c r="L294" s="843" t="s">
        <v>636</v>
      </c>
      <c r="M294" s="771">
        <f t="shared" si="71"/>
        <v>41565</v>
      </c>
      <c r="N294" s="771">
        <v>41568</v>
      </c>
      <c r="O294" s="772" t="s">
        <v>986</v>
      </c>
      <c r="P294" s="305">
        <v>85</v>
      </c>
      <c r="Q294" s="801">
        <v>36234</v>
      </c>
      <c r="R294" s="25">
        <f t="shared" si="73"/>
        <v>3079890</v>
      </c>
      <c r="S294" s="449"/>
      <c r="T294" s="771"/>
      <c r="U294" s="803"/>
      <c r="V294" s="801"/>
      <c r="W294" s="25">
        <f t="shared" si="74"/>
        <v>0</v>
      </c>
    </row>
    <row r="295" spans="1:23" ht="16.5" customHeight="1">
      <c r="A295" s="757">
        <f t="shared" si="67"/>
        <v>46</v>
      </c>
      <c r="B295" s="297" t="s">
        <v>1152</v>
      </c>
      <c r="C295" s="25">
        <f t="shared" si="68"/>
        <v>6905808</v>
      </c>
      <c r="D295" s="758">
        <f t="shared" si="78"/>
        <v>654173.62391648395</v>
      </c>
      <c r="E295" s="758">
        <f t="shared" si="78"/>
        <v>48326.339784821335</v>
      </c>
      <c r="F295" s="758">
        <f t="shared" si="78"/>
        <v>640949.28346376668</v>
      </c>
      <c r="G295" s="758">
        <f t="shared" si="78"/>
        <v>524661.33317845897</v>
      </c>
      <c r="H295" s="25">
        <f t="shared" si="77"/>
        <v>8773918.5803435314</v>
      </c>
      <c r="I295" s="758">
        <v>1980</v>
      </c>
      <c r="J295" s="758">
        <f t="shared" si="72"/>
        <v>4431.2720102745106</v>
      </c>
      <c r="K295" s="666"/>
      <c r="L295" s="192" t="s">
        <v>603</v>
      </c>
      <c r="M295" s="771">
        <f t="shared" si="71"/>
        <v>41566</v>
      </c>
      <c r="N295" s="771">
        <v>41569</v>
      </c>
      <c r="O295" s="772" t="s">
        <v>988</v>
      </c>
      <c r="P295" s="305">
        <v>336</v>
      </c>
      <c r="Q295" s="801">
        <v>20553</v>
      </c>
      <c r="R295" s="25">
        <f t="shared" si="73"/>
        <v>6905808</v>
      </c>
      <c r="S295" s="449"/>
      <c r="T295" s="771"/>
      <c r="U295" s="803"/>
      <c r="V295" s="801"/>
      <c r="W295" s="25">
        <f t="shared" si="74"/>
        <v>0</v>
      </c>
    </row>
    <row r="296" spans="1:23" ht="16.5" customHeight="1">
      <c r="A296" s="757">
        <f t="shared" si="67"/>
        <v>47</v>
      </c>
      <c r="B296" s="297" t="s">
        <v>1129</v>
      </c>
      <c r="C296" s="25">
        <f t="shared" si="68"/>
        <v>497751</v>
      </c>
      <c r="D296" s="758">
        <f t="shared" si="78"/>
        <v>33039.071914973938</v>
      </c>
      <c r="E296" s="758">
        <f t="shared" si="78"/>
        <v>2440.7242315566332</v>
      </c>
      <c r="F296" s="758">
        <f t="shared" si="78"/>
        <v>32371.175932513466</v>
      </c>
      <c r="G296" s="758">
        <f t="shared" si="78"/>
        <v>26498.047130225201</v>
      </c>
      <c r="H296" s="25">
        <f t="shared" si="77"/>
        <v>592100.0192092692</v>
      </c>
      <c r="I296" s="758">
        <v>100</v>
      </c>
      <c r="J296" s="758">
        <f t="shared" si="72"/>
        <v>5921.0001920926916</v>
      </c>
      <c r="K296" s="666"/>
      <c r="L296" s="843" t="s">
        <v>1241</v>
      </c>
      <c r="M296" s="771">
        <f t="shared" si="71"/>
        <v>41568</v>
      </c>
      <c r="N296" s="771">
        <v>41571</v>
      </c>
      <c r="O296" s="772" t="s">
        <v>990</v>
      </c>
      <c r="P296" s="305">
        <v>25</v>
      </c>
      <c r="Q296" s="801">
        <v>19910.04</v>
      </c>
      <c r="R296" s="25">
        <f t="shared" si="73"/>
        <v>497751</v>
      </c>
      <c r="S296" s="449"/>
      <c r="T296" s="771"/>
      <c r="U296" s="803"/>
      <c r="V296" s="801"/>
      <c r="W296" s="25">
        <f t="shared" si="74"/>
        <v>0</v>
      </c>
    </row>
    <row r="297" spans="1:23" ht="16.5" customHeight="1">
      <c r="A297" s="757">
        <f t="shared" si="67"/>
        <v>48</v>
      </c>
      <c r="B297" s="297" t="s">
        <v>812</v>
      </c>
      <c r="C297" s="25">
        <f t="shared" si="68"/>
        <v>1633000</v>
      </c>
      <c r="D297" s="758">
        <f t="shared" si="78"/>
        <v>66078.143829947876</v>
      </c>
      <c r="E297" s="758">
        <f t="shared" si="78"/>
        <v>4881.4484631132664</v>
      </c>
      <c r="F297" s="758">
        <f t="shared" si="78"/>
        <v>64742.351865026933</v>
      </c>
      <c r="G297" s="758">
        <f t="shared" si="78"/>
        <v>52996.094260450402</v>
      </c>
      <c r="H297" s="25">
        <f t="shared" si="77"/>
        <v>1821698.0384185384</v>
      </c>
      <c r="I297" s="758">
        <v>200</v>
      </c>
      <c r="J297" s="758">
        <f t="shared" si="72"/>
        <v>9108.4901920926914</v>
      </c>
      <c r="K297" s="666"/>
      <c r="L297" s="843" t="s">
        <v>1198</v>
      </c>
      <c r="M297" s="771">
        <f t="shared" si="71"/>
        <v>41568</v>
      </c>
      <c r="N297" s="771">
        <v>41571</v>
      </c>
      <c r="O297" s="772" t="s">
        <v>990</v>
      </c>
      <c r="P297" s="305">
        <v>200</v>
      </c>
      <c r="Q297" s="801">
        <v>8165</v>
      </c>
      <c r="R297" s="25">
        <f t="shared" si="73"/>
        <v>1633000</v>
      </c>
      <c r="S297" s="449"/>
      <c r="T297" s="771"/>
      <c r="U297" s="803"/>
      <c r="V297" s="801"/>
      <c r="W297" s="25">
        <f t="shared" si="74"/>
        <v>0</v>
      </c>
    </row>
    <row r="298" spans="1:23" ht="16.5" customHeight="1">
      <c r="A298" s="757">
        <f t="shared" si="67"/>
        <v>49</v>
      </c>
      <c r="B298" s="297" t="s">
        <v>1129</v>
      </c>
      <c r="C298" s="25">
        <f t="shared" si="68"/>
        <v>1123800</v>
      </c>
      <c r="D298" s="758">
        <f t="shared" si="78"/>
        <v>66078.143829947876</v>
      </c>
      <c r="E298" s="758">
        <f t="shared" si="78"/>
        <v>4881.4484631132664</v>
      </c>
      <c r="F298" s="758">
        <f t="shared" si="78"/>
        <v>64742.351865026933</v>
      </c>
      <c r="G298" s="758">
        <f t="shared" si="78"/>
        <v>52996.094260450402</v>
      </c>
      <c r="H298" s="25">
        <f t="shared" si="77"/>
        <v>1312498.0384185384</v>
      </c>
      <c r="I298" s="758">
        <v>200</v>
      </c>
      <c r="J298" s="758">
        <f t="shared" si="72"/>
        <v>6562.4901920926923</v>
      </c>
      <c r="K298" s="666"/>
      <c r="L298" s="192" t="s">
        <v>663</v>
      </c>
      <c r="M298" s="771">
        <f t="shared" si="71"/>
        <v>41568</v>
      </c>
      <c r="N298" s="771">
        <v>41571</v>
      </c>
      <c r="O298" s="772" t="s">
        <v>990</v>
      </c>
      <c r="P298" s="305">
        <v>100</v>
      </c>
      <c r="Q298" s="801">
        <v>11238</v>
      </c>
      <c r="R298" s="25">
        <f t="shared" si="73"/>
        <v>1123800</v>
      </c>
      <c r="S298" s="449"/>
      <c r="T298" s="771"/>
      <c r="U298" s="803"/>
      <c r="V298" s="801"/>
      <c r="W298" s="25">
        <f t="shared" si="74"/>
        <v>0</v>
      </c>
    </row>
    <row r="299" spans="1:23" ht="16.5" customHeight="1">
      <c r="A299" s="757">
        <f t="shared" si="67"/>
        <v>50</v>
      </c>
      <c r="B299" s="297" t="s">
        <v>938</v>
      </c>
      <c r="C299" s="25">
        <f t="shared" si="68"/>
        <v>9600000</v>
      </c>
      <c r="D299" s="758">
        <f t="shared" si="78"/>
        <v>193278.57070259753</v>
      </c>
      <c r="E299" s="758">
        <f t="shared" si="78"/>
        <v>14278.236754606305</v>
      </c>
      <c r="F299" s="758">
        <f t="shared" si="78"/>
        <v>189371.37920520379</v>
      </c>
      <c r="G299" s="758">
        <f t="shared" si="78"/>
        <v>155013.57571181742</v>
      </c>
      <c r="H299" s="25">
        <f t="shared" si="77"/>
        <v>10151941.762374224</v>
      </c>
      <c r="I299" s="758">
        <v>585</v>
      </c>
      <c r="J299" s="758">
        <f t="shared" si="72"/>
        <v>17353.7466023491</v>
      </c>
      <c r="K299" s="666"/>
      <c r="L299" s="192" t="s">
        <v>688</v>
      </c>
      <c r="M299" s="771">
        <f t="shared" si="71"/>
        <v>41568</v>
      </c>
      <c r="N299" s="771">
        <v>41571</v>
      </c>
      <c r="O299" s="772" t="s">
        <v>993</v>
      </c>
      <c r="P299" s="305">
        <v>600</v>
      </c>
      <c r="Q299" s="794">
        <v>16000</v>
      </c>
      <c r="R299" s="25">
        <f t="shared" si="73"/>
        <v>9600000</v>
      </c>
      <c r="S299" s="449"/>
      <c r="T299" s="771"/>
      <c r="U299" s="803"/>
      <c r="V299" s="801"/>
      <c r="W299" s="25">
        <f t="shared" si="74"/>
        <v>0</v>
      </c>
    </row>
    <row r="300" spans="1:23" ht="16.5" customHeight="1">
      <c r="A300" s="757">
        <f t="shared" si="67"/>
        <v>51</v>
      </c>
      <c r="B300" s="297" t="s">
        <v>1148</v>
      </c>
      <c r="C300" s="25">
        <f t="shared" si="68"/>
        <v>199100</v>
      </c>
      <c r="D300" s="758">
        <f t="shared" si="78"/>
        <v>16189.145238337229</v>
      </c>
      <c r="E300" s="758">
        <f t="shared" si="78"/>
        <v>1195.9548734627504</v>
      </c>
      <c r="F300" s="758">
        <f t="shared" si="78"/>
        <v>15861.876206931598</v>
      </c>
      <c r="G300" s="758">
        <f t="shared" si="78"/>
        <v>12984.043093810347</v>
      </c>
      <c r="H300" s="25">
        <f t="shared" si="77"/>
        <v>245331.01941254194</v>
      </c>
      <c r="I300" s="758">
        <v>49</v>
      </c>
      <c r="J300" s="758">
        <f t="shared" si="72"/>
        <v>5006.7554982151414</v>
      </c>
      <c r="K300" s="666"/>
      <c r="L300" s="843" t="s">
        <v>1241</v>
      </c>
      <c r="M300" s="771">
        <f t="shared" si="71"/>
        <v>41570</v>
      </c>
      <c r="N300" s="771">
        <v>41573</v>
      </c>
      <c r="O300" s="772" t="s">
        <v>994</v>
      </c>
      <c r="P300" s="305">
        <v>10</v>
      </c>
      <c r="Q300" s="801">
        <v>19910.04</v>
      </c>
      <c r="R300" s="25">
        <f t="shared" si="73"/>
        <v>199100</v>
      </c>
      <c r="S300" s="449"/>
      <c r="T300" s="771"/>
      <c r="U300" s="803"/>
      <c r="V300" s="801"/>
      <c r="W300" s="25">
        <f t="shared" si="74"/>
        <v>0</v>
      </c>
    </row>
    <row r="301" spans="1:23" ht="16.5" customHeight="1">
      <c r="A301" s="757">
        <f>IF(B301&lt;&gt;"",A300+1,"")</f>
        <v>52</v>
      </c>
      <c r="B301" s="297" t="s">
        <v>1147</v>
      </c>
      <c r="C301" s="25">
        <f t="shared" si="68"/>
        <v>9500000</v>
      </c>
      <c r="D301" s="758">
        <f t="shared" si="78"/>
        <v>1054276.7848068182</v>
      </c>
      <c r="E301" s="758">
        <f t="shared" si="78"/>
        <v>77883.510228972169</v>
      </c>
      <c r="F301" s="758">
        <f t="shared" si="78"/>
        <v>1032964.2240065048</v>
      </c>
      <c r="G301" s="758">
        <f t="shared" si="78"/>
        <v>845552.68392548617</v>
      </c>
      <c r="H301" s="25">
        <f t="shared" si="77"/>
        <v>12510677.202967782</v>
      </c>
      <c r="I301" s="758">
        <v>3191</v>
      </c>
      <c r="J301" s="758">
        <f t="shared" si="72"/>
        <v>3920.6133509770548</v>
      </c>
      <c r="K301" s="666"/>
      <c r="L301" s="192" t="s">
        <v>706</v>
      </c>
      <c r="M301" s="771">
        <f t="shared" si="71"/>
        <v>41570</v>
      </c>
      <c r="N301" s="771">
        <v>41573</v>
      </c>
      <c r="O301" s="772" t="s">
        <v>994</v>
      </c>
      <c r="P301" s="305">
        <v>1000</v>
      </c>
      <c r="Q301" s="801">
        <v>9500</v>
      </c>
      <c r="R301" s="25">
        <f t="shared" si="73"/>
        <v>9500000</v>
      </c>
      <c r="S301" s="449"/>
      <c r="T301" s="771"/>
      <c r="U301" s="803"/>
      <c r="V301" s="801"/>
      <c r="W301" s="25">
        <f t="shared" si="74"/>
        <v>0</v>
      </c>
    </row>
    <row r="302" spans="1:23" ht="16.5" customHeight="1">
      <c r="A302" s="757">
        <f t="shared" si="67"/>
        <v>53</v>
      </c>
      <c r="B302" s="297" t="s">
        <v>940</v>
      </c>
      <c r="C302" s="25">
        <f t="shared" si="68"/>
        <v>5484864</v>
      </c>
      <c r="D302" s="758">
        <f t="shared" si="78"/>
        <v>122574.95680455331</v>
      </c>
      <c r="E302" s="758">
        <f t="shared" si="78"/>
        <v>9055.0868990751096</v>
      </c>
      <c r="F302" s="758">
        <f t="shared" si="78"/>
        <v>120097.06270962497</v>
      </c>
      <c r="G302" s="758">
        <f t="shared" si="78"/>
        <v>98307.754853135499</v>
      </c>
      <c r="H302" s="25">
        <f t="shared" si="77"/>
        <v>5834898.8612663886</v>
      </c>
      <c r="I302" s="758">
        <v>371</v>
      </c>
      <c r="J302" s="758">
        <f t="shared" si="72"/>
        <v>15727.490192092691</v>
      </c>
      <c r="K302" s="666"/>
      <c r="L302" s="192" t="s">
        <v>630</v>
      </c>
      <c r="M302" s="771">
        <f t="shared" si="71"/>
        <v>41574</v>
      </c>
      <c r="N302" s="771">
        <v>41577</v>
      </c>
      <c r="O302" s="772" t="s">
        <v>995</v>
      </c>
      <c r="P302" s="305">
        <f>I302</f>
        <v>371</v>
      </c>
      <c r="Q302" s="801">
        <v>14784</v>
      </c>
      <c r="R302" s="25">
        <f t="shared" si="73"/>
        <v>5484864</v>
      </c>
      <c r="S302" s="449"/>
      <c r="T302" s="771"/>
      <c r="U302" s="803"/>
      <c r="V302" s="801"/>
      <c r="W302" s="25">
        <f t="shared" si="74"/>
        <v>0</v>
      </c>
    </row>
    <row r="303" spans="1:23" ht="16.5" customHeight="1">
      <c r="A303" s="757">
        <f t="shared" si="67"/>
        <v>54</v>
      </c>
      <c r="B303" s="297" t="s">
        <v>729</v>
      </c>
      <c r="C303" s="25">
        <f t="shared" si="68"/>
        <v>6760000</v>
      </c>
      <c r="D303" s="758">
        <f t="shared" si="78"/>
        <v>330060.32843058964</v>
      </c>
      <c r="E303" s="758">
        <f t="shared" si="78"/>
        <v>24382.835073250764</v>
      </c>
      <c r="F303" s="758">
        <f t="shared" si="78"/>
        <v>323388.04756580951</v>
      </c>
      <c r="G303" s="758">
        <f t="shared" si="78"/>
        <v>264715.49083094974</v>
      </c>
      <c r="H303" s="25">
        <f t="shared" si="77"/>
        <v>7702546.7019005986</v>
      </c>
      <c r="I303" s="758">
        <v>999</v>
      </c>
      <c r="J303" s="758">
        <f t="shared" si="72"/>
        <v>7710.2569588594579</v>
      </c>
      <c r="K303" s="666"/>
      <c r="L303" s="192" t="s">
        <v>711</v>
      </c>
      <c r="M303" s="771">
        <f t="shared" si="71"/>
        <v>41575</v>
      </c>
      <c r="N303" s="771">
        <v>41578</v>
      </c>
      <c r="O303" s="772" t="s">
        <v>996</v>
      </c>
      <c r="P303" s="305">
        <v>1000</v>
      </c>
      <c r="Q303" s="801">
        <v>6760</v>
      </c>
      <c r="R303" s="25">
        <f t="shared" si="73"/>
        <v>6760000</v>
      </c>
      <c r="S303" s="449"/>
      <c r="T303" s="771"/>
      <c r="U303" s="803"/>
      <c r="V303" s="801"/>
      <c r="W303" s="25">
        <f t="shared" si="74"/>
        <v>0</v>
      </c>
    </row>
    <row r="304" spans="1:23" ht="16.5" customHeight="1">
      <c r="A304" s="757">
        <f t="shared" si="67"/>
        <v>55</v>
      </c>
      <c r="B304" s="297" t="s">
        <v>836</v>
      </c>
      <c r="C304" s="25">
        <f t="shared" si="68"/>
        <v>3400000</v>
      </c>
      <c r="D304" s="758">
        <f t="shared" si="78"/>
        <v>131165.11550244654</v>
      </c>
      <c r="E304" s="758">
        <f t="shared" si="78"/>
        <v>9689.6751992798345</v>
      </c>
      <c r="F304" s="758">
        <f t="shared" si="78"/>
        <v>128513.56845207846</v>
      </c>
      <c r="G304" s="758">
        <f t="shared" si="78"/>
        <v>105197.24710699404</v>
      </c>
      <c r="H304" s="25">
        <f t="shared" si="77"/>
        <v>3774565.6062607989</v>
      </c>
      <c r="I304" s="758">
        <v>397</v>
      </c>
      <c r="J304" s="758">
        <f t="shared" si="72"/>
        <v>9507.7219301279565</v>
      </c>
      <c r="K304" s="666"/>
      <c r="L304" s="192" t="s">
        <v>685</v>
      </c>
      <c r="M304" s="771">
        <f t="shared" si="71"/>
        <v>41575</v>
      </c>
      <c r="N304" s="771">
        <v>41578</v>
      </c>
      <c r="O304" s="772" t="s">
        <v>997</v>
      </c>
      <c r="P304" s="305">
        <v>400</v>
      </c>
      <c r="Q304" s="801">
        <v>8500</v>
      </c>
      <c r="R304" s="25">
        <f t="shared" si="73"/>
        <v>3400000</v>
      </c>
      <c r="S304" s="449"/>
      <c r="T304" s="771"/>
      <c r="U304" s="803"/>
      <c r="V304" s="801"/>
      <c r="W304" s="25">
        <f t="shared" si="74"/>
        <v>0</v>
      </c>
    </row>
    <row r="305" spans="1:23" ht="16.5" customHeight="1">
      <c r="A305" s="757">
        <f t="shared" si="67"/>
        <v>56</v>
      </c>
      <c r="B305" s="297" t="s">
        <v>883</v>
      </c>
      <c r="C305" s="25">
        <f t="shared" si="68"/>
        <v>3990000</v>
      </c>
      <c r="D305" s="758">
        <f t="shared" si="78"/>
        <v>164204.18741742047</v>
      </c>
      <c r="E305" s="758">
        <f t="shared" si="78"/>
        <v>12130.399430836467</v>
      </c>
      <c r="F305" s="758">
        <f t="shared" si="78"/>
        <v>160884.74438459193</v>
      </c>
      <c r="G305" s="758">
        <f t="shared" si="78"/>
        <v>131695.29423721923</v>
      </c>
      <c r="H305" s="25">
        <f t="shared" si="77"/>
        <v>4458914.6254700683</v>
      </c>
      <c r="I305" s="758">
        <v>497</v>
      </c>
      <c r="J305" s="758">
        <f t="shared" si="72"/>
        <v>8971.6592061771989</v>
      </c>
      <c r="K305" s="666"/>
      <c r="L305" s="843" t="s">
        <v>1224</v>
      </c>
      <c r="M305" s="771">
        <f t="shared" si="71"/>
        <v>41575</v>
      </c>
      <c r="N305" s="771">
        <v>41578</v>
      </c>
      <c r="O305" s="772" t="s">
        <v>998</v>
      </c>
      <c r="P305" s="305">
        <v>200</v>
      </c>
      <c r="Q305" s="801">
        <v>19950</v>
      </c>
      <c r="R305" s="25">
        <f t="shared" si="73"/>
        <v>3990000</v>
      </c>
      <c r="S305" s="449"/>
      <c r="T305" s="771"/>
      <c r="U305" s="803"/>
      <c r="V305" s="801"/>
      <c r="W305" s="25">
        <f t="shared" si="74"/>
        <v>0</v>
      </c>
    </row>
    <row r="306" spans="1:23" ht="16.5" customHeight="1">
      <c r="A306" s="757">
        <f t="shared" si="67"/>
        <v>57</v>
      </c>
      <c r="B306" s="297" t="s">
        <v>806</v>
      </c>
      <c r="C306" s="25">
        <f t="shared" si="68"/>
        <v>2448420</v>
      </c>
      <c r="D306" s="758">
        <f t="shared" si="78"/>
        <v>96474.0899917239</v>
      </c>
      <c r="E306" s="758">
        <f t="shared" si="78"/>
        <v>7126.9147561453692</v>
      </c>
      <c r="F306" s="758">
        <f t="shared" si="78"/>
        <v>94523.833722939322</v>
      </c>
      <c r="G306" s="758">
        <f t="shared" si="78"/>
        <v>77374.297620257581</v>
      </c>
      <c r="H306" s="25">
        <f t="shared" si="77"/>
        <v>2723919.1360910661</v>
      </c>
      <c r="I306" s="758">
        <v>292</v>
      </c>
      <c r="J306" s="758">
        <f t="shared" si="72"/>
        <v>9328.4901920926914</v>
      </c>
      <c r="K306" s="666"/>
      <c r="L306" s="192" t="s">
        <v>628</v>
      </c>
      <c r="M306" s="771">
        <f t="shared" si="71"/>
        <v>41575</v>
      </c>
      <c r="N306" s="771">
        <v>41578</v>
      </c>
      <c r="O306" s="772" t="s">
        <v>999</v>
      </c>
      <c r="P306" s="305">
        <f>I306</f>
        <v>292</v>
      </c>
      <c r="Q306" s="801">
        <v>8385</v>
      </c>
      <c r="R306" s="25">
        <f t="shared" si="73"/>
        <v>2448420</v>
      </c>
      <c r="S306" s="449"/>
      <c r="T306" s="771"/>
      <c r="U306" s="803"/>
      <c r="V306" s="801"/>
      <c r="W306" s="25">
        <f t="shared" si="74"/>
        <v>0</v>
      </c>
    </row>
    <row r="307" spans="1:23" ht="16.5" customHeight="1">
      <c r="A307" s="757">
        <f t="shared" si="67"/>
        <v>58</v>
      </c>
      <c r="B307" s="297" t="s">
        <v>815</v>
      </c>
      <c r="C307" s="25">
        <f t="shared" si="68"/>
        <v>8000000</v>
      </c>
      <c r="D307" s="758">
        <f t="shared" si="78"/>
        <v>165195.35957486968</v>
      </c>
      <c r="E307" s="758">
        <f t="shared" si="78"/>
        <v>12203.621157783165</v>
      </c>
      <c r="F307" s="758">
        <f t="shared" si="78"/>
        <v>161855.87966256734</v>
      </c>
      <c r="G307" s="758">
        <f t="shared" si="78"/>
        <v>132490.23565112599</v>
      </c>
      <c r="H307" s="25">
        <f t="shared" si="77"/>
        <v>8471745.0960463453</v>
      </c>
      <c r="I307" s="758">
        <v>500</v>
      </c>
      <c r="J307" s="758">
        <f t="shared" si="72"/>
        <v>16943.49019209269</v>
      </c>
      <c r="K307" s="666"/>
      <c r="L307" s="192" t="s">
        <v>688</v>
      </c>
      <c r="M307" s="771">
        <f t="shared" si="71"/>
        <v>41579</v>
      </c>
      <c r="N307" s="771">
        <v>41582</v>
      </c>
      <c r="O307" s="772" t="s">
        <v>1000</v>
      </c>
      <c r="P307" s="305">
        <v>500</v>
      </c>
      <c r="Q307" s="794">
        <v>16000</v>
      </c>
      <c r="R307" s="25">
        <f t="shared" si="73"/>
        <v>8000000</v>
      </c>
      <c r="S307" s="449"/>
      <c r="T307" s="771"/>
      <c r="U307" s="803"/>
      <c r="V307" s="801"/>
      <c r="W307" s="25">
        <f t="shared" si="74"/>
        <v>0</v>
      </c>
    </row>
    <row r="308" spans="1:23" ht="16.5" customHeight="1">
      <c r="A308" s="757">
        <f t="shared" si="67"/>
        <v>59</v>
      </c>
      <c r="B308" s="297" t="s">
        <v>817</v>
      </c>
      <c r="C308" s="25">
        <f t="shared" si="68"/>
        <v>419250</v>
      </c>
      <c r="D308" s="758">
        <f t="shared" si="78"/>
        <v>330390.71914973937</v>
      </c>
      <c r="E308" s="758">
        <f t="shared" si="78"/>
        <v>24407.242315566331</v>
      </c>
      <c r="F308" s="758">
        <f t="shared" si="78"/>
        <v>323711.75932513468</v>
      </c>
      <c r="G308" s="758">
        <f t="shared" si="78"/>
        <v>264980.47130225197</v>
      </c>
      <c r="H308" s="25">
        <f t="shared" si="77"/>
        <v>1362740.1920926922</v>
      </c>
      <c r="I308" s="758">
        <v>1000</v>
      </c>
      <c r="J308" s="758">
        <f t="shared" si="72"/>
        <v>1362.7401920926923</v>
      </c>
      <c r="K308" s="666"/>
      <c r="L308" s="192" t="s">
        <v>628</v>
      </c>
      <c r="M308" s="771">
        <f t="shared" si="71"/>
        <v>41579</v>
      </c>
      <c r="N308" s="771">
        <v>41582</v>
      </c>
      <c r="O308" s="772" t="s">
        <v>1000</v>
      </c>
      <c r="P308" s="305">
        <f>I308/20</f>
        <v>50</v>
      </c>
      <c r="Q308" s="801">
        <v>8385</v>
      </c>
      <c r="R308" s="25">
        <f t="shared" si="73"/>
        <v>419250</v>
      </c>
      <c r="S308" s="449"/>
      <c r="T308" s="771"/>
      <c r="U308" s="803"/>
      <c r="V308" s="801"/>
      <c r="W308" s="25">
        <f t="shared" si="74"/>
        <v>0</v>
      </c>
    </row>
    <row r="309" spans="1:23" ht="16.5" customHeight="1">
      <c r="A309" s="757">
        <f t="shared" si="67"/>
        <v>60</v>
      </c>
      <c r="B309" s="297" t="s">
        <v>1001</v>
      </c>
      <c r="C309" s="25">
        <f t="shared" si="68"/>
        <v>4600000</v>
      </c>
      <c r="D309" s="758">
        <f t="shared" si="78"/>
        <v>332042.67274548806</v>
      </c>
      <c r="E309" s="758">
        <f t="shared" si="78"/>
        <v>24529.278527144164</v>
      </c>
      <c r="F309" s="758">
        <f t="shared" si="78"/>
        <v>325330.31812176033</v>
      </c>
      <c r="G309" s="758">
        <f t="shared" si="78"/>
        <v>266305.37365876324</v>
      </c>
      <c r="H309" s="25">
        <f t="shared" si="77"/>
        <v>5548207.6430531554</v>
      </c>
      <c r="I309" s="758">
        <v>1005</v>
      </c>
      <c r="J309" s="758">
        <f t="shared" si="72"/>
        <v>5520.6046199533885</v>
      </c>
      <c r="K309" s="666"/>
      <c r="L309" s="843" t="s">
        <v>1281</v>
      </c>
      <c r="M309" s="771">
        <f t="shared" si="71"/>
        <v>41580</v>
      </c>
      <c r="N309" s="771">
        <v>41583</v>
      </c>
      <c r="O309" s="772" t="s">
        <v>1002</v>
      </c>
      <c r="P309" s="305">
        <v>1000</v>
      </c>
      <c r="Q309" s="801">
        <v>4600</v>
      </c>
      <c r="R309" s="25">
        <f t="shared" si="73"/>
        <v>4600000</v>
      </c>
      <c r="S309" s="449"/>
      <c r="T309" s="771"/>
      <c r="U309" s="803"/>
      <c r="V309" s="801"/>
      <c r="W309" s="25">
        <f t="shared" si="74"/>
        <v>0</v>
      </c>
    </row>
    <row r="310" spans="1:23" ht="16.5" customHeight="1">
      <c r="A310" s="757">
        <f t="shared" si="67"/>
        <v>61</v>
      </c>
      <c r="B310" s="297" t="s">
        <v>859</v>
      </c>
      <c r="C310" s="25">
        <f t="shared" si="68"/>
        <v>17600000</v>
      </c>
      <c r="D310" s="758">
        <f t="shared" ref="D310:G329" si="79">IF($I$367&lt;&gt;0,D$367/$I$367*$I310,0)</f>
        <v>328738.76555399067</v>
      </c>
      <c r="E310" s="758">
        <f t="shared" si="79"/>
        <v>24285.206103988501</v>
      </c>
      <c r="F310" s="758">
        <f t="shared" si="79"/>
        <v>322093.20052850898</v>
      </c>
      <c r="G310" s="758">
        <f t="shared" si="79"/>
        <v>263655.56894574076</v>
      </c>
      <c r="H310" s="25">
        <f t="shared" si="77"/>
        <v>18538772.74113223</v>
      </c>
      <c r="I310" s="758">
        <v>995</v>
      </c>
      <c r="J310" s="758">
        <f t="shared" si="72"/>
        <v>18631.93240314797</v>
      </c>
      <c r="K310" s="666"/>
      <c r="L310" s="192" t="s">
        <v>688</v>
      </c>
      <c r="M310" s="771">
        <f t="shared" si="71"/>
        <v>41581</v>
      </c>
      <c r="N310" s="771">
        <v>41584</v>
      </c>
      <c r="O310" s="772" t="s">
        <v>1003</v>
      </c>
      <c r="P310" s="305">
        <v>1100</v>
      </c>
      <c r="Q310" s="801">
        <v>16000</v>
      </c>
      <c r="R310" s="25">
        <f t="shared" si="73"/>
        <v>17600000</v>
      </c>
      <c r="S310" s="449"/>
      <c r="T310" s="771"/>
      <c r="U310" s="803"/>
      <c r="V310" s="801"/>
      <c r="W310" s="25">
        <f t="shared" si="74"/>
        <v>0</v>
      </c>
    </row>
    <row r="311" spans="1:23" ht="16.5" customHeight="1">
      <c r="A311" s="757">
        <f t="shared" si="67"/>
        <v>62</v>
      </c>
      <c r="B311" s="297" t="s">
        <v>1133</v>
      </c>
      <c r="C311" s="25">
        <f t="shared" si="68"/>
        <v>1115050</v>
      </c>
      <c r="D311" s="758">
        <f t="shared" si="79"/>
        <v>66078.143829947876</v>
      </c>
      <c r="E311" s="758">
        <f t="shared" si="79"/>
        <v>4881.4484631132664</v>
      </c>
      <c r="F311" s="758">
        <f t="shared" si="79"/>
        <v>64742.351865026933</v>
      </c>
      <c r="G311" s="758">
        <f t="shared" si="79"/>
        <v>52996.094260450402</v>
      </c>
      <c r="H311" s="25">
        <f t="shared" si="77"/>
        <v>1303748.0384185384</v>
      </c>
      <c r="I311" s="758">
        <v>200</v>
      </c>
      <c r="J311" s="758">
        <f t="shared" si="72"/>
        <v>6518.7401920926923</v>
      </c>
      <c r="K311" s="666"/>
      <c r="L311" s="843" t="s">
        <v>1230</v>
      </c>
      <c r="M311" s="771">
        <f t="shared" si="71"/>
        <v>41583</v>
      </c>
      <c r="N311" s="771">
        <v>41586</v>
      </c>
      <c r="O311" s="772" t="s">
        <v>647</v>
      </c>
      <c r="P311" s="305">
        <f>I311/4</f>
        <v>50</v>
      </c>
      <c r="Q311" s="801">
        <v>22301</v>
      </c>
      <c r="R311" s="25">
        <f t="shared" si="73"/>
        <v>1115050</v>
      </c>
      <c r="S311" s="449"/>
      <c r="T311" s="771"/>
      <c r="U311" s="803"/>
      <c r="V311" s="801"/>
      <c r="W311" s="25">
        <f t="shared" si="74"/>
        <v>0</v>
      </c>
    </row>
    <row r="312" spans="1:23" ht="16.5" customHeight="1">
      <c r="A312" s="757">
        <f t="shared" si="67"/>
        <v>63</v>
      </c>
      <c r="B312" s="297" t="s">
        <v>1134</v>
      </c>
      <c r="C312" s="25">
        <f t="shared" si="68"/>
        <v>2993440</v>
      </c>
      <c r="D312" s="758">
        <f t="shared" si="79"/>
        <v>51871.342906509082</v>
      </c>
      <c r="E312" s="758">
        <f t="shared" si="79"/>
        <v>3831.9370435439141</v>
      </c>
      <c r="F312" s="758">
        <f t="shared" si="79"/>
        <v>50822.746214046143</v>
      </c>
      <c r="G312" s="758">
        <f t="shared" si="79"/>
        <v>41601.93399445356</v>
      </c>
      <c r="H312" s="25">
        <f t="shared" si="77"/>
        <v>3141567.9601585525</v>
      </c>
      <c r="I312" s="758">
        <v>157</v>
      </c>
      <c r="J312" s="758">
        <f t="shared" si="72"/>
        <v>20009.987007379314</v>
      </c>
      <c r="K312" s="666"/>
      <c r="L312" s="192" t="s">
        <v>679</v>
      </c>
      <c r="M312" s="771">
        <f t="shared" si="71"/>
        <v>41583</v>
      </c>
      <c r="N312" s="771">
        <v>41586</v>
      </c>
      <c r="O312" s="772" t="s">
        <v>647</v>
      </c>
      <c r="P312" s="305">
        <v>160</v>
      </c>
      <c r="Q312" s="801">
        <v>18709</v>
      </c>
      <c r="R312" s="25">
        <f t="shared" si="73"/>
        <v>2993440</v>
      </c>
      <c r="S312" s="449"/>
      <c r="T312" s="771"/>
      <c r="U312" s="803"/>
      <c r="V312" s="801"/>
      <c r="W312" s="25">
        <f t="shared" si="74"/>
        <v>0</v>
      </c>
    </row>
    <row r="313" spans="1:23" ht="16.5" customHeight="1">
      <c r="A313" s="757">
        <f t="shared" si="67"/>
        <v>64</v>
      </c>
      <c r="B313" s="297" t="s">
        <v>1004</v>
      </c>
      <c r="C313" s="25">
        <f t="shared" si="68"/>
        <v>1204900</v>
      </c>
      <c r="D313" s="758">
        <f t="shared" si="79"/>
        <v>66078.143829947876</v>
      </c>
      <c r="E313" s="758">
        <f t="shared" si="79"/>
        <v>4881.4484631132664</v>
      </c>
      <c r="F313" s="758">
        <f t="shared" si="79"/>
        <v>64742.351865026933</v>
      </c>
      <c r="G313" s="758">
        <f t="shared" si="79"/>
        <v>52996.094260450402</v>
      </c>
      <c r="H313" s="25">
        <f t="shared" si="77"/>
        <v>1393598.0384185384</v>
      </c>
      <c r="I313" s="758">
        <v>200</v>
      </c>
      <c r="J313" s="758">
        <f t="shared" si="72"/>
        <v>6967.9901920926923</v>
      </c>
      <c r="K313" s="666"/>
      <c r="L313" s="192" t="s">
        <v>651</v>
      </c>
      <c r="M313" s="771">
        <f t="shared" si="71"/>
        <v>41583</v>
      </c>
      <c r="N313" s="771">
        <v>41586</v>
      </c>
      <c r="O313" s="772" t="s">
        <v>1005</v>
      </c>
      <c r="P313" s="305">
        <v>50</v>
      </c>
      <c r="Q313" s="801">
        <v>24098</v>
      </c>
      <c r="R313" s="25">
        <f t="shared" si="73"/>
        <v>1204900</v>
      </c>
      <c r="S313" s="449"/>
      <c r="T313" s="771"/>
      <c r="U313" s="803"/>
      <c r="V313" s="801"/>
      <c r="W313" s="25">
        <f t="shared" si="74"/>
        <v>0</v>
      </c>
    </row>
    <row r="314" spans="1:23" ht="16.5" customHeight="1">
      <c r="A314" s="757">
        <f>IF(B314&lt;&gt;"",A313+1,"")</f>
        <v>65</v>
      </c>
      <c r="B314" s="297" t="s">
        <v>1007</v>
      </c>
      <c r="C314" s="25">
        <f t="shared" si="68"/>
        <v>1262900</v>
      </c>
      <c r="D314" s="758">
        <f t="shared" si="79"/>
        <v>33039.071914973938</v>
      </c>
      <c r="E314" s="758">
        <f t="shared" si="79"/>
        <v>2440.7242315566332</v>
      </c>
      <c r="F314" s="758">
        <f t="shared" si="79"/>
        <v>32371.175932513466</v>
      </c>
      <c r="G314" s="758">
        <f t="shared" si="79"/>
        <v>26498.047130225201</v>
      </c>
      <c r="H314" s="25">
        <f t="shared" ref="H314:H345" si="80">SUM(C314:G314)</f>
        <v>1357249.0192092692</v>
      </c>
      <c r="I314" s="758">
        <v>100</v>
      </c>
      <c r="J314" s="758">
        <f t="shared" si="72"/>
        <v>13572.490192092691</v>
      </c>
      <c r="K314" s="666"/>
      <c r="L314" s="192" t="s">
        <v>664</v>
      </c>
      <c r="M314" s="771">
        <f t="shared" si="71"/>
        <v>41583</v>
      </c>
      <c r="N314" s="771">
        <v>41586</v>
      </c>
      <c r="O314" s="772" t="s">
        <v>1005</v>
      </c>
      <c r="P314" s="305">
        <v>100</v>
      </c>
      <c r="Q314" s="801">
        <v>12629</v>
      </c>
      <c r="R314" s="25">
        <f t="shared" si="73"/>
        <v>1262900</v>
      </c>
      <c r="S314" s="449"/>
      <c r="T314" s="771"/>
      <c r="U314" s="803"/>
      <c r="V314" s="801"/>
      <c r="W314" s="25">
        <f t="shared" si="74"/>
        <v>0</v>
      </c>
    </row>
    <row r="315" spans="1:23" ht="16.5" customHeight="1">
      <c r="A315" s="757">
        <f t="shared" ref="A315:A365" si="81">IF(B315&lt;&gt;"",A314+1,"")</f>
        <v>66</v>
      </c>
      <c r="B315" s="297" t="s">
        <v>1008</v>
      </c>
      <c r="C315" s="25">
        <f t="shared" ref="C315:C365" si="82">R315</f>
        <v>1789490</v>
      </c>
      <c r="D315" s="758">
        <f t="shared" si="79"/>
        <v>49558.607872460903</v>
      </c>
      <c r="E315" s="758">
        <f t="shared" si="79"/>
        <v>3661.08634733495</v>
      </c>
      <c r="F315" s="758">
        <f t="shared" si="79"/>
        <v>48556.763898770201</v>
      </c>
      <c r="G315" s="758">
        <f t="shared" si="79"/>
        <v>39747.070695337803</v>
      </c>
      <c r="H315" s="25">
        <f t="shared" si="80"/>
        <v>1931013.5288139039</v>
      </c>
      <c r="I315" s="758">
        <v>150</v>
      </c>
      <c r="J315" s="758">
        <f t="shared" si="72"/>
        <v>12873.423525426026</v>
      </c>
      <c r="K315" s="666"/>
      <c r="L315" s="192" t="s">
        <v>617</v>
      </c>
      <c r="M315" s="771">
        <f t="shared" ref="M315:M365" si="83">N315-3</f>
        <v>41583</v>
      </c>
      <c r="N315" s="771">
        <v>41586</v>
      </c>
      <c r="O315" s="772" t="s">
        <v>1005</v>
      </c>
      <c r="P315" s="305">
        <v>149</v>
      </c>
      <c r="Q315" s="801">
        <v>12010</v>
      </c>
      <c r="R315" s="25">
        <f t="shared" si="73"/>
        <v>1789490</v>
      </c>
      <c r="S315" s="449"/>
      <c r="T315" s="771"/>
      <c r="U315" s="803"/>
      <c r="V315" s="801"/>
      <c r="W315" s="25">
        <f t="shared" si="74"/>
        <v>0</v>
      </c>
    </row>
    <row r="316" spans="1:23" ht="16.5" customHeight="1">
      <c r="A316" s="757">
        <f t="shared" si="81"/>
        <v>67</v>
      </c>
      <c r="B316" s="297" t="s">
        <v>836</v>
      </c>
      <c r="C316" s="25">
        <f t="shared" si="82"/>
        <v>3400000</v>
      </c>
      <c r="D316" s="758">
        <f t="shared" si="79"/>
        <v>130504.33406414706</v>
      </c>
      <c r="E316" s="758">
        <f t="shared" si="79"/>
        <v>9640.8607146487011</v>
      </c>
      <c r="F316" s="758">
        <f t="shared" si="79"/>
        <v>127866.14493342819</v>
      </c>
      <c r="G316" s="758">
        <f t="shared" si="79"/>
        <v>104667.28616438954</v>
      </c>
      <c r="H316" s="25">
        <f t="shared" si="80"/>
        <v>3772678.6258766134</v>
      </c>
      <c r="I316" s="758">
        <v>395</v>
      </c>
      <c r="J316" s="758">
        <f t="shared" ref="J316:J365" si="84">IF(I316&lt;&gt;"",H316/I316,"")</f>
        <v>9551.0851288015529</v>
      </c>
      <c r="K316" s="666"/>
      <c r="L316" s="192" t="s">
        <v>685</v>
      </c>
      <c r="M316" s="771">
        <f t="shared" si="83"/>
        <v>41588</v>
      </c>
      <c r="N316" s="771">
        <v>41591</v>
      </c>
      <c r="O316" s="772" t="s">
        <v>1009</v>
      </c>
      <c r="P316" s="305">
        <v>400</v>
      </c>
      <c r="Q316" s="801">
        <v>8500</v>
      </c>
      <c r="R316" s="25">
        <f t="shared" ref="R316:R365" si="85">ROUND(P316*Q316,0)</f>
        <v>3400000</v>
      </c>
      <c r="S316" s="449"/>
      <c r="T316" s="771"/>
      <c r="U316" s="803"/>
      <c r="V316" s="801"/>
      <c r="W316" s="25">
        <f t="shared" ref="W316:W365" si="86">ROUND(U316*V316,0)</f>
        <v>0</v>
      </c>
    </row>
    <row r="317" spans="1:23" ht="16.5" customHeight="1">
      <c r="A317" s="757">
        <f t="shared" si="81"/>
        <v>68</v>
      </c>
      <c r="B317" s="297" t="s">
        <v>1127</v>
      </c>
      <c r="C317" s="25">
        <f t="shared" si="82"/>
        <v>7500000</v>
      </c>
      <c r="D317" s="758">
        <f t="shared" si="79"/>
        <v>165195.35957486968</v>
      </c>
      <c r="E317" s="758">
        <f t="shared" si="79"/>
        <v>12203.621157783165</v>
      </c>
      <c r="F317" s="758">
        <f t="shared" si="79"/>
        <v>161855.87966256734</v>
      </c>
      <c r="G317" s="758">
        <f t="shared" si="79"/>
        <v>132490.23565112599</v>
      </c>
      <c r="H317" s="25">
        <f t="shared" si="80"/>
        <v>7971745.0960463462</v>
      </c>
      <c r="I317" s="758">
        <v>500</v>
      </c>
      <c r="J317" s="758">
        <f t="shared" si="84"/>
        <v>15943.490192092693</v>
      </c>
      <c r="K317" s="666"/>
      <c r="L317" s="192" t="s">
        <v>709</v>
      </c>
      <c r="M317" s="771">
        <f t="shared" si="83"/>
        <v>41589</v>
      </c>
      <c r="N317" s="771">
        <v>41592</v>
      </c>
      <c r="O317" s="772" t="s">
        <v>1010</v>
      </c>
      <c r="P317" s="305">
        <f>I317</f>
        <v>500</v>
      </c>
      <c r="Q317" s="801">
        <v>15000</v>
      </c>
      <c r="R317" s="25">
        <f t="shared" si="85"/>
        <v>7500000</v>
      </c>
      <c r="S317" s="449"/>
      <c r="T317" s="771"/>
      <c r="U317" s="803"/>
      <c r="V317" s="801"/>
      <c r="W317" s="25">
        <f t="shared" si="86"/>
        <v>0</v>
      </c>
    </row>
    <row r="318" spans="1:23" ht="16.5" customHeight="1">
      <c r="A318" s="757">
        <f t="shared" si="81"/>
        <v>69</v>
      </c>
      <c r="B318" s="297" t="s">
        <v>836</v>
      </c>
      <c r="C318" s="25">
        <f t="shared" si="82"/>
        <v>4250000</v>
      </c>
      <c r="D318" s="758">
        <f t="shared" si="79"/>
        <v>165195.35957486968</v>
      </c>
      <c r="E318" s="758">
        <f t="shared" si="79"/>
        <v>12203.621157783165</v>
      </c>
      <c r="F318" s="758">
        <f t="shared" si="79"/>
        <v>161855.87966256734</v>
      </c>
      <c r="G318" s="758">
        <f t="shared" si="79"/>
        <v>132490.23565112599</v>
      </c>
      <c r="H318" s="25">
        <f t="shared" si="80"/>
        <v>4721745.0960463462</v>
      </c>
      <c r="I318" s="758">
        <v>500</v>
      </c>
      <c r="J318" s="758">
        <f t="shared" si="84"/>
        <v>9443.4901920926932</v>
      </c>
      <c r="K318" s="666"/>
      <c r="L318" s="192" t="s">
        <v>685</v>
      </c>
      <c r="M318" s="771">
        <f t="shared" si="83"/>
        <v>41589</v>
      </c>
      <c r="N318" s="771">
        <v>41592</v>
      </c>
      <c r="O318" s="772" t="s">
        <v>1011</v>
      </c>
      <c r="P318" s="305">
        <f>I318</f>
        <v>500</v>
      </c>
      <c r="Q318" s="801">
        <v>8500</v>
      </c>
      <c r="R318" s="25">
        <f t="shared" si="85"/>
        <v>4250000</v>
      </c>
      <c r="S318" s="449"/>
      <c r="T318" s="771"/>
      <c r="U318" s="803"/>
      <c r="V318" s="801"/>
      <c r="W318" s="25">
        <f t="shared" si="86"/>
        <v>0</v>
      </c>
    </row>
    <row r="319" spans="1:23" ht="16.5" customHeight="1">
      <c r="A319" s="757">
        <f t="shared" si="81"/>
        <v>70</v>
      </c>
      <c r="B319" s="297" t="s">
        <v>1148</v>
      </c>
      <c r="C319" s="25">
        <f t="shared" si="82"/>
        <v>8543903</v>
      </c>
      <c r="D319" s="758">
        <f t="shared" si="79"/>
        <v>872892.27999361139</v>
      </c>
      <c r="E319" s="758">
        <f t="shared" si="79"/>
        <v>64483.934197726252</v>
      </c>
      <c r="F319" s="758">
        <f t="shared" si="79"/>
        <v>855246.46813700581</v>
      </c>
      <c r="G319" s="758">
        <f t="shared" si="79"/>
        <v>700078.40518054983</v>
      </c>
      <c r="H319" s="25">
        <f t="shared" si="80"/>
        <v>11036604.087508893</v>
      </c>
      <c r="I319" s="758">
        <v>2642</v>
      </c>
      <c r="J319" s="758">
        <f t="shared" si="84"/>
        <v>4177.3671792236537</v>
      </c>
      <c r="K319" s="666"/>
      <c r="L319" s="192" t="s">
        <v>716</v>
      </c>
      <c r="M319" s="771">
        <f t="shared" si="83"/>
        <v>41589</v>
      </c>
      <c r="N319" s="771">
        <v>41592</v>
      </c>
      <c r="O319" s="772" t="s">
        <v>1012</v>
      </c>
      <c r="P319" s="305">
        <v>390</v>
      </c>
      <c r="Q319" s="801">
        <v>21907.443037974685</v>
      </c>
      <c r="R319" s="25">
        <f t="shared" si="85"/>
        <v>8543903</v>
      </c>
      <c r="S319" s="449"/>
      <c r="T319" s="771"/>
      <c r="U319" s="803"/>
      <c r="V319" s="801"/>
      <c r="W319" s="25">
        <f t="shared" si="86"/>
        <v>0</v>
      </c>
    </row>
    <row r="320" spans="1:23" ht="16.5" customHeight="1">
      <c r="A320" s="757">
        <f t="shared" si="81"/>
        <v>71</v>
      </c>
      <c r="B320" s="297" t="s">
        <v>1160</v>
      </c>
      <c r="C320" s="25">
        <f t="shared" si="82"/>
        <v>11557720</v>
      </c>
      <c r="D320" s="758">
        <f t="shared" si="79"/>
        <v>769810.37561889272</v>
      </c>
      <c r="E320" s="758">
        <f t="shared" si="79"/>
        <v>56868.874595269554</v>
      </c>
      <c r="F320" s="758">
        <f t="shared" si="79"/>
        <v>754248.39922756376</v>
      </c>
      <c r="G320" s="758">
        <f t="shared" si="79"/>
        <v>617404.49813424714</v>
      </c>
      <c r="H320" s="25">
        <f t="shared" si="80"/>
        <v>13756052.147575974</v>
      </c>
      <c r="I320" s="758">
        <v>2330</v>
      </c>
      <c r="J320" s="758">
        <f t="shared" si="84"/>
        <v>5903.8850418781003</v>
      </c>
      <c r="K320" s="666"/>
      <c r="L320" s="297" t="s">
        <v>639</v>
      </c>
      <c r="M320" s="771">
        <f t="shared" si="83"/>
        <v>41590</v>
      </c>
      <c r="N320" s="771">
        <v>41593</v>
      </c>
      <c r="O320" s="772" t="s">
        <v>1013</v>
      </c>
      <c r="P320" s="305">
        <v>566</v>
      </c>
      <c r="Q320" s="801">
        <v>20420</v>
      </c>
      <c r="R320" s="25">
        <f t="shared" si="85"/>
        <v>11557720</v>
      </c>
      <c r="S320" s="449"/>
      <c r="T320" s="771"/>
      <c r="U320" s="803"/>
      <c r="V320" s="801"/>
      <c r="W320" s="25">
        <f t="shared" si="86"/>
        <v>0</v>
      </c>
    </row>
    <row r="321" spans="1:23" ht="16.5" customHeight="1">
      <c r="A321" s="757">
        <f t="shared" si="81"/>
        <v>72</v>
      </c>
      <c r="B321" s="297" t="s">
        <v>836</v>
      </c>
      <c r="C321" s="25">
        <f t="shared" si="82"/>
        <v>3600000</v>
      </c>
      <c r="D321" s="758">
        <f t="shared" si="79"/>
        <v>141407.22779608844</v>
      </c>
      <c r="E321" s="758">
        <f t="shared" si="79"/>
        <v>10446.299711062391</v>
      </c>
      <c r="F321" s="758">
        <f t="shared" si="79"/>
        <v>138548.63299115765</v>
      </c>
      <c r="G321" s="758">
        <f t="shared" si="79"/>
        <v>113411.64171736386</v>
      </c>
      <c r="H321" s="25">
        <f t="shared" si="80"/>
        <v>4003813.8022156726</v>
      </c>
      <c r="I321" s="758">
        <v>428</v>
      </c>
      <c r="J321" s="758">
        <f t="shared" si="84"/>
        <v>9354.7051453637214</v>
      </c>
      <c r="K321" s="666"/>
      <c r="L321" s="192" t="s">
        <v>688</v>
      </c>
      <c r="M321" s="771">
        <f t="shared" si="83"/>
        <v>41591</v>
      </c>
      <c r="N321" s="771">
        <v>41594</v>
      </c>
      <c r="O321" s="772" t="s">
        <v>1014</v>
      </c>
      <c r="P321" s="305">
        <v>225</v>
      </c>
      <c r="Q321" s="801">
        <v>16000</v>
      </c>
      <c r="R321" s="25">
        <f t="shared" si="85"/>
        <v>3600000</v>
      </c>
      <c r="S321" s="449"/>
      <c r="T321" s="771"/>
      <c r="U321" s="803"/>
      <c r="V321" s="801"/>
      <c r="W321" s="25">
        <f t="shared" si="86"/>
        <v>0</v>
      </c>
    </row>
    <row r="322" spans="1:23" ht="16.5" customHeight="1">
      <c r="A322" s="757">
        <f t="shared" si="81"/>
        <v>73</v>
      </c>
      <c r="B322" s="297" t="s">
        <v>874</v>
      </c>
      <c r="C322" s="25">
        <f t="shared" si="82"/>
        <v>11081826</v>
      </c>
      <c r="D322" s="758">
        <f t="shared" si="79"/>
        <v>336007.36137528496</v>
      </c>
      <c r="E322" s="758">
        <f t="shared" si="79"/>
        <v>24822.165434930961</v>
      </c>
      <c r="F322" s="758">
        <f t="shared" si="79"/>
        <v>329214.85923366196</v>
      </c>
      <c r="G322" s="758">
        <f t="shared" si="79"/>
        <v>269485.13931439031</v>
      </c>
      <c r="H322" s="25">
        <f t="shared" si="80"/>
        <v>12041355.525358269</v>
      </c>
      <c r="I322" s="758">
        <v>1017</v>
      </c>
      <c r="J322" s="758">
        <f t="shared" si="84"/>
        <v>11840.074262889153</v>
      </c>
      <c r="K322" s="666"/>
      <c r="L322" s="192" t="s">
        <v>670</v>
      </c>
      <c r="M322" s="771">
        <f t="shared" si="83"/>
        <v>41593</v>
      </c>
      <c r="N322" s="771">
        <v>41596</v>
      </c>
      <c r="O322" s="772" t="s">
        <v>1015</v>
      </c>
      <c r="P322" s="305">
        <v>1026</v>
      </c>
      <c r="Q322" s="801">
        <v>10801</v>
      </c>
      <c r="R322" s="25">
        <f t="shared" si="85"/>
        <v>11081826</v>
      </c>
      <c r="S322" s="449"/>
      <c r="T322" s="771"/>
      <c r="U322" s="803"/>
      <c r="V322" s="801"/>
      <c r="W322" s="25">
        <f t="shared" si="86"/>
        <v>0</v>
      </c>
    </row>
    <row r="323" spans="1:23" ht="16.5" customHeight="1">
      <c r="A323" s="757">
        <f t="shared" si="81"/>
        <v>74</v>
      </c>
      <c r="B323" s="297" t="s">
        <v>1016</v>
      </c>
      <c r="C323" s="25">
        <f t="shared" si="82"/>
        <v>2815920</v>
      </c>
      <c r="D323" s="758">
        <f t="shared" si="79"/>
        <v>23127.350340481757</v>
      </c>
      <c r="E323" s="758">
        <f t="shared" si="79"/>
        <v>1708.5069620896434</v>
      </c>
      <c r="F323" s="758">
        <f t="shared" si="79"/>
        <v>22659.823152759425</v>
      </c>
      <c r="G323" s="758">
        <f t="shared" si="79"/>
        <v>18548.632991157639</v>
      </c>
      <c r="H323" s="25">
        <f t="shared" si="80"/>
        <v>2881964.3134464887</v>
      </c>
      <c r="I323" s="758">
        <v>70</v>
      </c>
      <c r="J323" s="758">
        <f t="shared" si="84"/>
        <v>41170.918763521266</v>
      </c>
      <c r="K323" s="666"/>
      <c r="L323" s="192" t="s">
        <v>627</v>
      </c>
      <c r="M323" s="771">
        <f t="shared" si="83"/>
        <v>41594</v>
      </c>
      <c r="N323" s="771">
        <v>41597</v>
      </c>
      <c r="O323" s="772" t="s">
        <v>1017</v>
      </c>
      <c r="P323" s="305">
        <v>90</v>
      </c>
      <c r="Q323" s="801">
        <v>31288</v>
      </c>
      <c r="R323" s="25">
        <f t="shared" si="85"/>
        <v>2815920</v>
      </c>
      <c r="S323" s="449"/>
      <c r="T323" s="771"/>
      <c r="U323" s="803"/>
      <c r="V323" s="801"/>
      <c r="W323" s="25">
        <f t="shared" si="86"/>
        <v>0</v>
      </c>
    </row>
    <row r="324" spans="1:23" ht="16.5" customHeight="1">
      <c r="A324" s="757">
        <f t="shared" si="81"/>
        <v>75</v>
      </c>
      <c r="B324" s="297" t="s">
        <v>878</v>
      </c>
      <c r="C324" s="25">
        <f t="shared" si="82"/>
        <v>2908933</v>
      </c>
      <c r="D324" s="758">
        <f t="shared" si="79"/>
        <v>23127.350340481757</v>
      </c>
      <c r="E324" s="758">
        <f t="shared" si="79"/>
        <v>1708.5069620896434</v>
      </c>
      <c r="F324" s="758">
        <f t="shared" si="79"/>
        <v>22659.823152759425</v>
      </c>
      <c r="G324" s="758">
        <f t="shared" si="79"/>
        <v>18548.632991157639</v>
      </c>
      <c r="H324" s="25">
        <f t="shared" si="80"/>
        <v>2974977.3134464887</v>
      </c>
      <c r="I324" s="758">
        <v>70</v>
      </c>
      <c r="J324" s="758">
        <f t="shared" si="84"/>
        <v>42499.675906378412</v>
      </c>
      <c r="K324" s="666"/>
      <c r="L324" s="843" t="s">
        <v>1247</v>
      </c>
      <c r="M324" s="771">
        <f t="shared" si="83"/>
        <v>41594</v>
      </c>
      <c r="N324" s="771">
        <v>41597</v>
      </c>
      <c r="O324" s="772" t="s">
        <v>1017</v>
      </c>
      <c r="P324" s="305">
        <v>90</v>
      </c>
      <c r="Q324" s="801">
        <v>32321.481481481482</v>
      </c>
      <c r="R324" s="25">
        <f t="shared" si="85"/>
        <v>2908933</v>
      </c>
      <c r="S324" s="449"/>
      <c r="T324" s="771"/>
      <c r="U324" s="803"/>
      <c r="V324" s="801"/>
      <c r="W324" s="25">
        <f t="shared" si="86"/>
        <v>0</v>
      </c>
    </row>
    <row r="325" spans="1:23" ht="16.5" customHeight="1">
      <c r="A325" s="757">
        <f t="shared" si="81"/>
        <v>76</v>
      </c>
      <c r="B325" s="297" t="s">
        <v>1018</v>
      </c>
      <c r="C325" s="25">
        <f t="shared" si="82"/>
        <v>1811700</v>
      </c>
      <c r="D325" s="758">
        <f t="shared" si="79"/>
        <v>16519.535957486969</v>
      </c>
      <c r="E325" s="758">
        <f t="shared" si="79"/>
        <v>1220.3621157783166</v>
      </c>
      <c r="F325" s="758">
        <f t="shared" si="79"/>
        <v>16185.587966256733</v>
      </c>
      <c r="G325" s="758">
        <f t="shared" si="79"/>
        <v>13249.0235651126</v>
      </c>
      <c r="H325" s="25">
        <f t="shared" si="80"/>
        <v>1858874.5096046347</v>
      </c>
      <c r="I325" s="758">
        <v>50</v>
      </c>
      <c r="J325" s="758">
        <f t="shared" si="84"/>
        <v>37177.490192092693</v>
      </c>
      <c r="K325" s="666"/>
      <c r="L325" s="843" t="s">
        <v>636</v>
      </c>
      <c r="M325" s="771">
        <f t="shared" si="83"/>
        <v>41594</v>
      </c>
      <c r="N325" s="771">
        <v>41597</v>
      </c>
      <c r="O325" s="772" t="s">
        <v>1017</v>
      </c>
      <c r="P325" s="305">
        <f t="shared" ref="P325:P326" si="87">I325</f>
        <v>50</v>
      </c>
      <c r="Q325" s="801">
        <v>36234</v>
      </c>
      <c r="R325" s="25">
        <f t="shared" si="85"/>
        <v>1811700</v>
      </c>
      <c r="S325" s="449"/>
      <c r="T325" s="771"/>
      <c r="U325" s="803"/>
      <c r="V325" s="801"/>
      <c r="W325" s="25">
        <f t="shared" si="86"/>
        <v>0</v>
      </c>
    </row>
    <row r="326" spans="1:23" ht="16.5" customHeight="1">
      <c r="A326" s="757">
        <f t="shared" si="81"/>
        <v>77</v>
      </c>
      <c r="B326" s="297" t="s">
        <v>879</v>
      </c>
      <c r="C326" s="25">
        <f t="shared" si="82"/>
        <v>1811700</v>
      </c>
      <c r="D326" s="758">
        <f t="shared" si="79"/>
        <v>16519.535957486969</v>
      </c>
      <c r="E326" s="758">
        <f t="shared" si="79"/>
        <v>1220.3621157783166</v>
      </c>
      <c r="F326" s="758">
        <f t="shared" si="79"/>
        <v>16185.587966256733</v>
      </c>
      <c r="G326" s="758">
        <f t="shared" si="79"/>
        <v>13249.0235651126</v>
      </c>
      <c r="H326" s="25">
        <f t="shared" si="80"/>
        <v>1858874.5096046347</v>
      </c>
      <c r="I326" s="758">
        <v>50</v>
      </c>
      <c r="J326" s="758">
        <f t="shared" si="84"/>
        <v>37177.490192092693</v>
      </c>
      <c r="K326" s="666"/>
      <c r="L326" s="843" t="s">
        <v>636</v>
      </c>
      <c r="M326" s="771">
        <f t="shared" si="83"/>
        <v>41594</v>
      </c>
      <c r="N326" s="771">
        <v>41597</v>
      </c>
      <c r="O326" s="772" t="s">
        <v>1017</v>
      </c>
      <c r="P326" s="305">
        <f t="shared" si="87"/>
        <v>50</v>
      </c>
      <c r="Q326" s="801">
        <v>36234</v>
      </c>
      <c r="R326" s="25">
        <f t="shared" si="85"/>
        <v>1811700</v>
      </c>
      <c r="S326" s="449"/>
      <c r="T326" s="771"/>
      <c r="U326" s="803"/>
      <c r="V326" s="801"/>
      <c r="W326" s="25">
        <f t="shared" si="86"/>
        <v>0</v>
      </c>
    </row>
    <row r="327" spans="1:23" ht="16.5" customHeight="1">
      <c r="A327" s="757">
        <f t="shared" si="81"/>
        <v>78</v>
      </c>
      <c r="B327" s="297" t="s">
        <v>880</v>
      </c>
      <c r="C327" s="25">
        <f t="shared" si="82"/>
        <v>2262504</v>
      </c>
      <c r="D327" s="758">
        <f t="shared" si="79"/>
        <v>16519.535957486969</v>
      </c>
      <c r="E327" s="758">
        <f t="shared" si="79"/>
        <v>1220.3621157783166</v>
      </c>
      <c r="F327" s="758">
        <f t="shared" si="79"/>
        <v>16185.587966256733</v>
      </c>
      <c r="G327" s="758">
        <f t="shared" si="79"/>
        <v>13249.0235651126</v>
      </c>
      <c r="H327" s="25">
        <f t="shared" si="80"/>
        <v>2309678.5096046347</v>
      </c>
      <c r="I327" s="758">
        <v>50</v>
      </c>
      <c r="J327" s="758">
        <f t="shared" si="84"/>
        <v>46193.570192092695</v>
      </c>
      <c r="K327" s="666"/>
      <c r="L327" s="843" t="s">
        <v>1247</v>
      </c>
      <c r="M327" s="771">
        <f t="shared" si="83"/>
        <v>41595</v>
      </c>
      <c r="N327" s="771">
        <v>41598</v>
      </c>
      <c r="O327" s="772" t="s">
        <v>1019</v>
      </c>
      <c r="P327" s="305">
        <v>70</v>
      </c>
      <c r="Q327" s="801">
        <v>32321.481481481482</v>
      </c>
      <c r="R327" s="25">
        <f t="shared" si="85"/>
        <v>2262504</v>
      </c>
      <c r="S327" s="449"/>
      <c r="T327" s="771"/>
      <c r="U327" s="803"/>
      <c r="V327" s="801"/>
      <c r="W327" s="25">
        <f t="shared" si="86"/>
        <v>0</v>
      </c>
    </row>
    <row r="328" spans="1:23" ht="16.5" customHeight="1">
      <c r="A328" s="757">
        <f t="shared" si="81"/>
        <v>79</v>
      </c>
      <c r="B328" s="297" t="s">
        <v>1020</v>
      </c>
      <c r="C328" s="25">
        <f t="shared" si="82"/>
        <v>2230182</v>
      </c>
      <c r="D328" s="758">
        <f t="shared" si="79"/>
        <v>16519.535957486969</v>
      </c>
      <c r="E328" s="758">
        <f t="shared" si="79"/>
        <v>1220.3621157783166</v>
      </c>
      <c r="F328" s="758">
        <f t="shared" si="79"/>
        <v>16185.587966256733</v>
      </c>
      <c r="G328" s="758">
        <f t="shared" si="79"/>
        <v>13249.0235651126</v>
      </c>
      <c r="H328" s="25">
        <f t="shared" si="80"/>
        <v>2277356.5096046347</v>
      </c>
      <c r="I328" s="758">
        <v>50</v>
      </c>
      <c r="J328" s="758">
        <f t="shared" si="84"/>
        <v>45547.130192092693</v>
      </c>
      <c r="K328" s="666"/>
      <c r="L328" s="843" t="s">
        <v>1247</v>
      </c>
      <c r="M328" s="771">
        <f t="shared" si="83"/>
        <v>41595</v>
      </c>
      <c r="N328" s="771">
        <v>41598</v>
      </c>
      <c r="O328" s="772" t="s">
        <v>1019</v>
      </c>
      <c r="P328" s="305">
        <v>69</v>
      </c>
      <c r="Q328" s="801">
        <v>32321.481481481482</v>
      </c>
      <c r="R328" s="25">
        <f t="shared" si="85"/>
        <v>2230182</v>
      </c>
      <c r="S328" s="449"/>
      <c r="T328" s="771"/>
      <c r="U328" s="803"/>
      <c r="V328" s="801"/>
      <c r="W328" s="25">
        <f t="shared" si="86"/>
        <v>0</v>
      </c>
    </row>
    <row r="329" spans="1:23" ht="16.5" customHeight="1">
      <c r="A329" s="757">
        <f t="shared" si="81"/>
        <v>80</v>
      </c>
      <c r="B329" s="297" t="s">
        <v>1021</v>
      </c>
      <c r="C329" s="25">
        <f t="shared" si="82"/>
        <v>3070541</v>
      </c>
      <c r="D329" s="758">
        <f t="shared" si="79"/>
        <v>16519.535957486969</v>
      </c>
      <c r="E329" s="758">
        <f t="shared" si="79"/>
        <v>1220.3621157783166</v>
      </c>
      <c r="F329" s="758">
        <f t="shared" si="79"/>
        <v>16185.587966256733</v>
      </c>
      <c r="G329" s="758">
        <f t="shared" si="79"/>
        <v>13249.0235651126</v>
      </c>
      <c r="H329" s="25">
        <f t="shared" si="80"/>
        <v>3117715.5096046347</v>
      </c>
      <c r="I329" s="758">
        <v>50</v>
      </c>
      <c r="J329" s="758">
        <f t="shared" si="84"/>
        <v>62354.310192092693</v>
      </c>
      <c r="K329" s="666"/>
      <c r="L329" s="843" t="s">
        <v>1247</v>
      </c>
      <c r="M329" s="771">
        <f t="shared" si="83"/>
        <v>41595</v>
      </c>
      <c r="N329" s="771">
        <v>41598</v>
      </c>
      <c r="O329" s="772" t="s">
        <v>1019</v>
      </c>
      <c r="P329" s="305">
        <v>95</v>
      </c>
      <c r="Q329" s="801">
        <v>32321.481481481482</v>
      </c>
      <c r="R329" s="25">
        <f t="shared" si="85"/>
        <v>3070541</v>
      </c>
      <c r="S329" s="449"/>
      <c r="T329" s="771"/>
      <c r="U329" s="803"/>
      <c r="V329" s="801"/>
      <c r="W329" s="25">
        <f t="shared" si="86"/>
        <v>0</v>
      </c>
    </row>
    <row r="330" spans="1:23" ht="16.5" customHeight="1">
      <c r="A330" s="757">
        <f t="shared" si="81"/>
        <v>81</v>
      </c>
      <c r="B330" s="297" t="s">
        <v>721</v>
      </c>
      <c r="C330" s="25">
        <f t="shared" si="82"/>
        <v>2325000</v>
      </c>
      <c r="D330" s="758">
        <f t="shared" ref="D330:G349" si="88">IF($I$367&lt;&gt;0,D$367/$I$367*$I330,0)</f>
        <v>165195.35957486968</v>
      </c>
      <c r="E330" s="758">
        <f t="shared" si="88"/>
        <v>12203.621157783165</v>
      </c>
      <c r="F330" s="758">
        <f t="shared" si="88"/>
        <v>161855.87966256734</v>
      </c>
      <c r="G330" s="758">
        <f t="shared" si="88"/>
        <v>132490.23565112599</v>
      </c>
      <c r="H330" s="25">
        <f t="shared" si="80"/>
        <v>2796745.0960463462</v>
      </c>
      <c r="I330" s="758">
        <v>500</v>
      </c>
      <c r="J330" s="758">
        <f t="shared" si="84"/>
        <v>5593.4901920926923</v>
      </c>
      <c r="K330" s="666"/>
      <c r="L330" s="843" t="s">
        <v>1238</v>
      </c>
      <c r="M330" s="771">
        <f t="shared" si="83"/>
        <v>41600</v>
      </c>
      <c r="N330" s="771">
        <v>41603</v>
      </c>
      <c r="O330" s="772" t="s">
        <v>1022</v>
      </c>
      <c r="P330" s="305">
        <v>100</v>
      </c>
      <c r="Q330" s="801">
        <v>23250</v>
      </c>
      <c r="R330" s="25">
        <f t="shared" si="85"/>
        <v>2325000</v>
      </c>
      <c r="S330" s="449"/>
      <c r="T330" s="771"/>
      <c r="U330" s="803"/>
      <c r="V330" s="801"/>
      <c r="W330" s="25">
        <f t="shared" si="86"/>
        <v>0</v>
      </c>
    </row>
    <row r="331" spans="1:23" ht="16.5" customHeight="1">
      <c r="A331" s="757">
        <f t="shared" si="81"/>
        <v>82</v>
      </c>
      <c r="B331" s="297" t="s">
        <v>836</v>
      </c>
      <c r="C331" s="25">
        <f t="shared" si="82"/>
        <v>4240000</v>
      </c>
      <c r="D331" s="758">
        <f t="shared" si="88"/>
        <v>165195.35957486968</v>
      </c>
      <c r="E331" s="758">
        <f t="shared" si="88"/>
        <v>12203.621157783165</v>
      </c>
      <c r="F331" s="758">
        <f t="shared" si="88"/>
        <v>161855.87966256734</v>
      </c>
      <c r="G331" s="758">
        <f t="shared" si="88"/>
        <v>132490.23565112599</v>
      </c>
      <c r="H331" s="25">
        <f t="shared" si="80"/>
        <v>4711745.0960463462</v>
      </c>
      <c r="I331" s="758">
        <v>500</v>
      </c>
      <c r="J331" s="758">
        <f t="shared" si="84"/>
        <v>9423.4901920926932</v>
      </c>
      <c r="K331" s="666"/>
      <c r="L331" s="192" t="s">
        <v>688</v>
      </c>
      <c r="M331" s="771">
        <f t="shared" si="83"/>
        <v>41601</v>
      </c>
      <c r="N331" s="771">
        <v>41604</v>
      </c>
      <c r="O331" s="772" t="s">
        <v>652</v>
      </c>
      <c r="P331" s="305">
        <v>265</v>
      </c>
      <c r="Q331" s="801">
        <v>16000</v>
      </c>
      <c r="R331" s="25">
        <f t="shared" si="85"/>
        <v>4240000</v>
      </c>
      <c r="S331" s="449"/>
      <c r="T331" s="771"/>
      <c r="U331" s="803"/>
      <c r="V331" s="801"/>
      <c r="W331" s="25">
        <f t="shared" si="86"/>
        <v>0</v>
      </c>
    </row>
    <row r="332" spans="1:23" ht="16.5" customHeight="1">
      <c r="A332" s="757">
        <f t="shared" si="81"/>
        <v>83</v>
      </c>
      <c r="B332" s="297" t="s">
        <v>836</v>
      </c>
      <c r="C332" s="25">
        <f t="shared" si="82"/>
        <v>4898014</v>
      </c>
      <c r="D332" s="758">
        <f t="shared" si="88"/>
        <v>165195.35957486968</v>
      </c>
      <c r="E332" s="758">
        <f t="shared" si="88"/>
        <v>12203.621157783165</v>
      </c>
      <c r="F332" s="758">
        <f t="shared" si="88"/>
        <v>161855.87966256734</v>
      </c>
      <c r="G332" s="758">
        <f t="shared" si="88"/>
        <v>132490.23565112599</v>
      </c>
      <c r="H332" s="25">
        <f t="shared" si="80"/>
        <v>5369759.0960463462</v>
      </c>
      <c r="I332" s="758">
        <v>500</v>
      </c>
      <c r="J332" s="758">
        <f t="shared" si="84"/>
        <v>10739.518192092692</v>
      </c>
      <c r="K332" s="666"/>
      <c r="L332" s="189" t="s">
        <v>625</v>
      </c>
      <c r="M332" s="771">
        <f t="shared" si="83"/>
        <v>41601</v>
      </c>
      <c r="N332" s="771">
        <v>41604</v>
      </c>
      <c r="O332" s="772" t="s">
        <v>652</v>
      </c>
      <c r="P332" s="305">
        <v>251</v>
      </c>
      <c r="Q332" s="801">
        <v>19514</v>
      </c>
      <c r="R332" s="25">
        <f t="shared" si="85"/>
        <v>4898014</v>
      </c>
      <c r="S332" s="449"/>
      <c r="T332" s="771"/>
      <c r="U332" s="803"/>
      <c r="V332" s="801"/>
      <c r="W332" s="25">
        <f t="shared" si="86"/>
        <v>0</v>
      </c>
    </row>
    <row r="333" spans="1:23" ht="16.5" customHeight="1">
      <c r="A333" s="757">
        <f t="shared" si="81"/>
        <v>84</v>
      </c>
      <c r="B333" s="297" t="s">
        <v>836</v>
      </c>
      <c r="C333" s="25">
        <f t="shared" si="82"/>
        <v>4708600</v>
      </c>
      <c r="D333" s="758">
        <f t="shared" si="88"/>
        <v>165195.35957486968</v>
      </c>
      <c r="E333" s="758">
        <f t="shared" si="88"/>
        <v>12203.621157783165</v>
      </c>
      <c r="F333" s="758">
        <f t="shared" si="88"/>
        <v>161855.87966256734</v>
      </c>
      <c r="G333" s="758">
        <f t="shared" si="88"/>
        <v>132490.23565112599</v>
      </c>
      <c r="H333" s="25">
        <f t="shared" si="80"/>
        <v>5180345.0960463462</v>
      </c>
      <c r="I333" s="758">
        <v>500</v>
      </c>
      <c r="J333" s="758">
        <f t="shared" si="84"/>
        <v>10360.690192092692</v>
      </c>
      <c r="K333" s="666"/>
      <c r="L333" s="843" t="s">
        <v>1264</v>
      </c>
      <c r="M333" s="771">
        <f t="shared" si="83"/>
        <v>41601</v>
      </c>
      <c r="N333" s="771">
        <v>41604</v>
      </c>
      <c r="O333" s="772" t="s">
        <v>652</v>
      </c>
      <c r="P333" s="305">
        <v>200</v>
      </c>
      <c r="Q333" s="801">
        <v>23543</v>
      </c>
      <c r="R333" s="25">
        <f t="shared" si="85"/>
        <v>4708600</v>
      </c>
      <c r="S333" s="449"/>
      <c r="T333" s="771"/>
      <c r="U333" s="803"/>
      <c r="V333" s="801"/>
      <c r="W333" s="25">
        <f t="shared" si="86"/>
        <v>0</v>
      </c>
    </row>
    <row r="334" spans="1:23" ht="16.5" customHeight="1">
      <c r="A334" s="757">
        <f t="shared" si="81"/>
        <v>85</v>
      </c>
      <c r="B334" s="297" t="s">
        <v>836</v>
      </c>
      <c r="C334" s="25">
        <f t="shared" si="82"/>
        <v>4525507</v>
      </c>
      <c r="D334" s="758">
        <f t="shared" si="88"/>
        <v>165195.35957486968</v>
      </c>
      <c r="E334" s="758">
        <f t="shared" si="88"/>
        <v>12203.621157783165</v>
      </c>
      <c r="F334" s="758">
        <f t="shared" si="88"/>
        <v>161855.87966256734</v>
      </c>
      <c r="G334" s="758">
        <f t="shared" si="88"/>
        <v>132490.23565112599</v>
      </c>
      <c r="H334" s="25">
        <f t="shared" si="80"/>
        <v>4997252.0960463462</v>
      </c>
      <c r="I334" s="758">
        <v>500</v>
      </c>
      <c r="J334" s="758">
        <f t="shared" si="84"/>
        <v>9994.5041920926924</v>
      </c>
      <c r="K334" s="666"/>
      <c r="L334" s="189" t="s">
        <v>610</v>
      </c>
      <c r="M334" s="771">
        <f t="shared" si="83"/>
        <v>41603</v>
      </c>
      <c r="N334" s="771">
        <v>41606</v>
      </c>
      <c r="O334" s="772" t="s">
        <v>1024</v>
      </c>
      <c r="P334" s="305">
        <v>259</v>
      </c>
      <c r="Q334" s="801">
        <v>17473</v>
      </c>
      <c r="R334" s="25">
        <f t="shared" si="85"/>
        <v>4525507</v>
      </c>
      <c r="S334" s="449"/>
      <c r="T334" s="771"/>
      <c r="U334" s="803"/>
      <c r="V334" s="801"/>
      <c r="W334" s="25">
        <f t="shared" si="86"/>
        <v>0</v>
      </c>
    </row>
    <row r="335" spans="1:23" ht="16.5" customHeight="1">
      <c r="A335" s="757">
        <f t="shared" si="81"/>
        <v>86</v>
      </c>
      <c r="B335" s="297" t="s">
        <v>739</v>
      </c>
      <c r="C335" s="25">
        <f t="shared" si="82"/>
        <v>2787625</v>
      </c>
      <c r="D335" s="758">
        <f t="shared" si="88"/>
        <v>165195.35957486968</v>
      </c>
      <c r="E335" s="758">
        <f t="shared" si="88"/>
        <v>12203.621157783165</v>
      </c>
      <c r="F335" s="758">
        <f t="shared" si="88"/>
        <v>161855.87966256734</v>
      </c>
      <c r="G335" s="758">
        <f t="shared" si="88"/>
        <v>132490.23565112599</v>
      </c>
      <c r="H335" s="25">
        <f t="shared" si="80"/>
        <v>3259370.0960463462</v>
      </c>
      <c r="I335" s="758">
        <v>500</v>
      </c>
      <c r="J335" s="758">
        <f t="shared" si="84"/>
        <v>6518.7401920926923</v>
      </c>
      <c r="K335" s="666"/>
      <c r="L335" s="843" t="s">
        <v>1230</v>
      </c>
      <c r="M335" s="771">
        <f t="shared" si="83"/>
        <v>41603</v>
      </c>
      <c r="N335" s="771">
        <v>41606</v>
      </c>
      <c r="O335" s="772" t="s">
        <v>1024</v>
      </c>
      <c r="P335" s="305">
        <f>I335/4</f>
        <v>125</v>
      </c>
      <c r="Q335" s="801">
        <v>22301</v>
      </c>
      <c r="R335" s="25">
        <f t="shared" si="85"/>
        <v>2787625</v>
      </c>
      <c r="S335" s="449"/>
      <c r="T335" s="771"/>
      <c r="U335" s="803"/>
      <c r="V335" s="801"/>
      <c r="W335" s="25">
        <f t="shared" si="86"/>
        <v>0</v>
      </c>
    </row>
    <row r="336" spans="1:23" ht="16.5" customHeight="1">
      <c r="A336" s="757">
        <f t="shared" si="81"/>
        <v>87</v>
      </c>
      <c r="B336" s="297" t="s">
        <v>845</v>
      </c>
      <c r="C336" s="25">
        <f t="shared" si="82"/>
        <v>3840000</v>
      </c>
      <c r="D336" s="758">
        <f t="shared" si="88"/>
        <v>72685.958212942656</v>
      </c>
      <c r="E336" s="758">
        <f t="shared" si="88"/>
        <v>5369.5933094245929</v>
      </c>
      <c r="F336" s="758">
        <f t="shared" si="88"/>
        <v>71216.587051529626</v>
      </c>
      <c r="G336" s="758">
        <f t="shared" si="88"/>
        <v>58295.703686495443</v>
      </c>
      <c r="H336" s="25">
        <f t="shared" si="80"/>
        <v>4047567.8422603924</v>
      </c>
      <c r="I336" s="758">
        <v>220</v>
      </c>
      <c r="J336" s="758">
        <f t="shared" si="84"/>
        <v>18398.035646638145</v>
      </c>
      <c r="K336" s="666"/>
      <c r="L336" s="192" t="s">
        <v>688</v>
      </c>
      <c r="M336" s="771">
        <f t="shared" si="83"/>
        <v>41603</v>
      </c>
      <c r="N336" s="771">
        <v>41606</v>
      </c>
      <c r="O336" s="772" t="s">
        <v>658</v>
      </c>
      <c r="P336" s="305">
        <v>240</v>
      </c>
      <c r="Q336" s="801">
        <v>16000</v>
      </c>
      <c r="R336" s="25">
        <f t="shared" si="85"/>
        <v>3840000</v>
      </c>
      <c r="S336" s="449"/>
      <c r="T336" s="771"/>
      <c r="U336" s="803"/>
      <c r="V336" s="801"/>
      <c r="W336" s="25">
        <f t="shared" si="86"/>
        <v>0</v>
      </c>
    </row>
    <row r="337" spans="1:23" ht="16.5" customHeight="1">
      <c r="A337" s="757">
        <f t="shared" si="81"/>
        <v>88</v>
      </c>
      <c r="B337" s="297" t="s">
        <v>1008</v>
      </c>
      <c r="C337" s="25">
        <f t="shared" si="82"/>
        <v>2342400</v>
      </c>
      <c r="D337" s="758">
        <f t="shared" si="88"/>
        <v>66078.143829947876</v>
      </c>
      <c r="E337" s="758">
        <f t="shared" si="88"/>
        <v>4881.4484631132664</v>
      </c>
      <c r="F337" s="758">
        <f t="shared" si="88"/>
        <v>64742.351865026933</v>
      </c>
      <c r="G337" s="758">
        <f t="shared" si="88"/>
        <v>52996.094260450402</v>
      </c>
      <c r="H337" s="25">
        <f t="shared" si="80"/>
        <v>2531098.0384185384</v>
      </c>
      <c r="I337" s="758">
        <v>200</v>
      </c>
      <c r="J337" s="758">
        <f t="shared" si="84"/>
        <v>12655.490192092691</v>
      </c>
      <c r="K337" s="666"/>
      <c r="L337" s="843" t="s">
        <v>1205</v>
      </c>
      <c r="M337" s="771">
        <f t="shared" si="83"/>
        <v>41605</v>
      </c>
      <c r="N337" s="771">
        <v>41608</v>
      </c>
      <c r="O337" s="772" t="s">
        <v>1025</v>
      </c>
      <c r="P337" s="305">
        <v>200</v>
      </c>
      <c r="Q337" s="801">
        <v>11712</v>
      </c>
      <c r="R337" s="25">
        <f t="shared" si="85"/>
        <v>2342400</v>
      </c>
      <c r="S337" s="449"/>
      <c r="T337" s="771"/>
      <c r="U337" s="803"/>
      <c r="V337" s="801"/>
      <c r="W337" s="25">
        <f t="shared" si="86"/>
        <v>0</v>
      </c>
    </row>
    <row r="338" spans="1:23" ht="16.5" customHeight="1">
      <c r="A338" s="757">
        <f t="shared" si="81"/>
        <v>89</v>
      </c>
      <c r="B338" s="297" t="s">
        <v>1007</v>
      </c>
      <c r="C338" s="25">
        <f t="shared" si="82"/>
        <v>1890900</v>
      </c>
      <c r="D338" s="758">
        <f t="shared" si="88"/>
        <v>49558.607872460903</v>
      </c>
      <c r="E338" s="758">
        <f t="shared" si="88"/>
        <v>3661.08634733495</v>
      </c>
      <c r="F338" s="758">
        <f t="shared" si="88"/>
        <v>48556.763898770201</v>
      </c>
      <c r="G338" s="758">
        <f t="shared" si="88"/>
        <v>39747.070695337803</v>
      </c>
      <c r="H338" s="25">
        <f t="shared" si="80"/>
        <v>2032423.5288139039</v>
      </c>
      <c r="I338" s="758">
        <v>150</v>
      </c>
      <c r="J338" s="758">
        <f t="shared" si="84"/>
        <v>13549.490192092693</v>
      </c>
      <c r="K338" s="666"/>
      <c r="L338" s="843" t="s">
        <v>1203</v>
      </c>
      <c r="M338" s="771">
        <f t="shared" si="83"/>
        <v>41605</v>
      </c>
      <c r="N338" s="771">
        <v>41608</v>
      </c>
      <c r="O338" s="772" t="s">
        <v>1025</v>
      </c>
      <c r="P338" s="305">
        <v>150</v>
      </c>
      <c r="Q338" s="801">
        <v>12606</v>
      </c>
      <c r="R338" s="25">
        <f t="shared" si="85"/>
        <v>1890900</v>
      </c>
      <c r="S338" s="449"/>
      <c r="T338" s="771"/>
      <c r="U338" s="803"/>
      <c r="V338" s="801"/>
      <c r="W338" s="25">
        <f t="shared" si="86"/>
        <v>0</v>
      </c>
    </row>
    <row r="339" spans="1:23" ht="16.5" customHeight="1">
      <c r="A339" s="757">
        <f t="shared" si="81"/>
        <v>90</v>
      </c>
      <c r="B339" s="297" t="s">
        <v>1004</v>
      </c>
      <c r="C339" s="25">
        <f t="shared" si="82"/>
        <v>798000</v>
      </c>
      <c r="D339" s="758">
        <f t="shared" si="88"/>
        <v>33039.071914973938</v>
      </c>
      <c r="E339" s="758">
        <f t="shared" si="88"/>
        <v>2440.7242315566332</v>
      </c>
      <c r="F339" s="758">
        <f t="shared" si="88"/>
        <v>32371.175932513466</v>
      </c>
      <c r="G339" s="758">
        <f t="shared" si="88"/>
        <v>26498.047130225201</v>
      </c>
      <c r="H339" s="25">
        <f t="shared" si="80"/>
        <v>892349.0192092692</v>
      </c>
      <c r="I339" s="758">
        <v>100</v>
      </c>
      <c r="J339" s="758">
        <f t="shared" si="84"/>
        <v>8923.4901920926914</v>
      </c>
      <c r="K339" s="666"/>
      <c r="L339" s="843" t="s">
        <v>1224</v>
      </c>
      <c r="M339" s="771">
        <f t="shared" si="83"/>
        <v>41605</v>
      </c>
      <c r="N339" s="771">
        <v>41608</v>
      </c>
      <c r="O339" s="772" t="s">
        <v>1025</v>
      </c>
      <c r="P339" s="305">
        <v>40</v>
      </c>
      <c r="Q339" s="801">
        <v>19950</v>
      </c>
      <c r="R339" s="25">
        <f t="shared" si="85"/>
        <v>798000</v>
      </c>
      <c r="S339" s="449"/>
      <c r="T339" s="771"/>
      <c r="U339" s="803"/>
      <c r="V339" s="801"/>
      <c r="W339" s="25">
        <f t="shared" si="86"/>
        <v>0</v>
      </c>
    </row>
    <row r="340" spans="1:23" ht="16.5" customHeight="1">
      <c r="A340" s="757">
        <f t="shared" si="81"/>
        <v>91</v>
      </c>
      <c r="B340" s="297" t="s">
        <v>1026</v>
      </c>
      <c r="C340" s="25">
        <f t="shared" si="82"/>
        <v>19776000</v>
      </c>
      <c r="D340" s="758">
        <f t="shared" si="88"/>
        <v>408362.92886907788</v>
      </c>
      <c r="E340" s="758">
        <f t="shared" si="88"/>
        <v>30167.351502039986</v>
      </c>
      <c r="F340" s="758">
        <f t="shared" si="88"/>
        <v>400107.73452586646</v>
      </c>
      <c r="G340" s="758">
        <f t="shared" si="88"/>
        <v>327515.86252958345</v>
      </c>
      <c r="H340" s="25">
        <f t="shared" si="80"/>
        <v>20942153.877426565</v>
      </c>
      <c r="I340" s="758">
        <v>1236</v>
      </c>
      <c r="J340" s="758">
        <f t="shared" si="84"/>
        <v>16943.49019209269</v>
      </c>
      <c r="K340" s="666"/>
      <c r="L340" s="192" t="s">
        <v>688</v>
      </c>
      <c r="M340" s="771">
        <f t="shared" si="83"/>
        <v>41605</v>
      </c>
      <c r="N340" s="771">
        <v>41608</v>
      </c>
      <c r="O340" s="772" t="s">
        <v>1027</v>
      </c>
      <c r="P340" s="305">
        <f>I340</f>
        <v>1236</v>
      </c>
      <c r="Q340" s="794">
        <v>16000</v>
      </c>
      <c r="R340" s="25">
        <f t="shared" si="85"/>
        <v>19776000</v>
      </c>
      <c r="S340" s="449"/>
      <c r="T340" s="771"/>
      <c r="U340" s="803"/>
      <c r="V340" s="801"/>
      <c r="W340" s="25">
        <f t="shared" si="86"/>
        <v>0</v>
      </c>
    </row>
    <row r="341" spans="1:23" ht="16.5" customHeight="1">
      <c r="A341" s="757">
        <f t="shared" si="81"/>
        <v>92</v>
      </c>
      <c r="B341" s="297" t="s">
        <v>836</v>
      </c>
      <c r="C341" s="25">
        <f t="shared" si="82"/>
        <v>4322760</v>
      </c>
      <c r="D341" s="758">
        <f t="shared" si="88"/>
        <v>165195.35957486968</v>
      </c>
      <c r="E341" s="758">
        <f t="shared" si="88"/>
        <v>12203.621157783165</v>
      </c>
      <c r="F341" s="758">
        <f t="shared" si="88"/>
        <v>161855.87966256734</v>
      </c>
      <c r="G341" s="758">
        <f t="shared" si="88"/>
        <v>132490.23565112599</v>
      </c>
      <c r="H341" s="25">
        <f t="shared" si="80"/>
        <v>4794505.0960463462</v>
      </c>
      <c r="I341" s="758">
        <v>500</v>
      </c>
      <c r="J341" s="758">
        <f t="shared" si="84"/>
        <v>9589.0101920926918</v>
      </c>
      <c r="K341" s="666"/>
      <c r="L341" s="192" t="s">
        <v>587</v>
      </c>
      <c r="M341" s="771">
        <f t="shared" si="83"/>
        <v>41609</v>
      </c>
      <c r="N341" s="771">
        <v>41612</v>
      </c>
      <c r="O341" s="772" t="s">
        <v>1028</v>
      </c>
      <c r="P341" s="305">
        <v>260</v>
      </c>
      <c r="Q341" s="801">
        <v>16626</v>
      </c>
      <c r="R341" s="25">
        <f t="shared" si="85"/>
        <v>4322760</v>
      </c>
      <c r="S341" s="449"/>
      <c r="T341" s="771"/>
      <c r="U341" s="803"/>
      <c r="V341" s="801"/>
      <c r="W341" s="25">
        <f t="shared" si="86"/>
        <v>0</v>
      </c>
    </row>
    <row r="342" spans="1:23" ht="16.5" customHeight="1">
      <c r="A342" s="757">
        <f t="shared" si="81"/>
        <v>93</v>
      </c>
      <c r="B342" s="297" t="s">
        <v>836</v>
      </c>
      <c r="C342" s="25">
        <f t="shared" si="82"/>
        <v>4175625</v>
      </c>
      <c r="D342" s="758">
        <f t="shared" si="88"/>
        <v>165195.35957486968</v>
      </c>
      <c r="E342" s="758">
        <f t="shared" si="88"/>
        <v>12203.621157783165</v>
      </c>
      <c r="F342" s="758">
        <f t="shared" si="88"/>
        <v>161855.87966256734</v>
      </c>
      <c r="G342" s="758">
        <f t="shared" si="88"/>
        <v>132490.23565112599</v>
      </c>
      <c r="H342" s="25">
        <f t="shared" si="80"/>
        <v>4647370.0960463462</v>
      </c>
      <c r="I342" s="758">
        <v>500</v>
      </c>
      <c r="J342" s="758">
        <f t="shared" si="84"/>
        <v>9294.7401920926932</v>
      </c>
      <c r="K342" s="666"/>
      <c r="L342" s="192" t="s">
        <v>665</v>
      </c>
      <c r="M342" s="771">
        <f t="shared" si="83"/>
        <v>41609</v>
      </c>
      <c r="N342" s="771">
        <v>41612</v>
      </c>
      <c r="O342" s="772" t="s">
        <v>1028</v>
      </c>
      <c r="P342" s="305">
        <v>255</v>
      </c>
      <c r="Q342" s="801">
        <v>16375</v>
      </c>
      <c r="R342" s="25">
        <f t="shared" si="85"/>
        <v>4175625</v>
      </c>
      <c r="S342" s="449"/>
      <c r="T342" s="771"/>
      <c r="U342" s="803"/>
      <c r="V342" s="801"/>
      <c r="W342" s="25">
        <f t="shared" si="86"/>
        <v>0</v>
      </c>
    </row>
    <row r="343" spans="1:23" ht="16.5" customHeight="1">
      <c r="A343" s="757">
        <f t="shared" si="81"/>
        <v>94</v>
      </c>
      <c r="B343" s="297" t="s">
        <v>883</v>
      </c>
      <c r="C343" s="25">
        <f t="shared" si="82"/>
        <v>1385800</v>
      </c>
      <c r="D343" s="758">
        <f t="shared" si="88"/>
        <v>66738.925268247345</v>
      </c>
      <c r="E343" s="758">
        <f t="shared" si="88"/>
        <v>4930.2629477443988</v>
      </c>
      <c r="F343" s="758">
        <f t="shared" si="88"/>
        <v>65389.775383677203</v>
      </c>
      <c r="G343" s="758">
        <f t="shared" si="88"/>
        <v>53526.055203054901</v>
      </c>
      <c r="H343" s="25">
        <f t="shared" si="80"/>
        <v>1576385.0188027236</v>
      </c>
      <c r="I343" s="758">
        <v>202</v>
      </c>
      <c r="J343" s="758">
        <f t="shared" si="84"/>
        <v>7803.8862316966515</v>
      </c>
      <c r="K343" s="666"/>
      <c r="L343" s="192" t="s">
        <v>711</v>
      </c>
      <c r="M343" s="771">
        <f t="shared" si="83"/>
        <v>41610</v>
      </c>
      <c r="N343" s="771">
        <v>41613</v>
      </c>
      <c r="O343" s="772" t="s">
        <v>1029</v>
      </c>
      <c r="P343" s="305">
        <v>205</v>
      </c>
      <c r="Q343" s="801">
        <v>6760</v>
      </c>
      <c r="R343" s="25">
        <f t="shared" si="85"/>
        <v>1385800</v>
      </c>
      <c r="S343" s="449"/>
      <c r="T343" s="771"/>
      <c r="U343" s="803"/>
      <c r="V343" s="801"/>
      <c r="W343" s="25">
        <f t="shared" si="86"/>
        <v>0</v>
      </c>
    </row>
    <row r="344" spans="1:23" ht="16.5" customHeight="1">
      <c r="A344" s="757">
        <f t="shared" si="81"/>
        <v>95</v>
      </c>
      <c r="B344" s="297" t="s">
        <v>841</v>
      </c>
      <c r="C344" s="25">
        <f t="shared" si="82"/>
        <v>785650</v>
      </c>
      <c r="D344" s="758">
        <f t="shared" si="88"/>
        <v>28083.211127727845</v>
      </c>
      <c r="E344" s="758">
        <f t="shared" si="88"/>
        <v>2074.6155968231383</v>
      </c>
      <c r="F344" s="758">
        <f t="shared" si="88"/>
        <v>27515.499542636448</v>
      </c>
      <c r="G344" s="758">
        <f t="shared" si="88"/>
        <v>22523.340060691418</v>
      </c>
      <c r="H344" s="25">
        <f t="shared" si="80"/>
        <v>865846.66632787895</v>
      </c>
      <c r="I344" s="758">
        <v>85</v>
      </c>
      <c r="J344" s="758">
        <f t="shared" si="84"/>
        <v>10186.431368563282</v>
      </c>
      <c r="K344" s="666"/>
      <c r="L344" s="192" t="s">
        <v>624</v>
      </c>
      <c r="M344" s="771">
        <f t="shared" si="83"/>
        <v>41610</v>
      </c>
      <c r="N344" s="771">
        <v>41613</v>
      </c>
      <c r="O344" s="772" t="s">
        <v>1029</v>
      </c>
      <c r="P344" s="305">
        <v>50</v>
      </c>
      <c r="Q344" s="801">
        <v>15713</v>
      </c>
      <c r="R344" s="25">
        <f t="shared" si="85"/>
        <v>785650</v>
      </c>
      <c r="S344" s="449"/>
      <c r="T344" s="771"/>
      <c r="U344" s="803"/>
      <c r="V344" s="801"/>
      <c r="W344" s="25">
        <f t="shared" si="86"/>
        <v>0</v>
      </c>
    </row>
    <row r="345" spans="1:23" ht="16.5" customHeight="1">
      <c r="A345" s="757">
        <f t="shared" si="81"/>
        <v>96</v>
      </c>
      <c r="B345" s="297" t="s">
        <v>1148</v>
      </c>
      <c r="C345" s="25">
        <f t="shared" si="82"/>
        <v>8543903</v>
      </c>
      <c r="D345" s="758">
        <f t="shared" si="88"/>
        <v>892054.94170429627</v>
      </c>
      <c r="E345" s="758">
        <f t="shared" si="88"/>
        <v>65899.554252029091</v>
      </c>
      <c r="F345" s="758">
        <f t="shared" si="88"/>
        <v>874021.75017786364</v>
      </c>
      <c r="G345" s="758">
        <f t="shared" si="88"/>
        <v>715447.27251608041</v>
      </c>
      <c r="H345" s="25">
        <f t="shared" si="80"/>
        <v>11091326.518650269</v>
      </c>
      <c r="I345" s="758">
        <v>2700</v>
      </c>
      <c r="J345" s="758">
        <f t="shared" si="84"/>
        <v>4107.8987106112108</v>
      </c>
      <c r="K345" s="666"/>
      <c r="L345" s="192" t="s">
        <v>716</v>
      </c>
      <c r="M345" s="771">
        <f t="shared" si="83"/>
        <v>41612</v>
      </c>
      <c r="N345" s="771">
        <v>41615</v>
      </c>
      <c r="O345" s="772" t="s">
        <v>660</v>
      </c>
      <c r="P345" s="305">
        <v>390</v>
      </c>
      <c r="Q345" s="801">
        <v>21907.443037974685</v>
      </c>
      <c r="R345" s="25">
        <f t="shared" si="85"/>
        <v>8543903</v>
      </c>
      <c r="S345" s="449"/>
      <c r="T345" s="771"/>
      <c r="U345" s="803"/>
      <c r="V345" s="801"/>
      <c r="W345" s="25">
        <f t="shared" si="86"/>
        <v>0</v>
      </c>
    </row>
    <row r="346" spans="1:23" ht="16.5" customHeight="1">
      <c r="A346" s="757">
        <f t="shared" si="81"/>
        <v>97</v>
      </c>
      <c r="B346" s="297" t="s">
        <v>1140</v>
      </c>
      <c r="C346" s="25">
        <f t="shared" si="82"/>
        <v>3505038</v>
      </c>
      <c r="D346" s="758">
        <f t="shared" si="88"/>
        <v>348562.20870297501</v>
      </c>
      <c r="E346" s="758">
        <f t="shared" si="88"/>
        <v>25749.640642922481</v>
      </c>
      <c r="F346" s="758">
        <f t="shared" si="88"/>
        <v>341515.90608801704</v>
      </c>
      <c r="G346" s="758">
        <f t="shared" si="88"/>
        <v>279554.39722387586</v>
      </c>
      <c r="H346" s="25">
        <f t="shared" ref="H346:H365" si="89">SUM(C346:G346)</f>
        <v>4500420.1526577901</v>
      </c>
      <c r="I346" s="758">
        <v>1055</v>
      </c>
      <c r="J346" s="758">
        <f t="shared" si="84"/>
        <v>4265.8010925666258</v>
      </c>
      <c r="K346" s="666"/>
      <c r="L346" s="192" t="s">
        <v>586</v>
      </c>
      <c r="M346" s="771">
        <f t="shared" si="83"/>
        <v>41617</v>
      </c>
      <c r="N346" s="771">
        <v>41620</v>
      </c>
      <c r="O346" s="772" t="s">
        <v>1030</v>
      </c>
      <c r="P346" s="305">
        <v>201</v>
      </c>
      <c r="Q346" s="801">
        <v>17438</v>
      </c>
      <c r="R346" s="25">
        <f t="shared" si="85"/>
        <v>3505038</v>
      </c>
      <c r="S346" s="449"/>
      <c r="T346" s="771"/>
      <c r="U346" s="803"/>
      <c r="V346" s="801"/>
      <c r="W346" s="25">
        <f t="shared" si="86"/>
        <v>0</v>
      </c>
    </row>
    <row r="347" spans="1:23" ht="16.5" customHeight="1">
      <c r="A347" s="757">
        <f t="shared" si="81"/>
        <v>98</v>
      </c>
      <c r="B347" s="297" t="s">
        <v>1150</v>
      </c>
      <c r="C347" s="25">
        <f t="shared" si="82"/>
        <v>8543902</v>
      </c>
      <c r="D347" s="758">
        <f t="shared" si="88"/>
        <v>892054.94170429627</v>
      </c>
      <c r="E347" s="758">
        <f t="shared" si="88"/>
        <v>65899.554252029091</v>
      </c>
      <c r="F347" s="758">
        <f t="shared" si="88"/>
        <v>874021.75017786364</v>
      </c>
      <c r="G347" s="758">
        <f t="shared" si="88"/>
        <v>715447.27251608041</v>
      </c>
      <c r="H347" s="25">
        <f t="shared" si="89"/>
        <v>11091325.518650269</v>
      </c>
      <c r="I347" s="758">
        <v>2700</v>
      </c>
      <c r="J347" s="758">
        <f t="shared" si="84"/>
        <v>4107.8983402408403</v>
      </c>
      <c r="K347" s="666"/>
      <c r="L347" s="192" t="s">
        <v>716</v>
      </c>
      <c r="M347" s="771">
        <f t="shared" si="83"/>
        <v>41619</v>
      </c>
      <c r="N347" s="771">
        <v>41622</v>
      </c>
      <c r="O347" s="772" t="s">
        <v>1031</v>
      </c>
      <c r="P347" s="305">
        <v>390</v>
      </c>
      <c r="Q347" s="801">
        <v>21907.441025641026</v>
      </c>
      <c r="R347" s="25">
        <f t="shared" si="85"/>
        <v>8543902</v>
      </c>
      <c r="S347" s="449"/>
      <c r="T347" s="771"/>
      <c r="U347" s="803"/>
      <c r="V347" s="801"/>
      <c r="W347" s="25">
        <f t="shared" si="86"/>
        <v>0</v>
      </c>
    </row>
    <row r="348" spans="1:23" ht="16.5" customHeight="1">
      <c r="A348" s="757">
        <f t="shared" si="81"/>
        <v>99</v>
      </c>
      <c r="B348" s="297" t="s">
        <v>836</v>
      </c>
      <c r="C348" s="25">
        <f t="shared" si="82"/>
        <v>10253680</v>
      </c>
      <c r="D348" s="758">
        <f t="shared" si="88"/>
        <v>340302.44072423154</v>
      </c>
      <c r="E348" s="758">
        <f t="shared" si="88"/>
        <v>25139.459585033321</v>
      </c>
      <c r="F348" s="758">
        <f t="shared" si="88"/>
        <v>333423.11210488871</v>
      </c>
      <c r="G348" s="758">
        <f t="shared" si="88"/>
        <v>272929.88544131955</v>
      </c>
      <c r="H348" s="25">
        <f t="shared" si="89"/>
        <v>11225474.897855474</v>
      </c>
      <c r="I348" s="758">
        <v>1030</v>
      </c>
      <c r="J348" s="758">
        <f t="shared" si="84"/>
        <v>10898.519318306286</v>
      </c>
      <c r="K348" s="666"/>
      <c r="L348" s="843" t="s">
        <v>1241</v>
      </c>
      <c r="M348" s="771">
        <f t="shared" si="83"/>
        <v>41621</v>
      </c>
      <c r="N348" s="771">
        <v>41624</v>
      </c>
      <c r="O348" s="772" t="s">
        <v>1032</v>
      </c>
      <c r="P348" s="305">
        <f>I348/2</f>
        <v>515</v>
      </c>
      <c r="Q348" s="801">
        <v>19910.05909888824</v>
      </c>
      <c r="R348" s="25">
        <f t="shared" si="85"/>
        <v>10253680</v>
      </c>
      <c r="S348" s="449"/>
      <c r="T348" s="771"/>
      <c r="U348" s="803"/>
      <c r="V348" s="801"/>
      <c r="W348" s="25">
        <f t="shared" si="86"/>
        <v>0</v>
      </c>
    </row>
    <row r="349" spans="1:23" ht="16.5" customHeight="1">
      <c r="A349" s="757">
        <f t="shared" si="81"/>
        <v>100</v>
      </c>
      <c r="B349" s="297" t="s">
        <v>1150</v>
      </c>
      <c r="C349" s="25">
        <f t="shared" si="82"/>
        <v>7200000</v>
      </c>
      <c r="D349" s="758">
        <f t="shared" si="88"/>
        <v>892054.94170429627</v>
      </c>
      <c r="E349" s="758">
        <f t="shared" si="88"/>
        <v>65899.554252029091</v>
      </c>
      <c r="F349" s="758">
        <f t="shared" si="88"/>
        <v>874021.75017786364</v>
      </c>
      <c r="G349" s="758">
        <f t="shared" si="88"/>
        <v>715447.27251608041</v>
      </c>
      <c r="H349" s="25">
        <f t="shared" si="89"/>
        <v>9747423.518650271</v>
      </c>
      <c r="I349" s="758">
        <v>2700</v>
      </c>
      <c r="J349" s="758">
        <f t="shared" si="84"/>
        <v>3610.1568587593597</v>
      </c>
      <c r="K349" s="666"/>
      <c r="L349" s="189" t="s">
        <v>708</v>
      </c>
      <c r="M349" s="771">
        <f t="shared" si="83"/>
        <v>41622</v>
      </c>
      <c r="N349" s="771">
        <v>41625</v>
      </c>
      <c r="O349" s="772" t="s">
        <v>1033</v>
      </c>
      <c r="P349" s="305">
        <v>800</v>
      </c>
      <c r="Q349" s="801">
        <v>9000</v>
      </c>
      <c r="R349" s="25">
        <f t="shared" si="85"/>
        <v>7200000</v>
      </c>
      <c r="S349" s="449"/>
      <c r="T349" s="771"/>
      <c r="U349" s="803"/>
      <c r="V349" s="801"/>
      <c r="W349" s="25">
        <f t="shared" si="86"/>
        <v>0</v>
      </c>
    </row>
    <row r="350" spans="1:23" ht="16.5" customHeight="1">
      <c r="A350" s="757">
        <f t="shared" si="81"/>
        <v>101</v>
      </c>
      <c r="B350" s="297" t="s">
        <v>836</v>
      </c>
      <c r="C350" s="25">
        <f t="shared" si="82"/>
        <v>4175625</v>
      </c>
      <c r="D350" s="758">
        <f t="shared" ref="D350:G365" si="90">IF($I$367&lt;&gt;0,D$367/$I$367*$I350,0)</f>
        <v>166847.31317061838</v>
      </c>
      <c r="E350" s="758">
        <f t="shared" si="90"/>
        <v>12325.657369360997</v>
      </c>
      <c r="F350" s="758">
        <f t="shared" si="90"/>
        <v>163474.43845919301</v>
      </c>
      <c r="G350" s="758">
        <f t="shared" si="90"/>
        <v>133815.13800763726</v>
      </c>
      <c r="H350" s="25">
        <f t="shared" si="89"/>
        <v>4652087.5470068101</v>
      </c>
      <c r="I350" s="758">
        <v>505</v>
      </c>
      <c r="J350" s="758">
        <f t="shared" si="84"/>
        <v>9212.0545485283365</v>
      </c>
      <c r="K350" s="666"/>
      <c r="L350" s="192" t="s">
        <v>665</v>
      </c>
      <c r="M350" s="771">
        <f t="shared" si="83"/>
        <v>41623</v>
      </c>
      <c r="N350" s="771">
        <v>41626</v>
      </c>
      <c r="O350" s="772" t="s">
        <v>1034</v>
      </c>
      <c r="P350" s="305">
        <v>255</v>
      </c>
      <c r="Q350" s="801">
        <v>16375</v>
      </c>
      <c r="R350" s="25">
        <f t="shared" si="85"/>
        <v>4175625</v>
      </c>
      <c r="S350" s="449"/>
      <c r="T350" s="771"/>
      <c r="U350" s="803"/>
      <c r="V350" s="801"/>
      <c r="W350" s="25">
        <f t="shared" si="86"/>
        <v>0</v>
      </c>
    </row>
    <row r="351" spans="1:23" ht="16.5" customHeight="1">
      <c r="A351" s="757">
        <f t="shared" si="81"/>
        <v>102</v>
      </c>
      <c r="B351" s="297" t="s">
        <v>1129</v>
      </c>
      <c r="C351" s="25">
        <f t="shared" si="82"/>
        <v>1635600</v>
      </c>
      <c r="D351" s="758">
        <f t="shared" si="90"/>
        <v>85571.19625978249</v>
      </c>
      <c r="E351" s="758">
        <f t="shared" si="90"/>
        <v>6321.4757597316802</v>
      </c>
      <c r="F351" s="758">
        <f t="shared" si="90"/>
        <v>83841.345665209883</v>
      </c>
      <c r="G351" s="758">
        <f t="shared" si="90"/>
        <v>68629.942067283264</v>
      </c>
      <c r="H351" s="25">
        <f t="shared" si="89"/>
        <v>1879963.9597520072</v>
      </c>
      <c r="I351" s="758">
        <v>259</v>
      </c>
      <c r="J351" s="758">
        <f t="shared" si="84"/>
        <v>7258.5481071506065</v>
      </c>
      <c r="K351" s="666"/>
      <c r="L351" s="189" t="s">
        <v>673</v>
      </c>
      <c r="M351" s="771">
        <f t="shared" si="83"/>
        <v>41625</v>
      </c>
      <c r="N351" s="771">
        <v>41628</v>
      </c>
      <c r="O351" s="772" t="s">
        <v>1035</v>
      </c>
      <c r="P351" s="305">
        <v>150</v>
      </c>
      <c r="Q351" s="801">
        <v>10904</v>
      </c>
      <c r="R351" s="25">
        <f t="shared" si="85"/>
        <v>1635600</v>
      </c>
      <c r="S351" s="449"/>
      <c r="T351" s="771"/>
      <c r="U351" s="803"/>
      <c r="V351" s="801"/>
      <c r="W351" s="25">
        <f t="shared" si="86"/>
        <v>0</v>
      </c>
    </row>
    <row r="352" spans="1:23" ht="16.5" customHeight="1">
      <c r="A352" s="757">
        <f t="shared" si="81"/>
        <v>103</v>
      </c>
      <c r="B352" s="297" t="s">
        <v>1130</v>
      </c>
      <c r="C352" s="25">
        <f t="shared" si="82"/>
        <v>1327968</v>
      </c>
      <c r="D352" s="758">
        <f t="shared" si="90"/>
        <v>34030.244072423156</v>
      </c>
      <c r="E352" s="758">
        <f t="shared" si="90"/>
        <v>2513.9459585033323</v>
      </c>
      <c r="F352" s="758">
        <f t="shared" si="90"/>
        <v>33342.311210488871</v>
      </c>
      <c r="G352" s="758">
        <f t="shared" si="90"/>
        <v>27292.988544131957</v>
      </c>
      <c r="H352" s="25">
        <f t="shared" si="89"/>
        <v>1425147.4897855471</v>
      </c>
      <c r="I352" s="758">
        <v>103</v>
      </c>
      <c r="J352" s="758">
        <f t="shared" si="84"/>
        <v>13836.383395976185</v>
      </c>
      <c r="K352" s="666"/>
      <c r="L352" s="189" t="s">
        <v>616</v>
      </c>
      <c r="M352" s="771">
        <f t="shared" si="83"/>
        <v>41625</v>
      </c>
      <c r="N352" s="771">
        <v>41628</v>
      </c>
      <c r="O352" s="772" t="s">
        <v>1035</v>
      </c>
      <c r="P352" s="305">
        <v>106</v>
      </c>
      <c r="Q352" s="801">
        <v>12528</v>
      </c>
      <c r="R352" s="25">
        <f t="shared" si="85"/>
        <v>1327968</v>
      </c>
      <c r="S352" s="449"/>
      <c r="T352" s="771"/>
      <c r="U352" s="803"/>
      <c r="V352" s="801"/>
      <c r="W352" s="25">
        <f t="shared" si="86"/>
        <v>0</v>
      </c>
    </row>
    <row r="353" spans="1:23" ht="16.5" customHeight="1">
      <c r="A353" s="757">
        <f t="shared" si="81"/>
        <v>104</v>
      </c>
      <c r="B353" s="297" t="s">
        <v>1131</v>
      </c>
      <c r="C353" s="25">
        <f t="shared" si="82"/>
        <v>2372955</v>
      </c>
      <c r="D353" s="758">
        <f t="shared" si="90"/>
        <v>93500.573519376238</v>
      </c>
      <c r="E353" s="758">
        <f t="shared" si="90"/>
        <v>6907.2495753052717</v>
      </c>
      <c r="F353" s="758">
        <f t="shared" si="90"/>
        <v>91610.42788901311</v>
      </c>
      <c r="G353" s="758">
        <f t="shared" si="90"/>
        <v>74989.47337853731</v>
      </c>
      <c r="H353" s="25">
        <f t="shared" si="89"/>
        <v>2639962.7243622318</v>
      </c>
      <c r="I353" s="758">
        <v>283</v>
      </c>
      <c r="J353" s="758">
        <f t="shared" si="84"/>
        <v>9328.4901920926914</v>
      </c>
      <c r="K353" s="666"/>
      <c r="L353" s="192" t="s">
        <v>628</v>
      </c>
      <c r="M353" s="771">
        <f t="shared" si="83"/>
        <v>41625</v>
      </c>
      <c r="N353" s="771">
        <v>41628</v>
      </c>
      <c r="O353" s="772" t="s">
        <v>1035</v>
      </c>
      <c r="P353" s="305">
        <f>I353</f>
        <v>283</v>
      </c>
      <c r="Q353" s="801">
        <v>8385</v>
      </c>
      <c r="R353" s="25">
        <f t="shared" si="85"/>
        <v>2372955</v>
      </c>
      <c r="S353" s="449"/>
      <c r="T353" s="771"/>
      <c r="U353" s="803"/>
      <c r="V353" s="801"/>
      <c r="W353" s="25">
        <f t="shared" si="86"/>
        <v>0</v>
      </c>
    </row>
    <row r="354" spans="1:23" ht="16.5" customHeight="1">
      <c r="A354" s="757">
        <f t="shared" si="81"/>
        <v>105</v>
      </c>
      <c r="B354" s="297" t="s">
        <v>1132</v>
      </c>
      <c r="C354" s="25">
        <f t="shared" si="82"/>
        <v>2192603</v>
      </c>
      <c r="D354" s="758">
        <f t="shared" si="90"/>
        <v>67069.315987397087</v>
      </c>
      <c r="E354" s="758">
        <f t="shared" si="90"/>
        <v>4954.6701900599655</v>
      </c>
      <c r="F354" s="758">
        <f t="shared" si="90"/>
        <v>65713.487143002334</v>
      </c>
      <c r="G354" s="758">
        <f t="shared" si="90"/>
        <v>53791.035674357154</v>
      </c>
      <c r="H354" s="25">
        <f t="shared" si="89"/>
        <v>2384131.5089948168</v>
      </c>
      <c r="I354" s="758">
        <v>203</v>
      </c>
      <c r="J354" s="758">
        <f t="shared" si="84"/>
        <v>11744.490192092693</v>
      </c>
      <c r="K354" s="666"/>
      <c r="L354" s="192" t="s">
        <v>670</v>
      </c>
      <c r="M354" s="771">
        <f t="shared" si="83"/>
        <v>41625</v>
      </c>
      <c r="N354" s="771">
        <v>41628</v>
      </c>
      <c r="O354" s="772" t="s">
        <v>1035</v>
      </c>
      <c r="P354" s="305">
        <v>203</v>
      </c>
      <c r="Q354" s="801">
        <v>10801</v>
      </c>
      <c r="R354" s="25">
        <f t="shared" si="85"/>
        <v>2192603</v>
      </c>
      <c r="S354" s="449"/>
      <c r="T354" s="771"/>
      <c r="U354" s="803"/>
      <c r="V354" s="801"/>
      <c r="W354" s="25">
        <f t="shared" si="86"/>
        <v>0</v>
      </c>
    </row>
    <row r="355" spans="1:23" ht="16.5" customHeight="1">
      <c r="A355" s="757">
        <f t="shared" si="81"/>
        <v>106</v>
      </c>
      <c r="B355" s="297" t="s">
        <v>1133</v>
      </c>
      <c r="C355" s="25">
        <f t="shared" si="82"/>
        <v>1338060</v>
      </c>
      <c r="D355" s="758">
        <f t="shared" si="90"/>
        <v>78632.991157637967</v>
      </c>
      <c r="E355" s="758">
        <f t="shared" si="90"/>
        <v>5808.923671104787</v>
      </c>
      <c r="F355" s="758">
        <f t="shared" si="90"/>
        <v>77043.39871938205</v>
      </c>
      <c r="G355" s="758">
        <f t="shared" si="90"/>
        <v>63065.352169935977</v>
      </c>
      <c r="H355" s="25">
        <f t="shared" si="89"/>
        <v>1562610.6657180607</v>
      </c>
      <c r="I355" s="758">
        <v>238</v>
      </c>
      <c r="J355" s="758">
        <f t="shared" si="84"/>
        <v>6565.5910324288261</v>
      </c>
      <c r="K355" s="666"/>
      <c r="L355" s="843" t="s">
        <v>1230</v>
      </c>
      <c r="M355" s="771">
        <f t="shared" si="83"/>
        <v>41625</v>
      </c>
      <c r="N355" s="771">
        <v>41628</v>
      </c>
      <c r="O355" s="772" t="s">
        <v>1035</v>
      </c>
      <c r="P355" s="305">
        <v>60</v>
      </c>
      <c r="Q355" s="801">
        <v>22301</v>
      </c>
      <c r="R355" s="25">
        <f t="shared" si="85"/>
        <v>1338060</v>
      </c>
      <c r="S355" s="449"/>
      <c r="T355" s="771"/>
      <c r="U355" s="803"/>
      <c r="V355" s="801"/>
      <c r="W355" s="25">
        <f t="shared" si="86"/>
        <v>0</v>
      </c>
    </row>
    <row r="356" spans="1:23" ht="16.5" customHeight="1">
      <c r="A356" s="757">
        <f t="shared" si="81"/>
        <v>107</v>
      </c>
      <c r="B356" s="297" t="s">
        <v>883</v>
      </c>
      <c r="C356" s="25">
        <f t="shared" si="82"/>
        <v>3008200</v>
      </c>
      <c r="D356" s="758">
        <f t="shared" si="90"/>
        <v>145702.30714503507</v>
      </c>
      <c r="E356" s="758">
        <f t="shared" si="90"/>
        <v>10763.593861164753</v>
      </c>
      <c r="F356" s="758">
        <f t="shared" si="90"/>
        <v>142756.8858623844</v>
      </c>
      <c r="G356" s="758">
        <f t="shared" si="90"/>
        <v>116856.38784429313</v>
      </c>
      <c r="H356" s="25">
        <f t="shared" si="89"/>
        <v>3424279.1747128768</v>
      </c>
      <c r="I356" s="758">
        <v>441</v>
      </c>
      <c r="J356" s="758">
        <f t="shared" si="84"/>
        <v>7764.8053848364552</v>
      </c>
      <c r="K356" s="666"/>
      <c r="L356" s="192" t="s">
        <v>711</v>
      </c>
      <c r="M356" s="771">
        <f t="shared" si="83"/>
        <v>41625</v>
      </c>
      <c r="N356" s="771">
        <v>41628</v>
      </c>
      <c r="O356" s="772" t="s">
        <v>1035</v>
      </c>
      <c r="P356" s="305">
        <v>445</v>
      </c>
      <c r="Q356" s="801">
        <v>6760</v>
      </c>
      <c r="R356" s="25">
        <f t="shared" si="85"/>
        <v>3008200</v>
      </c>
      <c r="S356" s="449"/>
      <c r="T356" s="771"/>
      <c r="U356" s="803"/>
      <c r="V356" s="801"/>
      <c r="W356" s="25">
        <f t="shared" si="86"/>
        <v>0</v>
      </c>
    </row>
    <row r="357" spans="1:23" ht="16.5" customHeight="1">
      <c r="A357" s="757">
        <f t="shared" si="81"/>
        <v>108</v>
      </c>
      <c r="B357" s="297" t="s">
        <v>1036</v>
      </c>
      <c r="C357" s="25">
        <f t="shared" si="82"/>
        <v>692224</v>
      </c>
      <c r="D357" s="758">
        <f t="shared" si="90"/>
        <v>34360.634791572891</v>
      </c>
      <c r="E357" s="758">
        <f t="shared" si="90"/>
        <v>2538.3532008188986</v>
      </c>
      <c r="F357" s="758">
        <f t="shared" si="90"/>
        <v>33666.022969814003</v>
      </c>
      <c r="G357" s="758">
        <f t="shared" si="90"/>
        <v>27557.96901543421</v>
      </c>
      <c r="H357" s="25">
        <f t="shared" si="89"/>
        <v>790346.97997764009</v>
      </c>
      <c r="I357" s="758">
        <v>104</v>
      </c>
      <c r="J357" s="758">
        <f t="shared" si="84"/>
        <v>7599.4901920926932</v>
      </c>
      <c r="K357" s="666"/>
      <c r="L357" s="843" t="s">
        <v>694</v>
      </c>
      <c r="M357" s="771">
        <f t="shared" si="83"/>
        <v>41625</v>
      </c>
      <c r="N357" s="771">
        <v>41628</v>
      </c>
      <c r="O357" s="772" t="s">
        <v>1035</v>
      </c>
      <c r="P357" s="305">
        <v>104</v>
      </c>
      <c r="Q357" s="293">
        <v>6656</v>
      </c>
      <c r="R357" s="25">
        <f t="shared" si="85"/>
        <v>692224</v>
      </c>
      <c r="S357" s="449"/>
      <c r="T357" s="771"/>
      <c r="U357" s="803"/>
      <c r="V357" s="801"/>
      <c r="W357" s="25">
        <f t="shared" si="86"/>
        <v>0</v>
      </c>
    </row>
    <row r="358" spans="1:23" ht="16.5" customHeight="1">
      <c r="A358" s="757">
        <f t="shared" si="81"/>
        <v>109</v>
      </c>
      <c r="B358" s="297" t="s">
        <v>842</v>
      </c>
      <c r="C358" s="25">
        <f t="shared" si="82"/>
        <v>840000</v>
      </c>
      <c r="D358" s="758">
        <f t="shared" si="90"/>
        <v>33699.853353273415</v>
      </c>
      <c r="E358" s="758">
        <f t="shared" si="90"/>
        <v>2489.5387161877661</v>
      </c>
      <c r="F358" s="758">
        <f t="shared" si="90"/>
        <v>33018.599451163733</v>
      </c>
      <c r="G358" s="758">
        <f t="shared" si="90"/>
        <v>27028.008072829703</v>
      </c>
      <c r="H358" s="25">
        <f t="shared" si="89"/>
        <v>936235.99959345465</v>
      </c>
      <c r="I358" s="758">
        <v>102</v>
      </c>
      <c r="J358" s="758">
        <f t="shared" si="84"/>
        <v>9178.7843097397508</v>
      </c>
      <c r="K358" s="666"/>
      <c r="L358" s="192" t="s">
        <v>709</v>
      </c>
      <c r="M358" s="771">
        <f t="shared" si="83"/>
        <v>41625</v>
      </c>
      <c r="N358" s="771">
        <v>41628</v>
      </c>
      <c r="O358" s="772" t="s">
        <v>1035</v>
      </c>
      <c r="P358" s="305">
        <v>56</v>
      </c>
      <c r="Q358" s="801">
        <v>15000</v>
      </c>
      <c r="R358" s="25">
        <f t="shared" si="85"/>
        <v>840000</v>
      </c>
      <c r="S358" s="449"/>
      <c r="T358" s="771"/>
      <c r="U358" s="803"/>
      <c r="V358" s="801"/>
      <c r="W358" s="25">
        <f t="shared" si="86"/>
        <v>0</v>
      </c>
    </row>
    <row r="359" spans="1:23" ht="16.5" customHeight="1">
      <c r="A359" s="757">
        <f t="shared" si="81"/>
        <v>110</v>
      </c>
      <c r="B359" s="297" t="s">
        <v>1154</v>
      </c>
      <c r="C359" s="25">
        <f t="shared" si="82"/>
        <v>5133168</v>
      </c>
      <c r="D359" s="758">
        <f t="shared" si="90"/>
        <v>502193.89310760383</v>
      </c>
      <c r="E359" s="758">
        <f t="shared" si="90"/>
        <v>37099.008319660825</v>
      </c>
      <c r="F359" s="758">
        <f t="shared" si="90"/>
        <v>492041.87417420471</v>
      </c>
      <c r="G359" s="758">
        <f t="shared" si="90"/>
        <v>402770.31637942302</v>
      </c>
      <c r="H359" s="25">
        <f t="shared" si="89"/>
        <v>6567273.0919808932</v>
      </c>
      <c r="I359" s="758">
        <v>1520</v>
      </c>
      <c r="J359" s="758">
        <f t="shared" si="84"/>
        <v>4320.5744026190087</v>
      </c>
      <c r="K359" s="666"/>
      <c r="L359" s="192" t="s">
        <v>589</v>
      </c>
      <c r="M359" s="771">
        <f t="shared" si="83"/>
        <v>41628</v>
      </c>
      <c r="N359" s="771">
        <v>41631</v>
      </c>
      <c r="O359" s="772" t="s">
        <v>1037</v>
      </c>
      <c r="P359" s="305">
        <v>258</v>
      </c>
      <c r="Q359" s="801">
        <v>19896</v>
      </c>
      <c r="R359" s="25">
        <f t="shared" si="85"/>
        <v>5133168</v>
      </c>
      <c r="S359" s="449"/>
      <c r="T359" s="771"/>
      <c r="U359" s="803"/>
      <c r="V359" s="801"/>
      <c r="W359" s="25">
        <f t="shared" si="86"/>
        <v>0</v>
      </c>
    </row>
    <row r="360" spans="1:23" ht="16.5" customHeight="1">
      <c r="A360" s="757">
        <f t="shared" si="81"/>
        <v>111</v>
      </c>
      <c r="B360" s="297" t="s">
        <v>729</v>
      </c>
      <c r="C360" s="25">
        <f t="shared" si="82"/>
        <v>6760000</v>
      </c>
      <c r="D360" s="758">
        <f t="shared" si="90"/>
        <v>323782.90476674458</v>
      </c>
      <c r="E360" s="758">
        <f t="shared" si="90"/>
        <v>23919.097469255004</v>
      </c>
      <c r="F360" s="758">
        <f t="shared" si="90"/>
        <v>317237.524138632</v>
      </c>
      <c r="G360" s="758">
        <f t="shared" si="90"/>
        <v>259680.86187620697</v>
      </c>
      <c r="H360" s="25">
        <f t="shared" si="89"/>
        <v>7684620.3882508399</v>
      </c>
      <c r="I360" s="758">
        <v>980</v>
      </c>
      <c r="J360" s="758">
        <f t="shared" si="84"/>
        <v>7841.449375766163</v>
      </c>
      <c r="K360" s="666"/>
      <c r="L360" s="192" t="s">
        <v>711</v>
      </c>
      <c r="M360" s="771">
        <f t="shared" si="83"/>
        <v>41630</v>
      </c>
      <c r="N360" s="771">
        <v>41633</v>
      </c>
      <c r="O360" s="772" t="s">
        <v>1038</v>
      </c>
      <c r="P360" s="305">
        <v>1000</v>
      </c>
      <c r="Q360" s="801">
        <v>6760</v>
      </c>
      <c r="R360" s="25">
        <f t="shared" si="85"/>
        <v>6760000</v>
      </c>
      <c r="S360" s="449"/>
      <c r="T360" s="771"/>
      <c r="U360" s="803"/>
      <c r="V360" s="801"/>
      <c r="W360" s="25">
        <f t="shared" si="86"/>
        <v>0</v>
      </c>
    </row>
    <row r="361" spans="1:23" ht="16.5" customHeight="1">
      <c r="A361" s="757">
        <f t="shared" si="81"/>
        <v>112</v>
      </c>
      <c r="B361" s="297" t="s">
        <v>875</v>
      </c>
      <c r="C361" s="25">
        <f t="shared" si="82"/>
        <v>2190160</v>
      </c>
      <c r="D361" s="758">
        <f t="shared" si="90"/>
        <v>19823.443148984363</v>
      </c>
      <c r="E361" s="758">
        <f t="shared" si="90"/>
        <v>1464.4345389339799</v>
      </c>
      <c r="F361" s="758">
        <f t="shared" si="90"/>
        <v>19422.705559508078</v>
      </c>
      <c r="G361" s="758">
        <f t="shared" si="90"/>
        <v>15898.828278135119</v>
      </c>
      <c r="H361" s="25">
        <f t="shared" si="89"/>
        <v>2246769.4115255615</v>
      </c>
      <c r="I361" s="758">
        <v>60</v>
      </c>
      <c r="J361" s="758">
        <f t="shared" si="84"/>
        <v>37446.156858759357</v>
      </c>
      <c r="K361" s="666"/>
      <c r="L361" s="192" t="s">
        <v>627</v>
      </c>
      <c r="M361" s="771">
        <f t="shared" si="83"/>
        <v>41632</v>
      </c>
      <c r="N361" s="771">
        <v>41635</v>
      </c>
      <c r="O361" s="772" t="s">
        <v>1039</v>
      </c>
      <c r="P361" s="305">
        <v>70</v>
      </c>
      <c r="Q361" s="801">
        <v>31288</v>
      </c>
      <c r="R361" s="25">
        <f t="shared" si="85"/>
        <v>2190160</v>
      </c>
      <c r="S361" s="449"/>
      <c r="T361" s="771"/>
      <c r="U361" s="803"/>
      <c r="V361" s="801"/>
      <c r="W361" s="25">
        <f t="shared" si="86"/>
        <v>0</v>
      </c>
    </row>
    <row r="362" spans="1:23" ht="16.5" customHeight="1">
      <c r="A362" s="757">
        <f t="shared" si="81"/>
        <v>113</v>
      </c>
      <c r="B362" s="297" t="s">
        <v>878</v>
      </c>
      <c r="C362" s="25">
        <f t="shared" si="82"/>
        <v>389660</v>
      </c>
      <c r="D362" s="758">
        <f t="shared" si="90"/>
        <v>3303.9071914973938</v>
      </c>
      <c r="E362" s="758">
        <f t="shared" si="90"/>
        <v>244.07242315566333</v>
      </c>
      <c r="F362" s="758">
        <f t="shared" si="90"/>
        <v>3237.1175932513465</v>
      </c>
      <c r="G362" s="758">
        <f t="shared" si="90"/>
        <v>2649.80471302252</v>
      </c>
      <c r="H362" s="25">
        <f t="shared" si="89"/>
        <v>399094.90192092693</v>
      </c>
      <c r="I362" s="758">
        <v>10</v>
      </c>
      <c r="J362" s="758">
        <f t="shared" si="84"/>
        <v>39909.490192092693</v>
      </c>
      <c r="K362" s="666"/>
      <c r="L362" s="192" t="s">
        <v>606</v>
      </c>
      <c r="M362" s="771">
        <f t="shared" si="83"/>
        <v>41632</v>
      </c>
      <c r="N362" s="771">
        <v>41635</v>
      </c>
      <c r="O362" s="772" t="s">
        <v>1039</v>
      </c>
      <c r="P362" s="305">
        <v>10</v>
      </c>
      <c r="Q362" s="801">
        <v>38966</v>
      </c>
      <c r="R362" s="25">
        <f t="shared" si="85"/>
        <v>389660</v>
      </c>
      <c r="S362" s="449"/>
      <c r="T362" s="771"/>
      <c r="U362" s="803"/>
      <c r="V362" s="801"/>
      <c r="W362" s="25">
        <f t="shared" si="86"/>
        <v>0</v>
      </c>
    </row>
    <row r="363" spans="1:23" ht="16.5" customHeight="1">
      <c r="A363" s="757">
        <f t="shared" si="81"/>
        <v>114</v>
      </c>
      <c r="B363" s="297" t="s">
        <v>1018</v>
      </c>
      <c r="C363" s="25">
        <f t="shared" si="82"/>
        <v>779320</v>
      </c>
      <c r="D363" s="758">
        <f t="shared" si="90"/>
        <v>6607.8143829947876</v>
      </c>
      <c r="E363" s="758">
        <f t="shared" si="90"/>
        <v>488.14484631132666</v>
      </c>
      <c r="F363" s="758">
        <f t="shared" si="90"/>
        <v>6474.2351865026931</v>
      </c>
      <c r="G363" s="758">
        <f t="shared" si="90"/>
        <v>5299.60942604504</v>
      </c>
      <c r="H363" s="25">
        <f t="shared" si="89"/>
        <v>798189.80384185386</v>
      </c>
      <c r="I363" s="758">
        <v>20</v>
      </c>
      <c r="J363" s="758">
        <f t="shared" si="84"/>
        <v>39909.490192092693</v>
      </c>
      <c r="K363" s="666"/>
      <c r="L363" s="192" t="s">
        <v>606</v>
      </c>
      <c r="M363" s="771">
        <f t="shared" si="83"/>
        <v>41632</v>
      </c>
      <c r="N363" s="771">
        <v>41635</v>
      </c>
      <c r="O363" s="772" t="s">
        <v>1039</v>
      </c>
      <c r="P363" s="305">
        <v>20</v>
      </c>
      <c r="Q363" s="801">
        <v>38966</v>
      </c>
      <c r="R363" s="25">
        <f t="shared" si="85"/>
        <v>779320</v>
      </c>
      <c r="S363" s="449"/>
      <c r="T363" s="771"/>
      <c r="U363" s="803"/>
      <c r="V363" s="801"/>
      <c r="W363" s="25">
        <f t="shared" si="86"/>
        <v>0</v>
      </c>
    </row>
    <row r="364" spans="1:23" ht="16.5" customHeight="1">
      <c r="A364" s="757">
        <f t="shared" si="81"/>
        <v>115</v>
      </c>
      <c r="B364" s="297" t="s">
        <v>1150</v>
      </c>
      <c r="C364" s="25">
        <f t="shared" si="82"/>
        <v>7101500</v>
      </c>
      <c r="D364" s="758">
        <f t="shared" si="90"/>
        <v>758246.7004486518</v>
      </c>
      <c r="E364" s="758">
        <f t="shared" si="90"/>
        <v>56014.621114224734</v>
      </c>
      <c r="F364" s="758">
        <f t="shared" si="90"/>
        <v>742918.48765118408</v>
      </c>
      <c r="G364" s="758">
        <f t="shared" si="90"/>
        <v>608130.18163866829</v>
      </c>
      <c r="H364" s="25">
        <f t="shared" si="89"/>
        <v>9266809.9908527285</v>
      </c>
      <c r="I364" s="758">
        <v>2295</v>
      </c>
      <c r="J364" s="758">
        <f t="shared" si="84"/>
        <v>4037.8257040752628</v>
      </c>
      <c r="K364" s="666"/>
      <c r="L364" s="192" t="s">
        <v>659</v>
      </c>
      <c r="M364" s="771">
        <f t="shared" si="83"/>
        <v>41632</v>
      </c>
      <c r="N364" s="771">
        <v>41635</v>
      </c>
      <c r="O364" s="772" t="s">
        <v>1040</v>
      </c>
      <c r="P364" s="305">
        <v>350</v>
      </c>
      <c r="Q364" s="801">
        <v>20290</v>
      </c>
      <c r="R364" s="25">
        <f t="shared" si="85"/>
        <v>7101500</v>
      </c>
      <c r="S364" s="449"/>
      <c r="T364" s="771"/>
      <c r="U364" s="803"/>
      <c r="V364" s="801"/>
      <c r="W364" s="25">
        <f t="shared" si="86"/>
        <v>0</v>
      </c>
    </row>
    <row r="365" spans="1:23" ht="16.5" customHeight="1">
      <c r="A365" s="757">
        <f t="shared" si="81"/>
        <v>116</v>
      </c>
      <c r="B365" s="297" t="s">
        <v>1139</v>
      </c>
      <c r="C365" s="25">
        <f t="shared" si="82"/>
        <v>1542876</v>
      </c>
      <c r="D365" s="758">
        <f t="shared" si="90"/>
        <v>37003.760544770812</v>
      </c>
      <c r="E365" s="758">
        <f t="shared" si="90"/>
        <v>2733.6111393434294</v>
      </c>
      <c r="F365" s="758">
        <f t="shared" si="90"/>
        <v>36255.717044415083</v>
      </c>
      <c r="G365" s="758">
        <f t="shared" si="90"/>
        <v>29677.812785852224</v>
      </c>
      <c r="H365" s="25">
        <f t="shared" si="89"/>
        <v>1648546.9015143816</v>
      </c>
      <c r="I365" s="758">
        <v>112</v>
      </c>
      <c r="J365" s="758">
        <f t="shared" si="84"/>
        <v>14719.168763521264</v>
      </c>
      <c r="K365" s="666"/>
      <c r="L365" s="843" t="s">
        <v>1251</v>
      </c>
      <c r="M365" s="771">
        <f t="shared" si="83"/>
        <v>41633</v>
      </c>
      <c r="N365" s="771">
        <v>41636</v>
      </c>
      <c r="O365" s="772" t="s">
        <v>1041</v>
      </c>
      <c r="P365" s="305">
        <v>67</v>
      </c>
      <c r="Q365" s="801">
        <v>23028</v>
      </c>
      <c r="R365" s="25">
        <f t="shared" si="85"/>
        <v>1542876</v>
      </c>
      <c r="S365" s="449"/>
      <c r="T365" s="771"/>
      <c r="U365" s="803"/>
      <c r="V365" s="801"/>
      <c r="W365" s="25">
        <f t="shared" si="86"/>
        <v>0</v>
      </c>
    </row>
    <row r="366" spans="1:23" ht="16.5" customHeight="1">
      <c r="A366" s="757"/>
      <c r="B366" s="297"/>
      <c r="C366" s="25"/>
      <c r="D366" s="758"/>
      <c r="E366" s="758"/>
      <c r="F366" s="758"/>
      <c r="G366" s="758"/>
      <c r="H366" s="25"/>
      <c r="I366" s="758"/>
      <c r="J366" s="758"/>
      <c r="K366" s="666"/>
      <c r="L366" s="449"/>
      <c r="M366" s="771"/>
      <c r="N366" s="771"/>
      <c r="O366" s="772"/>
      <c r="P366" s="305"/>
      <c r="Q366" s="801"/>
      <c r="R366" s="25">
        <f t="shared" si="65"/>
        <v>0</v>
      </c>
      <c r="S366" s="449"/>
      <c r="T366" s="771"/>
      <c r="U366" s="803"/>
      <c r="V366" s="801"/>
      <c r="W366" s="25">
        <f t="shared" si="66"/>
        <v>0</v>
      </c>
    </row>
    <row r="367" spans="1:23" s="777" customFormat="1" ht="16.5" customHeight="1">
      <c r="A367" s="759"/>
      <c r="B367" s="760" t="s">
        <v>249</v>
      </c>
      <c r="C367" s="535">
        <f>SUM(C250:C366)</f>
        <v>417779927</v>
      </c>
      <c r="D367" s="535">
        <v>22755000</v>
      </c>
      <c r="E367" s="535">
        <f>W367</f>
        <v>1681000</v>
      </c>
      <c r="F367" s="535">
        <v>22295000</v>
      </c>
      <c r="G367" s="535">
        <v>18250000</v>
      </c>
      <c r="H367" s="535">
        <f>SUM(H250:H366)</f>
        <v>482760923.99999988</v>
      </c>
      <c r="I367" s="535">
        <f>ROUND(SUM(I250:I366),0)</f>
        <v>68873</v>
      </c>
      <c r="J367" s="535"/>
      <c r="K367" s="666"/>
      <c r="L367" s="778"/>
      <c r="M367" s="779"/>
      <c r="N367" s="779"/>
      <c r="O367" s="780"/>
      <c r="P367" s="822"/>
      <c r="Q367" s="800"/>
      <c r="R367" s="47">
        <f>SUM(R250:R366)</f>
        <v>417779927</v>
      </c>
      <c r="S367" s="778"/>
      <c r="T367" s="779"/>
      <c r="U367" s="792"/>
      <c r="V367" s="800"/>
      <c r="W367" s="47">
        <f>SUM(W250:W366)</f>
        <v>1681000</v>
      </c>
    </row>
    <row r="368" spans="1:23" s="755" customFormat="1">
      <c r="A368" s="754"/>
      <c r="B368" s="754"/>
      <c r="C368" s="754"/>
      <c r="D368" s="754"/>
      <c r="E368" s="754"/>
      <c r="F368" s="754"/>
      <c r="G368" s="754"/>
      <c r="H368" s="892">
        <v>517417820</v>
      </c>
      <c r="I368" s="754"/>
      <c r="J368" s="754"/>
      <c r="K368" s="666"/>
      <c r="L368" s="754"/>
      <c r="M368" s="766"/>
      <c r="N368" s="766"/>
      <c r="O368" s="767"/>
      <c r="P368" s="815"/>
      <c r="Q368" s="293"/>
      <c r="R368" s="754"/>
      <c r="S368" s="754"/>
      <c r="T368" s="766"/>
      <c r="U368" s="293"/>
      <c r="V368" s="293"/>
      <c r="W368" s="754"/>
    </row>
    <row r="369" spans="8:18">
      <c r="H369" s="784">
        <f>H368-H367</f>
        <v>34656896.000000119</v>
      </c>
      <c r="K369" s="666"/>
    </row>
    <row r="370" spans="8:18">
      <c r="H370" s="784"/>
      <c r="K370" s="666"/>
    </row>
    <row r="371" spans="8:18">
      <c r="K371" s="666"/>
    </row>
    <row r="372" spans="8:18">
      <c r="R372" s="784"/>
    </row>
  </sheetData>
  <autoFilter ref="A249:Y369"/>
  <sortState ref="A359:AC597">
    <sortCondition ref="T359:T597"/>
  </sortState>
  <dataValidations count="1">
    <dataValidation type="list" allowBlank="1" showInputMessage="1" showErrorMessage="1" sqref="L249 L143 L5 L62 S249 S143 S5 S62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5" customWidth="1"/>
    <col min="2" max="2" width="15.7109375" style="585" customWidth="1"/>
    <col min="3" max="3" width="16.85546875" style="585" customWidth="1"/>
    <col min="4" max="9" width="15.28515625" style="585" customWidth="1"/>
    <col min="10" max="10" width="10.140625" style="585" customWidth="1"/>
    <col min="11" max="11" width="5.85546875" style="585" customWidth="1"/>
    <col min="12" max="16384" width="10.28515625" style="585"/>
  </cols>
  <sheetData>
    <row r="1" spans="1:11" s="451" customFormat="1" ht="19.5" customHeight="1">
      <c r="A1" s="572" t="str">
        <f>TH!A1</f>
        <v>Đơn vị: CÔNG TY TNHH SX TM KIM DUNG PHÁT</v>
      </c>
      <c r="B1" s="572"/>
      <c r="D1" s="452"/>
      <c r="E1" s="452"/>
      <c r="F1" s="452"/>
      <c r="G1" s="1082" t="s">
        <v>250</v>
      </c>
      <c r="H1" s="1082"/>
      <c r="I1" s="1082"/>
      <c r="J1" s="453"/>
      <c r="K1" s="454"/>
    </row>
    <row r="2" spans="1:11" s="451" customFormat="1" ht="19.5" customHeight="1">
      <c r="A2" s="622" t="str">
        <f>TH!A2</f>
        <v>Địa chỉ: 1A227/1 Ấp 1, Phạm Văn Hai, Bình Chánh, TPHCM</v>
      </c>
      <c r="B2" s="572"/>
      <c r="D2" s="455"/>
      <c r="E2" s="455"/>
      <c r="F2" s="455"/>
      <c r="G2" s="1083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83"/>
      <c r="I2" s="1083"/>
      <c r="J2" s="453"/>
      <c r="K2" s="440">
        <v>1</v>
      </c>
    </row>
    <row r="3" spans="1:11" s="451" customFormat="1" ht="15">
      <c r="A3" s="573"/>
      <c r="B3" s="574"/>
      <c r="C3" s="455"/>
      <c r="D3" s="455"/>
      <c r="E3" s="455"/>
      <c r="F3" s="455"/>
      <c r="G3" s="1083"/>
      <c r="H3" s="1083"/>
      <c r="I3" s="1083"/>
      <c r="J3" s="453"/>
    </row>
    <row r="4" spans="1:11" s="576" customFormat="1" ht="17.25" customHeight="1">
      <c r="A4" s="1084" t="s">
        <v>251</v>
      </c>
      <c r="B4" s="1084"/>
      <c r="C4" s="1084"/>
      <c r="D4" s="1084"/>
      <c r="E4" s="1084"/>
      <c r="F4" s="1084"/>
      <c r="G4" s="1084"/>
      <c r="H4" s="1084"/>
      <c r="I4" s="1084"/>
      <c r="J4" s="575"/>
    </row>
    <row r="5" spans="1:11" s="577" customFormat="1" ht="17.25" customHeight="1">
      <c r="B5" s="578"/>
      <c r="C5" s="579" t="s">
        <v>351</v>
      </c>
      <c r="D5" s="578" t="str">
        <f>IF($K$2&lt;10,"0"&amp;$K$2&amp;"  năm 2011",$K$2&amp;"  năm 2011")</f>
        <v>01  năm 2011</v>
      </c>
      <c r="E5" s="578"/>
      <c r="F5" s="578"/>
      <c r="G5" s="578"/>
      <c r="H5" s="578"/>
      <c r="I5" s="578"/>
      <c r="J5" s="578"/>
    </row>
    <row r="6" spans="1:11" s="577" customFormat="1" ht="17.25" customHeight="1">
      <c r="B6" s="580"/>
      <c r="C6" s="1085" t="s">
        <v>252</v>
      </c>
      <c r="D6" s="1085"/>
      <c r="E6" s="1086"/>
      <c r="F6" s="1086"/>
      <c r="G6" s="1086"/>
      <c r="H6" s="703"/>
      <c r="I6" s="580"/>
      <c r="J6" s="578"/>
    </row>
    <row r="7" spans="1:11" s="582" customFormat="1" ht="9.75" customHeight="1">
      <c r="A7" s="581"/>
      <c r="B7" s="581"/>
      <c r="C7" s="581"/>
      <c r="D7" s="581"/>
      <c r="E7" s="581"/>
      <c r="F7" s="581"/>
      <c r="G7" s="581"/>
      <c r="H7" s="581"/>
      <c r="I7" s="581"/>
      <c r="J7" s="580"/>
    </row>
    <row r="8" spans="1:11" s="457" customFormat="1" ht="17.25" customHeight="1">
      <c r="A8" s="1087" t="s">
        <v>253</v>
      </c>
      <c r="B8" s="1088" t="s">
        <v>254</v>
      </c>
      <c r="C8" s="1088" t="s">
        <v>255</v>
      </c>
      <c r="D8" s="1088"/>
      <c r="E8" s="1088"/>
      <c r="F8" s="1088"/>
      <c r="G8" s="1088"/>
      <c r="H8" s="1088"/>
      <c r="I8" s="1088"/>
      <c r="J8" s="456"/>
    </row>
    <row r="9" spans="1:11" s="460" customFormat="1" ht="35.25" customHeight="1">
      <c r="A9" s="1087"/>
      <c r="B9" s="1088"/>
      <c r="C9" s="458" t="s">
        <v>434</v>
      </c>
      <c r="D9" s="458" t="s">
        <v>256</v>
      </c>
      <c r="E9" s="458" t="s">
        <v>435</v>
      </c>
      <c r="F9" s="458" t="s">
        <v>436</v>
      </c>
      <c r="G9" s="458" t="s">
        <v>257</v>
      </c>
      <c r="H9" s="458" t="s">
        <v>258</v>
      </c>
      <c r="I9" s="458" t="s">
        <v>437</v>
      </c>
      <c r="J9" s="459"/>
    </row>
    <row r="10" spans="1:11" s="463" customFormat="1" ht="15">
      <c r="A10" s="461" t="s">
        <v>2</v>
      </c>
      <c r="B10" s="462">
        <v>1</v>
      </c>
      <c r="C10" s="462">
        <v>2</v>
      </c>
      <c r="D10" s="462">
        <v>3</v>
      </c>
      <c r="E10" s="462">
        <v>4</v>
      </c>
      <c r="F10" s="462">
        <v>5</v>
      </c>
      <c r="G10" s="462">
        <v>6</v>
      </c>
      <c r="H10" s="462">
        <v>7</v>
      </c>
      <c r="I10" s="462">
        <v>8</v>
      </c>
      <c r="J10" s="453"/>
    </row>
    <row r="11" spans="1:11" s="577" customFormat="1" ht="24.75" customHeight="1">
      <c r="A11" s="583" t="s">
        <v>259</v>
      </c>
      <c r="B11" s="584">
        <f>ROUND(SUM(C11:I11),0)</f>
        <v>0</v>
      </c>
      <c r="C11" s="584">
        <v>0</v>
      </c>
      <c r="D11" s="584">
        <v>0</v>
      </c>
      <c r="E11" s="584">
        <v>0</v>
      </c>
      <c r="F11" s="584">
        <v>0</v>
      </c>
      <c r="G11" s="584">
        <v>0</v>
      </c>
      <c r="H11" s="584">
        <v>0</v>
      </c>
      <c r="I11" s="584">
        <v>0</v>
      </c>
      <c r="J11" s="578"/>
    </row>
    <row r="12" spans="1:11" s="577" customFormat="1" ht="24.75" customHeight="1">
      <c r="A12" s="583" t="s">
        <v>260</v>
      </c>
      <c r="B12" s="584">
        <f ca="1">ROUND(SUM(C12:I12),0)</f>
        <v>0</v>
      </c>
      <c r="C12" s="584">
        <f ca="1">IF(ISNA(VLOOKUP($E6,INDIRECT("DSSP"&amp;$K$2),5,0)),0,VLOOKUP($E6,INDIRECT("DSSP"&amp;$K$2),5,0))</f>
        <v>0</v>
      </c>
      <c r="D12" s="584">
        <f ca="1">IF(ISNA(VLOOKUP($E6,INDIRECT("DSSP"&amp;$K$2),6,0)),0,VLOOKUP($E6,INDIRECT("DSSP"&amp;$K$2),6,0))</f>
        <v>0</v>
      </c>
      <c r="E12" s="584">
        <f ca="1">IF(ISNA(VLOOKUP($E6,INDIRECT("DSSP"&amp;$K$2),7,0)),0,VLOOKUP($E6,INDIRECT("DSSP"&amp;$K$2),7,0))</f>
        <v>0</v>
      </c>
      <c r="F12" s="584">
        <f ca="1">IF(ISNA(VLOOKUP($E6,INDIRECT("DSSP"&amp;$K$2),8,0)),0,VLOOKUP($E6,INDIRECT("DSSP"&amp;$K$2),8,0))</f>
        <v>0</v>
      </c>
      <c r="G12" s="584">
        <f ca="1">IF(ISNA(VLOOKUP($E6,INDIRECT("DSSP"&amp;$K$2),9,0)),0,VLOOKUP($E6,INDIRECT("DSSP"&amp;$K$2),9,0))</f>
        <v>0</v>
      </c>
      <c r="H12" s="584">
        <f ca="1">IF(ISNA(VLOOKUP($E6,INDIRECT("DSSP"&amp;$K$2),10,0)),0,VLOOKUP($E6,INDIRECT("DSSP"&amp;$K$2),10,0))</f>
        <v>0</v>
      </c>
      <c r="I12" s="584">
        <f ca="1">IF(ISNA(VLOOKUP($E6,INDIRECT("DSSP"&amp;$K$2),11,0)),0,VLOOKUP($E6,INDIRECT("DSSP"&amp;$K$2),11,0))</f>
        <v>0</v>
      </c>
      <c r="J12" s="578"/>
    </row>
    <row r="13" spans="1:11" s="577" customFormat="1" ht="24.75" customHeight="1">
      <c r="A13" s="583" t="s">
        <v>261</v>
      </c>
      <c r="B13" s="584">
        <f ca="1">ROUND(IF(ISNA(VLOOKUP($E6,INDIRECT("DSSP"&amp;$K$2),13,0)),0,VLOOKUP($E6,INDIRECT("DSSP"&amp;$K$2),13,0)),0)</f>
        <v>0</v>
      </c>
      <c r="C13" s="584">
        <f t="shared" ref="C13:I13" ca="1" si="0">C12</f>
        <v>0</v>
      </c>
      <c r="D13" s="584">
        <f t="shared" ca="1" si="0"/>
        <v>0</v>
      </c>
      <c r="E13" s="584">
        <f t="shared" ca="1" si="0"/>
        <v>0</v>
      </c>
      <c r="F13" s="584"/>
      <c r="G13" s="584">
        <f t="shared" ca="1" si="0"/>
        <v>0</v>
      </c>
      <c r="H13" s="584"/>
      <c r="I13" s="584">
        <f t="shared" ca="1" si="0"/>
        <v>0</v>
      </c>
      <c r="J13" s="578"/>
    </row>
    <row r="14" spans="1:11" s="577" customFormat="1" ht="24.75" customHeight="1">
      <c r="A14" s="583" t="s">
        <v>262</v>
      </c>
      <c r="B14" s="584">
        <f ca="1">B12-B13</f>
        <v>0</v>
      </c>
      <c r="C14" s="584">
        <f t="shared" ref="C14:I14" ca="1" si="1">C12-C13</f>
        <v>0</v>
      </c>
      <c r="D14" s="584">
        <f t="shared" ca="1" si="1"/>
        <v>0</v>
      </c>
      <c r="E14" s="584">
        <f t="shared" ca="1" si="1"/>
        <v>0</v>
      </c>
      <c r="F14" s="584"/>
      <c r="G14" s="584">
        <f t="shared" ca="1" si="1"/>
        <v>0</v>
      </c>
      <c r="H14" s="584"/>
      <c r="I14" s="584">
        <f t="shared" ca="1" si="1"/>
        <v>0</v>
      </c>
      <c r="J14" s="578"/>
    </row>
    <row r="15" spans="1:11" s="577" customFormat="1" ht="15">
      <c r="B15" s="578"/>
      <c r="C15" s="578"/>
      <c r="D15" s="578"/>
      <c r="E15" s="578"/>
      <c r="F15" s="578"/>
      <c r="G15" s="578"/>
      <c r="H15" s="578"/>
      <c r="I15" s="578"/>
      <c r="J15" s="578"/>
    </row>
    <row r="16" spans="1:11" s="577" customFormat="1" ht="15">
      <c r="B16" s="578"/>
      <c r="C16" s="578"/>
      <c r="D16" s="578"/>
      <c r="E16" s="1081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81"/>
      <c r="G16" s="1081"/>
      <c r="H16" s="1081"/>
      <c r="I16" s="1081"/>
      <c r="J16" s="578"/>
    </row>
    <row r="17" spans="2:10" s="577" customFormat="1" ht="15">
      <c r="B17" s="463" t="s">
        <v>263</v>
      </c>
      <c r="C17" s="578"/>
      <c r="D17" s="578"/>
      <c r="E17" s="1081" t="s">
        <v>12</v>
      </c>
      <c r="F17" s="1081"/>
      <c r="G17" s="1081"/>
      <c r="H17" s="1081"/>
      <c r="I17" s="1081"/>
      <c r="J17" s="578"/>
    </row>
    <row r="19" spans="2:10" ht="15">
      <c r="E19" s="586"/>
      <c r="F19" s="586"/>
    </row>
    <row r="26" spans="2:10">
      <c r="B26" s="561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E28" sqref="E28"/>
    </sheetView>
  </sheetViews>
  <sheetFormatPr defaultRowHeight="12.75"/>
  <cols>
    <col min="1" max="1" width="4.140625" style="496" customWidth="1"/>
    <col min="2" max="2" width="9.140625" style="496" customWidth="1"/>
    <col min="3" max="3" width="9" style="497" customWidth="1"/>
    <col min="4" max="4" width="28.140625" style="496" customWidth="1"/>
    <col min="5" max="5" width="9.140625" style="496" customWidth="1"/>
    <col min="6" max="6" width="9.28515625" style="497" customWidth="1"/>
    <col min="7" max="7" width="9" style="496" customWidth="1"/>
    <col min="8" max="8" width="14.5703125" style="496" customWidth="1"/>
    <col min="9" max="9" width="6" style="496" customWidth="1"/>
    <col min="10" max="10" width="14.140625" style="496" customWidth="1"/>
    <col min="11" max="11" width="14.85546875" style="498" customWidth="1"/>
    <col min="12" max="12" width="14.42578125" style="496" customWidth="1"/>
    <col min="13" max="13" width="5.85546875" style="496" customWidth="1"/>
    <col min="14" max="14" width="7.42578125" style="496" customWidth="1"/>
    <col min="15" max="15" width="11.7109375" style="496" customWidth="1"/>
    <col min="16" max="16" width="4.5703125" style="562" customWidth="1"/>
    <col min="17" max="17" width="11.140625" style="496" bestFit="1" customWidth="1"/>
    <col min="18" max="18" width="12" style="496" bestFit="1" customWidth="1"/>
    <col min="19" max="16384" width="9.140625" style="496"/>
  </cols>
  <sheetData>
    <row r="1" spans="1:18" ht="15" customHeight="1">
      <c r="A1" s="623" t="str">
        <f>TH!A1</f>
        <v>Đơn vị: CÔNG TY TNHH SX TM KIM DUNG PHÁT</v>
      </c>
      <c r="L1" s="1099" t="s">
        <v>282</v>
      </c>
      <c r="M1" s="1099"/>
      <c r="N1" s="1099"/>
      <c r="O1" s="1099"/>
    </row>
    <row r="2" spans="1:18" ht="15" customHeight="1">
      <c r="A2" s="495" t="str">
        <f>TH!A2</f>
        <v>Địa chỉ: 1A227/1 Ấp 1, Phạm Văn Hai, Bình Chánh, TPHCM</v>
      </c>
      <c r="L2" s="1098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8"/>
      <c r="N2" s="1098"/>
      <c r="O2" s="1098"/>
    </row>
    <row r="3" spans="1:18" ht="15" customHeight="1">
      <c r="L3" s="1098"/>
      <c r="M3" s="1098"/>
      <c r="N3" s="1098"/>
      <c r="O3" s="1098"/>
    </row>
    <row r="5" spans="1:18" s="501" customFormat="1" ht="24" customHeight="1">
      <c r="A5" s="1100" t="s">
        <v>283</v>
      </c>
      <c r="B5" s="1100"/>
      <c r="C5" s="1100"/>
      <c r="D5" s="1100"/>
      <c r="E5" s="1100"/>
      <c r="F5" s="1100"/>
      <c r="G5" s="1100"/>
      <c r="H5" s="1100"/>
      <c r="I5" s="1100"/>
      <c r="J5" s="1100"/>
      <c r="K5" s="1100"/>
      <c r="L5" s="1100"/>
      <c r="M5" s="1100"/>
      <c r="N5" s="1100"/>
      <c r="O5" s="1100"/>
      <c r="P5" s="563"/>
    </row>
    <row r="6" spans="1:18" s="501" customFormat="1" ht="21" customHeight="1">
      <c r="A6" s="1101" t="s">
        <v>438</v>
      </c>
      <c r="B6" s="1101"/>
      <c r="C6" s="1101"/>
      <c r="D6" s="1101"/>
      <c r="E6" s="1101"/>
      <c r="F6" s="1101"/>
      <c r="G6" s="1101"/>
      <c r="H6" s="1101"/>
      <c r="I6" s="1101"/>
      <c r="J6" s="1101"/>
      <c r="K6" s="1101"/>
      <c r="L6" s="1101"/>
      <c r="M6" s="1101"/>
      <c r="N6" s="1101"/>
      <c r="O6" s="1101"/>
      <c r="P6" s="563"/>
    </row>
    <row r="7" spans="1:18" s="501" customFormat="1" ht="21" customHeight="1">
      <c r="A7" s="1102" t="s">
        <v>325</v>
      </c>
      <c r="B7" s="1102"/>
      <c r="C7" s="1102"/>
      <c r="D7" s="1102"/>
      <c r="E7" s="1102"/>
      <c r="F7" s="1102"/>
      <c r="G7" s="1102"/>
      <c r="H7" s="1102"/>
      <c r="I7" s="1102"/>
      <c r="J7" s="1102"/>
      <c r="K7" s="1102"/>
      <c r="L7" s="1102"/>
      <c r="M7" s="1102"/>
      <c r="N7" s="1102"/>
      <c r="O7" s="1102"/>
      <c r="P7" s="563"/>
    </row>
    <row r="8" spans="1:18">
      <c r="D8" s="497"/>
    </row>
    <row r="9" spans="1:18" s="502" customFormat="1" ht="24" customHeight="1">
      <c r="A9" s="1089" t="s">
        <v>233</v>
      </c>
      <c r="B9" s="1092" t="s">
        <v>284</v>
      </c>
      <c r="C9" s="1093"/>
      <c r="D9" s="1093"/>
      <c r="E9" s="1093"/>
      <c r="F9" s="1093"/>
      <c r="G9" s="1093"/>
      <c r="H9" s="1094"/>
      <c r="I9" s="1092" t="s">
        <v>285</v>
      </c>
      <c r="J9" s="1093"/>
      <c r="K9" s="1093"/>
      <c r="L9" s="1094"/>
      <c r="M9" s="1095" t="s">
        <v>286</v>
      </c>
      <c r="N9" s="1095"/>
      <c r="O9" s="1095"/>
      <c r="P9" s="564"/>
    </row>
    <row r="10" spans="1:18" s="502" customFormat="1" ht="24" customHeight="1">
      <c r="A10" s="1090"/>
      <c r="B10" s="1092" t="s">
        <v>287</v>
      </c>
      <c r="C10" s="1094"/>
      <c r="D10" s="1089" t="s">
        <v>288</v>
      </c>
      <c r="E10" s="1089" t="s">
        <v>289</v>
      </c>
      <c r="F10" s="1089" t="s">
        <v>290</v>
      </c>
      <c r="G10" s="1089" t="s">
        <v>291</v>
      </c>
      <c r="H10" s="1089" t="s">
        <v>292</v>
      </c>
      <c r="I10" s="1092" t="s">
        <v>293</v>
      </c>
      <c r="J10" s="1094"/>
      <c r="K10" s="1096" t="s">
        <v>294</v>
      </c>
      <c r="L10" s="1089" t="s">
        <v>295</v>
      </c>
      <c r="M10" s="1095" t="s">
        <v>287</v>
      </c>
      <c r="N10" s="1095"/>
      <c r="O10" s="1095" t="s">
        <v>296</v>
      </c>
      <c r="P10" s="564"/>
    </row>
    <row r="11" spans="1:18" s="502" customFormat="1" ht="55.5" customHeight="1">
      <c r="A11" s="1091"/>
      <c r="B11" s="503" t="s">
        <v>297</v>
      </c>
      <c r="C11" s="503" t="s">
        <v>234</v>
      </c>
      <c r="D11" s="1091"/>
      <c r="E11" s="1091"/>
      <c r="F11" s="1091"/>
      <c r="G11" s="1091"/>
      <c r="H11" s="1091"/>
      <c r="I11" s="503" t="s">
        <v>298</v>
      </c>
      <c r="J11" s="503" t="s">
        <v>299</v>
      </c>
      <c r="K11" s="1097"/>
      <c r="L11" s="1091"/>
      <c r="M11" s="503" t="s">
        <v>15</v>
      </c>
      <c r="N11" s="503" t="s">
        <v>234</v>
      </c>
      <c r="O11" s="1095"/>
      <c r="P11" s="564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131</v>
      </c>
      <c r="G12" s="504" t="s">
        <v>300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301</v>
      </c>
      <c r="N12" s="504" t="s">
        <v>302</v>
      </c>
      <c r="O12" s="504" t="s">
        <v>303</v>
      </c>
      <c r="P12" s="565"/>
    </row>
    <row r="13" spans="1:18" s="506" customFormat="1" ht="21.75" customHeight="1">
      <c r="A13" s="526" t="s">
        <v>301</v>
      </c>
      <c r="B13" s="528" t="s">
        <v>324</v>
      </c>
      <c r="C13" s="526"/>
      <c r="D13" s="526"/>
      <c r="E13" s="526"/>
      <c r="F13" s="526"/>
      <c r="G13" s="566"/>
      <c r="H13" s="533"/>
      <c r="I13" s="533"/>
      <c r="J13" s="533"/>
      <c r="K13" s="533"/>
      <c r="L13" s="8"/>
      <c r="M13" s="526"/>
      <c r="N13" s="526"/>
      <c r="O13" s="182"/>
      <c r="P13" s="565" t="str">
        <f>IF(D13='THE-TS'!$D$11,"x","")</f>
        <v/>
      </c>
    </row>
    <row r="14" spans="1:18" ht="21.75" customHeight="1">
      <c r="A14" s="527">
        <v>1</v>
      </c>
      <c r="B14" s="537" t="s">
        <v>403</v>
      </c>
      <c r="C14" s="507">
        <v>40682</v>
      </c>
      <c r="D14" s="210" t="s">
        <v>389</v>
      </c>
      <c r="E14" s="449" t="s">
        <v>304</v>
      </c>
      <c r="F14" s="536" t="s">
        <v>441</v>
      </c>
      <c r="G14" s="566" t="s">
        <v>424</v>
      </c>
      <c r="H14" s="257">
        <v>18000000</v>
      </c>
      <c r="I14" s="257">
        <v>5</v>
      </c>
      <c r="J14" s="8">
        <v>3600000</v>
      </c>
      <c r="K14" s="8">
        <v>5700000</v>
      </c>
      <c r="L14" s="8">
        <f t="shared" ref="L14:L16" si="0">K14+J14</f>
        <v>9300000</v>
      </c>
      <c r="M14" s="523"/>
      <c r="N14" s="449"/>
      <c r="O14" s="182"/>
      <c r="P14" s="565" t="str">
        <f>IF(D14='THE-TS'!$D$11,"x","")</f>
        <v>x</v>
      </c>
      <c r="Q14" s="293"/>
      <c r="R14" s="293"/>
    </row>
    <row r="15" spans="1:18" ht="21.75" customHeight="1">
      <c r="A15" s="527">
        <v>2</v>
      </c>
      <c r="B15" s="536" t="s">
        <v>404</v>
      </c>
      <c r="C15" s="507">
        <v>40686</v>
      </c>
      <c r="D15" s="210" t="s">
        <v>390</v>
      </c>
      <c r="E15" s="449" t="s">
        <v>304</v>
      </c>
      <c r="F15" s="536" t="s">
        <v>441</v>
      </c>
      <c r="G15" s="566" t="s">
        <v>425</v>
      </c>
      <c r="H15" s="257">
        <v>27000000</v>
      </c>
      <c r="I15" s="257">
        <v>5</v>
      </c>
      <c r="J15" s="8">
        <v>5400000</v>
      </c>
      <c r="K15" s="8">
        <v>8550000</v>
      </c>
      <c r="L15" s="8">
        <f t="shared" si="0"/>
        <v>13950000</v>
      </c>
      <c r="M15" s="523"/>
      <c r="N15" s="449"/>
      <c r="O15" s="182"/>
      <c r="P15" s="565" t="str">
        <f>IF(D15='THE-TS'!$D$11,"x","")</f>
        <v/>
      </c>
      <c r="Q15" s="293"/>
      <c r="R15" s="293"/>
    </row>
    <row r="16" spans="1:18" ht="21.75" customHeight="1">
      <c r="A16" s="527">
        <v>3</v>
      </c>
      <c r="B16" s="536" t="s">
        <v>343</v>
      </c>
      <c r="C16" s="507">
        <v>40710</v>
      </c>
      <c r="D16" s="210" t="s">
        <v>392</v>
      </c>
      <c r="E16" s="449" t="s">
        <v>304</v>
      </c>
      <c r="F16" s="536" t="s">
        <v>442</v>
      </c>
      <c r="G16" s="566" t="s">
        <v>426</v>
      </c>
      <c r="H16" s="257">
        <v>320000000</v>
      </c>
      <c r="I16" s="257">
        <v>5</v>
      </c>
      <c r="J16" s="8">
        <v>64000000</v>
      </c>
      <c r="K16" s="8">
        <v>96000000</v>
      </c>
      <c r="L16" s="8">
        <f t="shared" si="0"/>
        <v>160000000</v>
      </c>
      <c r="M16" s="523"/>
      <c r="N16" s="182"/>
      <c r="O16" s="182"/>
      <c r="P16" s="565" t="str">
        <f>IF(D16='THE-TS'!$D$11,"x","")</f>
        <v/>
      </c>
      <c r="Q16" s="293"/>
      <c r="R16" s="293"/>
    </row>
    <row r="17" spans="1:18" ht="21.75" customHeight="1">
      <c r="A17" s="508"/>
      <c r="B17" s="529"/>
      <c r="C17" s="530"/>
      <c r="D17" s="531"/>
      <c r="E17" s="509"/>
      <c r="F17" s="530"/>
      <c r="G17" s="529"/>
      <c r="H17" s="534"/>
      <c r="I17" s="534"/>
      <c r="J17" s="300"/>
      <c r="K17" s="300"/>
      <c r="L17" s="300"/>
      <c r="M17" s="509"/>
      <c r="N17" s="509"/>
      <c r="O17" s="509"/>
      <c r="P17" s="565" t="str">
        <f>IF(D17='THE-TS'!$D$11,"x","")</f>
        <v/>
      </c>
      <c r="R17" s="524"/>
    </row>
    <row r="18" spans="1:18" s="512" customFormat="1" ht="21.75" customHeight="1">
      <c r="A18" s="510"/>
      <c r="B18" s="511"/>
      <c r="C18" s="510"/>
      <c r="D18" s="510" t="s">
        <v>305</v>
      </c>
      <c r="E18" s="510" t="s">
        <v>19</v>
      </c>
      <c r="F18" s="510" t="s">
        <v>19</v>
      </c>
      <c r="G18" s="510" t="s">
        <v>19</v>
      </c>
      <c r="H18" s="535">
        <f>SUM(H14:H17)</f>
        <v>365000000</v>
      </c>
      <c r="I18" s="535"/>
      <c r="J18" s="535">
        <f t="shared" ref="J18:L18" si="1">SUM(J14:J17)</f>
        <v>73000000</v>
      </c>
      <c r="K18" s="535">
        <f t="shared" si="1"/>
        <v>110250000</v>
      </c>
      <c r="L18" s="535">
        <f t="shared" si="1"/>
        <v>183250000</v>
      </c>
      <c r="M18" s="570" t="s">
        <v>19</v>
      </c>
      <c r="N18" s="570" t="s">
        <v>19</v>
      </c>
      <c r="O18" s="570" t="s">
        <v>19</v>
      </c>
      <c r="P18" s="565" t="str">
        <f>IF(D18='THE-TS'!$D$11,"x","")</f>
        <v/>
      </c>
    </row>
    <row r="19" spans="1:18" ht="6.75" customHeight="1">
      <c r="A19" s="450"/>
      <c r="B19" s="450"/>
      <c r="C19" s="513"/>
      <c r="D19" s="450"/>
      <c r="E19" s="513"/>
      <c r="F19" s="513"/>
      <c r="G19" s="513"/>
      <c r="H19" s="450"/>
      <c r="I19" s="450"/>
      <c r="J19" s="450"/>
      <c r="K19" s="514"/>
      <c r="L19" s="450"/>
      <c r="M19" s="450"/>
      <c r="N19" s="450"/>
      <c r="O19" s="450"/>
      <c r="P19" s="565" t="str">
        <f>IF(D19='THE-TS'!$D$11,"x","")</f>
        <v/>
      </c>
    </row>
    <row r="20" spans="1:18" ht="13.5" customHeight="1">
      <c r="A20" s="450"/>
      <c r="B20" s="450"/>
      <c r="C20" s="513"/>
      <c r="D20" s="450" t="s">
        <v>306</v>
      </c>
      <c r="E20" s="450"/>
      <c r="F20" s="513"/>
      <c r="G20" s="450"/>
      <c r="H20" s="498"/>
      <c r="I20" s="498"/>
      <c r="J20" s="571"/>
      <c r="L20" s="498"/>
      <c r="M20" s="450"/>
      <c r="N20" s="450"/>
      <c r="O20" s="450"/>
      <c r="P20" s="565" t="str">
        <f>IF(D20='THE-TS'!$D$11,"x","")</f>
        <v/>
      </c>
    </row>
    <row r="21" spans="1:18" ht="13.5" customHeight="1">
      <c r="A21" s="450"/>
      <c r="B21" s="450"/>
      <c r="C21" s="513"/>
      <c r="D21" s="450" t="s">
        <v>439</v>
      </c>
      <c r="E21" s="450"/>
      <c r="F21" s="513"/>
      <c r="G21" s="450"/>
      <c r="H21" s="524"/>
      <c r="I21" s="450"/>
      <c r="J21" s="532"/>
      <c r="K21" s="514"/>
      <c r="L21" s="450"/>
      <c r="M21" s="450"/>
      <c r="N21" s="450"/>
      <c r="O21" s="450"/>
      <c r="P21" s="565" t="str">
        <f>IF(D21='THE-TS'!$D$11,"x","")</f>
        <v/>
      </c>
    </row>
    <row r="22" spans="1:18" ht="13.5" customHeight="1">
      <c r="K22" s="515"/>
      <c r="L22" s="500" t="s">
        <v>1285</v>
      </c>
      <c r="P22" s="565" t="str">
        <f>IF(D22='THE-TS'!$D$11,"x","")</f>
        <v/>
      </c>
    </row>
    <row r="23" spans="1:18" ht="13.5" customHeight="1">
      <c r="B23" s="497"/>
      <c r="D23" s="497" t="s">
        <v>11</v>
      </c>
      <c r="F23" s="497" t="s">
        <v>307</v>
      </c>
      <c r="I23" s="516"/>
      <c r="K23" s="513"/>
      <c r="L23" s="513" t="s">
        <v>109</v>
      </c>
      <c r="P23" s="565" t="str">
        <f>IF(D23='THE-TS'!$D$11,"x","")</f>
        <v/>
      </c>
    </row>
    <row r="24" spans="1:18" ht="13.5" customHeight="1">
      <c r="B24" s="497"/>
      <c r="D24" s="497"/>
      <c r="P24" s="565" t="str">
        <f>IF(D24='THE-TS'!$D$11,"x","")</f>
        <v/>
      </c>
    </row>
    <row r="25" spans="1:18" ht="13.5" customHeight="1">
      <c r="H25" s="517"/>
      <c r="J25" s="517"/>
      <c r="L25" s="517"/>
      <c r="P25" s="565" t="str">
        <f>IF(D25='THE-TS'!$D$11,"x","")</f>
        <v/>
      </c>
    </row>
    <row r="26" spans="1:18" ht="13.5" customHeight="1">
      <c r="H26" s="518"/>
      <c r="P26" s="565" t="str">
        <f>IF(D26='THE-TS'!$D$11,"x","")</f>
        <v/>
      </c>
    </row>
    <row r="27" spans="1:18" ht="13.5" customHeight="1">
      <c r="H27" s="518"/>
      <c r="J27" s="517"/>
      <c r="P27" s="565" t="str">
        <f>IF(D27='THE-TS'!$D$11,"x","")</f>
        <v/>
      </c>
    </row>
    <row r="28" spans="1:18" ht="13.5" customHeight="1">
      <c r="H28" s="518"/>
      <c r="P28" s="565" t="str">
        <f>IF(D28='THE-TS'!$D$11,"x","")</f>
        <v/>
      </c>
    </row>
    <row r="29" spans="1:18" ht="13.5" customHeight="1">
      <c r="H29" s="518"/>
      <c r="P29" s="565" t="str">
        <f>IF(D29='THE-TS'!$D$11,"x","")</f>
        <v/>
      </c>
    </row>
    <row r="30" spans="1:18" s="519" customFormat="1" ht="13.5" customHeight="1">
      <c r="C30" s="520"/>
      <c r="D30" s="520"/>
      <c r="F30" s="520"/>
      <c r="H30" s="521"/>
      <c r="K30" s="522"/>
      <c r="P30" s="565"/>
    </row>
    <row r="31" spans="1:18" ht="13.5">
      <c r="P31" s="565" t="str">
        <f>IF(D31='THE-TS'!$D$11,"x","")</f>
        <v/>
      </c>
    </row>
    <row r="32" spans="1:18" ht="13.5" customHeight="1">
      <c r="H32" s="518"/>
      <c r="P32" s="565" t="str">
        <f>IF(D32='THE-TS'!$D$11,"x","")</f>
        <v/>
      </c>
    </row>
    <row r="33" spans="16:16" ht="13.5">
      <c r="P33" s="565" t="str">
        <f>IF(D33='THE-TS'!$D$11,"x","")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2" workbookViewId="0">
      <selection activeCell="D11" sqref="D11"/>
    </sheetView>
  </sheetViews>
  <sheetFormatPr defaultRowHeight="12.75"/>
  <cols>
    <col min="1" max="1" width="5" style="539" customWidth="1"/>
    <col min="2" max="2" width="10.140625" style="539" customWidth="1"/>
    <col min="3" max="3" width="11.5703125" style="539" customWidth="1"/>
    <col min="4" max="4" width="28.7109375" style="539" customWidth="1"/>
    <col min="5" max="5" width="13.28515625" style="539" customWidth="1"/>
    <col min="6" max="6" width="9.140625" style="539"/>
    <col min="7" max="7" width="14" style="539" customWidth="1"/>
    <col min="8" max="8" width="14.7109375" style="539" customWidth="1"/>
    <col min="9" max="10" width="9.140625" style="539"/>
    <col min="11" max="11" width="13.85546875" style="539" customWidth="1"/>
    <col min="12" max="16384" width="9.140625" style="539"/>
  </cols>
  <sheetData>
    <row r="1" spans="1:11" hidden="1"/>
    <row r="2" spans="1:11">
      <c r="A2" s="624" t="str">
        <f>TH!A1</f>
        <v>Đơn vị: CÔNG TY TNHH SX TM KIM DUNG PHÁT</v>
      </c>
      <c r="B2" s="538"/>
      <c r="C2" s="538"/>
      <c r="D2" s="538"/>
      <c r="E2" s="499"/>
      <c r="F2" s="1099" t="s">
        <v>308</v>
      </c>
      <c r="G2" s="1099"/>
      <c r="H2" s="1099"/>
    </row>
    <row r="3" spans="1:11">
      <c r="A3" s="555" t="str">
        <f>TH!A2</f>
        <v>Địa chỉ: 1A227/1 Ấp 1, Phạm Văn Hai, Bình Chánh, TPHCM</v>
      </c>
      <c r="B3" s="538"/>
      <c r="C3" s="538"/>
      <c r="D3" s="538"/>
      <c r="E3" s="500"/>
      <c r="F3" s="1098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8"/>
      <c r="H3" s="1098"/>
    </row>
    <row r="4" spans="1:11">
      <c r="A4" s="497"/>
      <c r="B4" s="497"/>
      <c r="C4" s="500"/>
      <c r="D4" s="500"/>
      <c r="E4" s="500"/>
      <c r="F4" s="1098"/>
      <c r="G4" s="1098"/>
      <c r="H4" s="1098"/>
    </row>
    <row r="5" spans="1:11">
      <c r="A5" s="497"/>
      <c r="B5" s="497"/>
      <c r="C5" s="500"/>
      <c r="D5" s="500"/>
      <c r="E5" s="500"/>
      <c r="F5" s="500"/>
      <c r="G5" s="500"/>
      <c r="H5" s="500"/>
    </row>
    <row r="6" spans="1:11" ht="23.25" customHeight="1" thickBot="1">
      <c r="A6" s="1104" t="s">
        <v>309</v>
      </c>
      <c r="B6" s="1104"/>
      <c r="C6" s="1104"/>
      <c r="D6" s="1104"/>
      <c r="E6" s="1104"/>
      <c r="F6" s="1104"/>
      <c r="G6" s="1104"/>
      <c r="H6" s="1104"/>
    </row>
    <row r="7" spans="1:11" ht="17.25" customHeight="1" thickBot="1">
      <c r="A7" s="1103" t="str">
        <f ca="1" xml:space="preserve"> IF(ROWS($1:1)&gt;COUNT(Dong3),"","Số: "&amp;OFFSET('SO-TS'!$G$1,SMALL(Dong3,ROWS($1:1)),))</f>
        <v>Số: SX01/11</v>
      </c>
      <c r="B7" s="1103"/>
      <c r="C7" s="1103"/>
      <c r="D7" s="1103"/>
      <c r="E7" s="1103"/>
      <c r="F7" s="1103"/>
      <c r="G7" s="1103"/>
      <c r="H7" s="1103"/>
      <c r="J7" s="556" t="s">
        <v>326</v>
      </c>
      <c r="K7" s="557" t="s">
        <v>332</v>
      </c>
    </row>
    <row r="8" spans="1:11" ht="17.25" customHeight="1">
      <c r="A8" s="110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05"/>
      <c r="C8" s="1105"/>
      <c r="D8" s="1105"/>
      <c r="E8" s="1105"/>
      <c r="F8" s="1105"/>
      <c r="G8" s="1105"/>
      <c r="H8" s="1105"/>
    </row>
    <row r="9" spans="1:11" ht="12" customHeight="1">
      <c r="A9" s="497"/>
      <c r="B9" s="497"/>
      <c r="C9" s="497"/>
      <c r="D9" s="497"/>
      <c r="E9" s="497"/>
      <c r="F9" s="497"/>
      <c r="G9" s="500"/>
      <c r="H9" s="500"/>
    </row>
    <row r="10" spans="1:11" ht="15" customHeight="1">
      <c r="A10" s="496" t="str">
        <f ca="1">"Căn cứ vào biên bản giao nhận TSCĐ "&amp;"  "&amp;A7&amp;"  "&amp;A8</f>
        <v>Căn cứ vào biên bản giao nhận TSCĐ   Số: SX01/11  Ngày   19   tháng   5  năm   2011</v>
      </c>
      <c r="B10" s="496"/>
      <c r="C10" s="496"/>
      <c r="D10" s="496"/>
      <c r="E10" s="496"/>
      <c r="F10" s="496"/>
      <c r="G10" s="496"/>
      <c r="H10" s="496"/>
    </row>
    <row r="11" spans="1:11" ht="15" customHeight="1">
      <c r="A11" s="496" t="s">
        <v>327</v>
      </c>
      <c r="B11" s="496"/>
      <c r="C11" s="496"/>
      <c r="D11" s="496" t="s">
        <v>389</v>
      </c>
      <c r="E11" s="496" t="str">
        <f ca="1" xml:space="preserve"> IF(ROWS($1:1)&gt;COUNT(Dong3),"","Số hiệu TSCĐ:   "&amp;OFFSET('SO-TS'!$G$1,SMALL(Dong3,ROWS($1:1)),))</f>
        <v>Số hiệu TSCĐ:   SX01/11</v>
      </c>
      <c r="F11" s="496"/>
      <c r="H11" s="496"/>
    </row>
    <row r="12" spans="1:11" ht="15" customHeight="1">
      <c r="A12" s="496" t="str">
        <f ca="1" xml:space="preserve"> IF(ROWS($1:1)&gt;COUNT(Dong3),"","Nước sản xuất:   "&amp;OFFSET('SO-TS'!$E$1,SMALL(Dong3,ROWS($1:1)),))</f>
        <v>Nước sản xuất:   Việt Nam</v>
      </c>
      <c r="B12" s="496"/>
      <c r="C12" s="496"/>
      <c r="D12" s="496"/>
      <c r="E12" s="496" t="s">
        <v>328</v>
      </c>
      <c r="F12" s="496"/>
      <c r="G12" s="496"/>
      <c r="H12" s="496"/>
    </row>
    <row r="13" spans="1:11" ht="15" customHeight="1">
      <c r="A13" s="49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6"/>
      <c r="C13" s="496"/>
      <c r="D13" s="496"/>
      <c r="E13" s="496" t="str">
        <f ca="1" xml:space="preserve"> IF(ROWS($1:1)&gt;COUNT(Dong3),"","Tháng, năm đưa vào sử dụng:    "&amp;OFFSET('SO-TS'!$F$1,SMALL(Dong3,ROWS($1:1)),))</f>
        <v>Tháng, năm đưa vào sử dụng:    06/2011</v>
      </c>
      <c r="F13" s="496"/>
      <c r="G13" s="496"/>
      <c r="H13" s="496"/>
    </row>
    <row r="14" spans="1:11" ht="15" customHeight="1">
      <c r="A14" s="496" t="s">
        <v>310</v>
      </c>
      <c r="B14" s="496"/>
      <c r="C14" s="496"/>
      <c r="D14" s="496"/>
      <c r="E14" s="496"/>
      <c r="F14" s="496"/>
      <c r="G14" s="496"/>
      <c r="H14" s="496"/>
    </row>
    <row r="15" spans="1:11" ht="15" customHeight="1">
      <c r="A15" s="496" t="s">
        <v>330</v>
      </c>
      <c r="B15" s="496"/>
      <c r="C15" s="496"/>
      <c r="D15" s="496"/>
      <c r="E15" s="496"/>
      <c r="F15" s="496"/>
      <c r="G15" s="496"/>
      <c r="H15" s="496"/>
    </row>
    <row r="16" spans="1:11" ht="15" customHeight="1">
      <c r="A16" s="558" t="s">
        <v>329</v>
      </c>
      <c r="B16" s="558"/>
      <c r="C16" s="558"/>
      <c r="D16" s="558"/>
      <c r="E16" s="558"/>
      <c r="F16" s="558"/>
      <c r="G16" s="558"/>
      <c r="H16" s="558"/>
    </row>
    <row r="17" spans="1:8" s="552" customFormat="1" ht="18" customHeight="1">
      <c r="A17" s="1108" t="s">
        <v>125</v>
      </c>
      <c r="B17" s="1109"/>
      <c r="C17" s="1112" t="s">
        <v>311</v>
      </c>
      <c r="D17" s="1113"/>
      <c r="E17" s="1114"/>
      <c r="F17" s="1115" t="s">
        <v>312</v>
      </c>
      <c r="G17" s="1116"/>
      <c r="H17" s="1117"/>
    </row>
    <row r="18" spans="1:8" s="552" customFormat="1" ht="28.5" customHeight="1">
      <c r="A18" s="1110"/>
      <c r="B18" s="1111"/>
      <c r="C18" s="525" t="s">
        <v>313</v>
      </c>
      <c r="D18" s="525" t="s">
        <v>0</v>
      </c>
      <c r="E18" s="525" t="s">
        <v>314</v>
      </c>
      <c r="F18" s="525" t="s">
        <v>315</v>
      </c>
      <c r="G18" s="525" t="s">
        <v>316</v>
      </c>
      <c r="H18" s="525" t="s">
        <v>317</v>
      </c>
    </row>
    <row r="19" spans="1:8" s="554" customFormat="1">
      <c r="A19" s="1118" t="s">
        <v>2</v>
      </c>
      <c r="B19" s="1118"/>
      <c r="C19" s="553" t="s">
        <v>3</v>
      </c>
      <c r="D19" s="553" t="s">
        <v>4</v>
      </c>
      <c r="E19" s="553">
        <v>1</v>
      </c>
      <c r="F19" s="553">
        <v>2</v>
      </c>
      <c r="G19" s="553">
        <v>3</v>
      </c>
      <c r="H19" s="553">
        <v>4</v>
      </c>
    </row>
    <row r="20" spans="1:8" ht="17.25" customHeight="1">
      <c r="A20" s="466">
        <f ca="1">IF(B20&lt;&gt;"",ROW()-19,"")</f>
        <v>1</v>
      </c>
      <c r="B20" s="540" t="str">
        <f ca="1" xml:space="preserve"> IF(ROWS($1:1)&gt;COUNT(Dong3),"",OFFSET('SO-TS'!G$1,SMALL(Dong3,ROWS($1:1)),))</f>
        <v>SX01/11</v>
      </c>
      <c r="C20" s="540" t="str">
        <f ca="1" xml:space="preserve"> IF(ROWS($1:1)&gt;COUNT(Dong3),"",OFFSET('SO-TS'!F$1,SMALL(Dong3,ROWS($1:1)),))</f>
        <v>06/2011</v>
      </c>
      <c r="D20" s="567" t="str">
        <f ca="1" xml:space="preserve"> IF(ROWS($1:1)&gt;COUNT(Dong3),"",OFFSET('SO-TS'!D$1,SMALL(Dong3,ROWS($1:1)),))</f>
        <v>Máy chap khe khổ 2m</v>
      </c>
      <c r="E20" s="568">
        <f ca="1" xml:space="preserve"> IF(ROWS($1:1)&gt;COUNT(Dong3),"",OFFSET('SO-TS'!H$1,SMALL(Dong3,ROWS($1:1)),))</f>
        <v>18000000</v>
      </c>
      <c r="F20" s="569" t="str">
        <f ca="1" xml:space="preserve"> IF(ROWS($1:1)&gt;COUNT(Dong3),"",RIGHT(OFFSET('SO-TS'!F$1,SMALL(Dong3,ROWS($1:1)),),4))</f>
        <v>2011</v>
      </c>
      <c r="G20" s="803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803">
        <f ca="1">G20</f>
        <v>2100000</v>
      </c>
    </row>
    <row r="21" spans="1:8" ht="17.25" customHeight="1">
      <c r="A21" s="6"/>
      <c r="B21" s="884"/>
      <c r="C21" s="884"/>
      <c r="D21" s="885"/>
      <c r="E21" s="258"/>
      <c r="F21" s="886">
        <f ca="1">IF(OR(F20="",(ROW()-19)&gt;OFFSET('SO-TS'!I$1,SMALL(Dong3,ROWS($1:$1)),)+1),"",IF(VALUE(F20)&gt;VALUE(YEAR(NOW())),"",F20+1))</f>
        <v>2012</v>
      </c>
      <c r="G21" s="801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801">
        <f ca="1">IF(G21&lt;&gt;0,H20+G21,0)</f>
        <v>5700000</v>
      </c>
    </row>
    <row r="22" spans="1:8" ht="17.25" customHeight="1">
      <c r="A22" s="6"/>
      <c r="B22" s="884"/>
      <c r="C22" s="884"/>
      <c r="D22" s="885"/>
      <c r="E22" s="258"/>
      <c r="F22" s="886">
        <f ca="1">IF(OR(F21="",(ROW()-19)&gt;OFFSET('SO-TS'!I$1,SMALL(Dong3,ROWS($1:$1)),)+1),"",IF(VALUE(F21)&gt;VALUE(YEAR(NOW())),"",F21+1))</f>
        <v>2013</v>
      </c>
      <c r="G22" s="801">
        <f ca="1">IF(F22="",0,ROUND(IF(OR(ROWS($1:$1)&gt;COUNT(Dong3),(ROW()-19)&gt;OFFSET('SO-TS'!I$1,SMALL(Dong3,ROWS($1:$1)),)+1),0,IF($E$25-H21&lt;($E$25/(OFFSET('SO-TS'!I$1,SMALL(Dong3,ROWS($1:$1)),))+12),$E$25-H21,$E$25/(OFFSET('SO-TS'!I$1,SMALL(Dong3,ROWS($1:$1)),)))),0))</f>
        <v>3600000</v>
      </c>
      <c r="H22" s="801">
        <f ca="1">IF(G22&lt;&gt;0,H21+G22,0)</f>
        <v>9300000</v>
      </c>
    </row>
    <row r="23" spans="1:8" ht="17.25" customHeight="1">
      <c r="A23" s="6"/>
      <c r="B23" s="884"/>
      <c r="C23" s="884"/>
      <c r="D23" s="885"/>
      <c r="E23" s="258"/>
      <c r="F23" s="886"/>
      <c r="G23" s="801"/>
      <c r="H23" s="801"/>
    </row>
    <row r="24" spans="1:8" ht="17.25" customHeight="1">
      <c r="A24" s="887" t="str">
        <f t="shared" ref="A24" si="0">IF(B24&lt;&gt;"",ROW()-19,"")</f>
        <v/>
      </c>
      <c r="B24" s="508"/>
      <c r="C24" s="541"/>
      <c r="D24" s="541"/>
      <c r="E24" s="802"/>
      <c r="F24" s="888"/>
      <c r="G24" s="802"/>
      <c r="H24" s="802"/>
    </row>
    <row r="25" spans="1:8" ht="17.25" customHeight="1">
      <c r="A25" s="510"/>
      <c r="B25" s="510" t="s">
        <v>318</v>
      </c>
      <c r="C25" s="542"/>
      <c r="D25" s="542"/>
      <c r="E25" s="570">
        <f ca="1">SUM(E20:E24)</f>
        <v>18000000</v>
      </c>
      <c r="F25" s="542"/>
      <c r="G25" s="570">
        <f ca="1">SUM(G20:G24)</f>
        <v>9300000</v>
      </c>
      <c r="H25" s="570"/>
    </row>
    <row r="26" spans="1:8" ht="17.25" customHeight="1">
      <c r="A26" s="543"/>
      <c r="B26" s="543"/>
      <c r="C26" s="544"/>
      <c r="D26" s="544"/>
      <c r="E26" s="544"/>
      <c r="F26" s="544"/>
      <c r="G26" s="545"/>
      <c r="H26" s="545"/>
    </row>
    <row r="27" spans="1:8" ht="17.25" customHeight="1">
      <c r="A27" s="543"/>
      <c r="B27" s="543"/>
      <c r="C27" s="544"/>
      <c r="D27" s="544"/>
      <c r="E27" s="544"/>
      <c r="F27" s="544"/>
      <c r="G27" s="545"/>
      <c r="H27" s="545"/>
    </row>
    <row r="28" spans="1:8" ht="17.25" customHeight="1">
      <c r="A28" s="1119" t="s">
        <v>319</v>
      </c>
      <c r="B28" s="1119"/>
      <c r="C28" s="1119"/>
      <c r="D28" s="1119"/>
      <c r="E28" s="1119"/>
      <c r="F28" s="1119"/>
      <c r="G28" s="1119"/>
      <c r="H28" s="1119"/>
    </row>
    <row r="29" spans="1:8" ht="27" customHeight="1">
      <c r="A29" s="510" t="s">
        <v>35</v>
      </c>
      <c r="B29" s="1092" t="s">
        <v>320</v>
      </c>
      <c r="C29" s="1094"/>
      <c r="D29" s="542" t="s">
        <v>194</v>
      </c>
      <c r="E29" s="542" t="s">
        <v>321</v>
      </c>
      <c r="F29" s="542" t="s">
        <v>322</v>
      </c>
      <c r="G29" s="545"/>
      <c r="H29" s="545"/>
    </row>
    <row r="30" spans="1:8" ht="17.25" customHeight="1">
      <c r="A30" s="510" t="s">
        <v>2</v>
      </c>
      <c r="B30" s="510" t="s">
        <v>3</v>
      </c>
      <c r="C30" s="542"/>
      <c r="D30" s="542" t="s">
        <v>4</v>
      </c>
      <c r="E30" s="542">
        <v>1</v>
      </c>
      <c r="F30" s="542">
        <v>2</v>
      </c>
      <c r="G30" s="545"/>
      <c r="H30" s="545"/>
    </row>
    <row r="31" spans="1:8" ht="17.25" customHeight="1">
      <c r="A31" s="546"/>
      <c r="B31" s="546"/>
      <c r="C31" s="547"/>
      <c r="D31" s="547"/>
      <c r="E31" s="547"/>
      <c r="F31" s="547"/>
      <c r="G31" s="545"/>
      <c r="H31" s="545"/>
    </row>
    <row r="32" spans="1:8" ht="17.25" customHeight="1">
      <c r="A32" s="548"/>
      <c r="B32" s="548"/>
      <c r="C32" s="549"/>
      <c r="D32" s="549"/>
      <c r="E32" s="549"/>
      <c r="F32" s="549"/>
      <c r="G32" s="545"/>
      <c r="H32" s="545"/>
    </row>
    <row r="33" spans="1:8" ht="17.25" customHeight="1">
      <c r="A33" s="548"/>
      <c r="B33" s="548"/>
      <c r="C33" s="549"/>
      <c r="D33" s="549"/>
      <c r="E33" s="549"/>
      <c r="F33" s="549"/>
      <c r="G33" s="545"/>
      <c r="H33" s="545"/>
    </row>
    <row r="34" spans="1:8" ht="17.25" customHeight="1">
      <c r="A34" s="548"/>
      <c r="B34" s="548"/>
      <c r="C34" s="549"/>
      <c r="D34" s="549"/>
      <c r="E34" s="549"/>
      <c r="F34" s="549"/>
      <c r="G34" s="545"/>
      <c r="H34" s="545"/>
    </row>
    <row r="35" spans="1:8" ht="17.25" customHeight="1">
      <c r="A35" s="550"/>
      <c r="B35" s="550"/>
      <c r="C35" s="551"/>
      <c r="D35" s="551"/>
      <c r="E35" s="551"/>
      <c r="F35" s="551"/>
      <c r="G35" s="545"/>
      <c r="H35" s="545"/>
    </row>
    <row r="36" spans="1:8">
      <c r="A36" s="543"/>
      <c r="B36" s="543"/>
      <c r="C36" s="544"/>
      <c r="D36" s="544"/>
      <c r="E36" s="544"/>
      <c r="F36" s="544"/>
      <c r="G36" s="545"/>
      <c r="H36" s="545"/>
    </row>
    <row r="37" spans="1:8">
      <c r="A37" s="1120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120"/>
      <c r="C37" s="1120"/>
      <c r="D37" s="1120"/>
      <c r="E37" s="1120"/>
      <c r="F37" s="1120"/>
      <c r="G37" s="1120"/>
      <c r="H37" s="1120"/>
    </row>
    <row r="38" spans="1:8">
      <c r="A38" s="1120" t="str">
        <f ca="1" xml:space="preserve"> IF(ROWS($1:1)&gt;COUNT(Dong3),"","Lý do giảm:   "&amp;OFFSET('SO-TS'!$O$1,SMALL(Dong3,ROWS($1:1)),))</f>
        <v xml:space="preserve">Lý do giảm:   </v>
      </c>
      <c r="B38" s="1120"/>
      <c r="C38" s="1120"/>
      <c r="D38" s="1120"/>
      <c r="E38" s="1120"/>
      <c r="F38" s="1120"/>
      <c r="G38" s="1120"/>
      <c r="H38" s="1120"/>
    </row>
    <row r="39" spans="1:8">
      <c r="A39" s="520"/>
      <c r="B39" s="520"/>
      <c r="C39" s="515"/>
      <c r="D39" s="515"/>
      <c r="E39" s="1107" t="s">
        <v>427</v>
      </c>
      <c r="F39" s="1107"/>
      <c r="G39" s="1107"/>
      <c r="H39" s="1107"/>
    </row>
    <row r="40" spans="1:8">
      <c r="A40" s="1103" t="s">
        <v>323</v>
      </c>
      <c r="B40" s="1103"/>
      <c r="C40" s="1103" t="s">
        <v>12</v>
      </c>
      <c r="D40" s="1103"/>
      <c r="E40" s="1099" t="s">
        <v>109</v>
      </c>
      <c r="F40" s="1099"/>
      <c r="G40" s="1099"/>
      <c r="H40" s="1099"/>
    </row>
    <row r="41" spans="1:8">
      <c r="A41" s="497"/>
      <c r="B41" s="497"/>
      <c r="C41" s="500"/>
      <c r="D41" s="500"/>
      <c r="E41" s="500"/>
      <c r="F41" s="500"/>
      <c r="G41" s="500"/>
      <c r="H41" s="500"/>
    </row>
    <row r="42" spans="1:8">
      <c r="A42" s="497"/>
      <c r="B42" s="497"/>
      <c r="C42" s="500"/>
      <c r="D42" s="500"/>
      <c r="E42" s="500"/>
      <c r="F42" s="500"/>
      <c r="G42" s="500"/>
      <c r="H42" s="500"/>
    </row>
    <row r="43" spans="1:8">
      <c r="A43" s="497"/>
      <c r="B43" s="497"/>
      <c r="C43" s="500"/>
      <c r="D43" s="500"/>
      <c r="E43" s="500"/>
      <c r="F43" s="500"/>
      <c r="G43" s="500"/>
      <c r="H43" s="500"/>
    </row>
    <row r="44" spans="1:8">
      <c r="A44" s="497"/>
      <c r="B44" s="497"/>
      <c r="C44" s="500"/>
      <c r="D44" s="500"/>
      <c r="E44" s="500"/>
      <c r="F44" s="500"/>
      <c r="G44" s="500"/>
      <c r="H44" s="500"/>
    </row>
    <row r="45" spans="1:8">
      <c r="A45" s="497"/>
      <c r="B45" s="497"/>
      <c r="C45" s="500"/>
      <c r="D45" s="500"/>
      <c r="E45" s="500"/>
      <c r="F45" s="500"/>
      <c r="G45" s="500"/>
      <c r="H45" s="500"/>
    </row>
    <row r="46" spans="1:8">
      <c r="A46" s="497"/>
      <c r="B46" s="497"/>
      <c r="C46" s="500"/>
      <c r="D46" s="500"/>
      <c r="E46" s="500"/>
      <c r="F46" s="500"/>
      <c r="G46" s="500"/>
      <c r="H46" s="500"/>
    </row>
    <row r="47" spans="1:8">
      <c r="A47" s="497"/>
      <c r="B47" s="497"/>
      <c r="C47" s="500"/>
      <c r="D47" s="500"/>
      <c r="E47" s="500"/>
      <c r="F47" s="500"/>
      <c r="G47" s="500"/>
      <c r="H47" s="500"/>
    </row>
    <row r="48" spans="1:8">
      <c r="A48" s="1106" t="s">
        <v>151</v>
      </c>
      <c r="B48" s="1106"/>
      <c r="C48" s="515"/>
      <c r="D48" s="515"/>
      <c r="E48" s="1107" t="s">
        <v>103</v>
      </c>
      <c r="F48" s="1107"/>
      <c r="G48" s="1107"/>
      <c r="H48" s="1107"/>
    </row>
  </sheetData>
  <dataConsolidate/>
  <mergeCells count="19">
    <mergeCell ref="A48:B48"/>
    <mergeCell ref="E48:H48"/>
    <mergeCell ref="E39:H39"/>
    <mergeCell ref="A17:B18"/>
    <mergeCell ref="C17:E17"/>
    <mergeCell ref="F17:H17"/>
    <mergeCell ref="A19:B19"/>
    <mergeCell ref="A28:H28"/>
    <mergeCell ref="B29:C29"/>
    <mergeCell ref="A37:H37"/>
    <mergeCell ref="A38:H38"/>
    <mergeCell ref="F3:H4"/>
    <mergeCell ref="F2:H2"/>
    <mergeCell ref="A40:B40"/>
    <mergeCell ref="C40:D40"/>
    <mergeCell ref="E40:H40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09" customWidth="1"/>
    <col min="2" max="2" width="8.85546875" style="709" customWidth="1"/>
    <col min="3" max="3" width="10.5703125" style="709" customWidth="1"/>
    <col min="4" max="4" width="43.42578125" style="709" customWidth="1"/>
    <col min="5" max="5" width="7.140625" style="709" customWidth="1"/>
    <col min="6" max="6" width="14.140625" style="709" customWidth="1"/>
    <col min="7" max="7" width="14.85546875" style="709" customWidth="1"/>
    <col min="8" max="9" width="12" style="709" customWidth="1"/>
    <col min="10" max="10" width="12.85546875" style="709" customWidth="1"/>
    <col min="11" max="12" width="13.5703125" style="709" customWidth="1"/>
    <col min="13" max="13" width="12.7109375" style="709" customWidth="1"/>
    <col min="14" max="14" width="6.28515625" style="709" customWidth="1"/>
    <col min="15" max="15" width="8.42578125" style="709" customWidth="1"/>
    <col min="16" max="16384" width="9.140625" style="709"/>
  </cols>
  <sheetData>
    <row r="2" spans="1:16">
      <c r="A2" s="708" t="str">
        <f>'IN-NX'!A2</f>
        <v>Đơn vị: CÔNG TY TNHH SX TM KIM DUNG PHÁT</v>
      </c>
      <c r="F2" s="710"/>
      <c r="G2" s="710"/>
      <c r="H2" s="710"/>
      <c r="I2" s="710"/>
      <c r="J2" s="1125" t="s">
        <v>443</v>
      </c>
      <c r="K2" s="1125"/>
      <c r="L2" s="1125"/>
      <c r="M2" s="1125"/>
    </row>
    <row r="3" spans="1:16" ht="15" customHeight="1">
      <c r="A3" s="738" t="str">
        <f>'IN-NX'!A3</f>
        <v>Địa chỉ: 1A227/1 Ấp 1, Phạm Văn Hai, Bình Chánh, TPHCM</v>
      </c>
      <c r="J3" s="112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28"/>
      <c r="L3" s="1128"/>
      <c r="M3" s="1128"/>
    </row>
    <row r="4" spans="1:16">
      <c r="J4" s="1128"/>
      <c r="K4" s="1128"/>
      <c r="L4" s="1128"/>
      <c r="M4" s="1128"/>
    </row>
    <row r="5" spans="1:16" ht="19.5" customHeight="1">
      <c r="A5" s="1126" t="s">
        <v>444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1126"/>
      <c r="N5" s="711" t="s">
        <v>165</v>
      </c>
      <c r="O5" s="633">
        <f>IF(O13="Quý I",1,IF(O13="Quý II",4,IF(O13="Quý III",7,IF(O13="Quý IV",10,""))))</f>
        <v>4</v>
      </c>
      <c r="P5" s="633">
        <f>IF(O13="Quý I",3,IF(O13="Quý II",6,IF(O13="Quý III",9,IF(O13="Quý IV",12,""))))</f>
        <v>6</v>
      </c>
    </row>
    <row r="6" spans="1:16">
      <c r="A6" s="1127" t="s">
        <v>445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  <c r="M6" s="1127"/>
      <c r="N6" s="736"/>
    </row>
    <row r="7" spans="1:16">
      <c r="B7" s="712"/>
      <c r="C7" s="712"/>
      <c r="D7" s="712"/>
      <c r="E7" s="713" t="s">
        <v>446</v>
      </c>
      <c r="G7" s="712"/>
      <c r="H7" s="712"/>
      <c r="I7" s="712"/>
      <c r="J7" s="712"/>
      <c r="K7" s="712"/>
      <c r="L7" s="712"/>
      <c r="M7" s="712"/>
    </row>
    <row r="8" spans="1:16">
      <c r="B8" s="712"/>
      <c r="C8" s="712"/>
      <c r="D8" s="712"/>
      <c r="E8" s="713" t="s">
        <v>447</v>
      </c>
      <c r="G8" s="712"/>
      <c r="H8" s="712"/>
      <c r="I8" s="712"/>
      <c r="J8" s="712"/>
      <c r="K8" s="712"/>
      <c r="L8" s="712"/>
      <c r="M8" s="712"/>
    </row>
    <row r="9" spans="1:16">
      <c r="B9" s="714"/>
      <c r="C9" s="714"/>
      <c r="D9" s="714"/>
      <c r="E9" s="713" t="s">
        <v>448</v>
      </c>
      <c r="G9" s="714"/>
      <c r="H9" s="714"/>
      <c r="I9" s="714"/>
      <c r="J9" s="714"/>
      <c r="K9" s="714"/>
      <c r="L9" s="714"/>
      <c r="M9" s="714"/>
    </row>
    <row r="10" spans="1:16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  <c r="M10" s="1124"/>
    </row>
    <row r="11" spans="1:16" ht="15.75" customHeight="1">
      <c r="A11" s="1121" t="s">
        <v>20</v>
      </c>
      <c r="B11" s="1122" t="s">
        <v>1</v>
      </c>
      <c r="C11" s="1122"/>
      <c r="D11" s="1121" t="s">
        <v>0</v>
      </c>
      <c r="E11" s="1121" t="s">
        <v>217</v>
      </c>
      <c r="F11" s="1122" t="s">
        <v>449</v>
      </c>
      <c r="G11" s="1122"/>
      <c r="H11" s="1122"/>
      <c r="I11" s="1122"/>
      <c r="J11" s="1122"/>
      <c r="K11" s="1122"/>
      <c r="L11" s="1122"/>
      <c r="M11" s="1122"/>
    </row>
    <row r="12" spans="1:16" ht="15.75" customHeight="1" thickBot="1">
      <c r="A12" s="1121"/>
      <c r="B12" s="1123" t="s">
        <v>15</v>
      </c>
      <c r="C12" s="1123" t="s">
        <v>32</v>
      </c>
      <c r="D12" s="1121"/>
      <c r="E12" s="1121"/>
      <c r="F12" s="1123" t="s">
        <v>450</v>
      </c>
      <c r="G12" s="1123" t="s">
        <v>451</v>
      </c>
      <c r="H12" s="1123"/>
      <c r="I12" s="1123"/>
      <c r="J12" s="1123"/>
      <c r="K12" s="1123"/>
      <c r="L12" s="1123"/>
      <c r="M12" s="1123"/>
    </row>
    <row r="13" spans="1:16" ht="31.5" customHeight="1" thickBot="1">
      <c r="A13" s="1121"/>
      <c r="B13" s="1123"/>
      <c r="C13" s="1123"/>
      <c r="D13" s="1121"/>
      <c r="E13" s="1121"/>
      <c r="F13" s="1123"/>
      <c r="G13" s="715" t="s">
        <v>434</v>
      </c>
      <c r="H13" s="715" t="s">
        <v>435</v>
      </c>
      <c r="I13" s="715" t="s">
        <v>436</v>
      </c>
      <c r="J13" s="715" t="s">
        <v>452</v>
      </c>
      <c r="K13" s="715" t="s">
        <v>453</v>
      </c>
      <c r="L13" s="715" t="s">
        <v>432</v>
      </c>
      <c r="M13" s="715" t="s">
        <v>454</v>
      </c>
      <c r="O13" s="737" t="s">
        <v>370</v>
      </c>
    </row>
    <row r="14" spans="1:16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/>
      <c r="J14" s="716">
        <v>4</v>
      </c>
      <c r="K14" s="716">
        <v>5</v>
      </c>
      <c r="L14" s="716"/>
      <c r="M14" s="716">
        <v>6</v>
      </c>
    </row>
    <row r="15" spans="1:16" ht="22.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  <c r="M15" s="719"/>
    </row>
    <row r="16" spans="1:16" ht="22.5" customHeight="1">
      <c r="A16" s="720">
        <f ca="1">IF(ROWS($1:1)&gt;COUNT(Dong9),"",OFFSET(TH!C$1,SMALL(Dong9,ROWS($1:1)),))</f>
        <v>41365</v>
      </c>
      <c r="B16" s="720" t="str">
        <f ca="1">IF(ROWS($1:1)&gt;COUNT(Dong9),"",OFFSET(TH!D$1,SMALL(Dong9,ROWS($1:1)),))</f>
        <v>CTGS</v>
      </c>
      <c r="C16" s="720">
        <f ca="1">IF(ROWS($1:1)&gt;COUNT(Dong9),"",OFFSET(TH!E$1,SMALL(Dong9,ROWS($1:1)),))</f>
        <v>41365</v>
      </c>
      <c r="D16" s="721" t="str">
        <f ca="1">IF(ROWS($1:1)&gt;COUNT(Dong9),"",OFFSET(TH!F$1,SMALL(Dong9,ROWS($1:1)),))</f>
        <v>Trích khấu hao TSCĐ Hữu hình</v>
      </c>
      <c r="E16" s="720" t="str">
        <f ca="1">IF(ROWS($1:1)&gt;COUNT(Dong9),"",OFFSET(TH!M$1,SMALL(Dong9,ROWS($1:1)),))</f>
        <v>2141</v>
      </c>
      <c r="F16" s="722">
        <f ca="1">IF(ROWS($1:1)&gt;COUNT(Dong9),"",OFFSET(TH!K$1,SMALL(Dong9,ROWS($1:1)),))</f>
        <v>18250000</v>
      </c>
      <c r="G16" s="722">
        <f ca="1">IF($E16="1521",$F16,0)</f>
        <v>0</v>
      </c>
      <c r="H16" s="722">
        <f ca="1">IF($E16="1522",$F16,0)</f>
        <v>0</v>
      </c>
      <c r="I16" s="722">
        <f ca="1">IF(LEFT(D16,6)="Mực in",F16,0)</f>
        <v>0</v>
      </c>
      <c r="J16" s="722">
        <f ca="1">IF(OR(LEFT($E16,3)="334",LEFT($E16,3)="338"),$F16,0)</f>
        <v>0</v>
      </c>
      <c r="K16" s="722">
        <f ca="1">IF(OR(LEFT($E16,3)="331",AND(LEFT($E16,3)="111",$D16="Tiền điện")),$F16,0)</f>
        <v>0</v>
      </c>
      <c r="L16" s="722">
        <f ca="1">IF($E16="142",$F16,0)</f>
        <v>0</v>
      </c>
      <c r="M16" s="722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20">
        <f ca="1">IF(ROWS($1:2)&gt;COUNT(Dong9),"",OFFSET(TH!C$1,SMALL(Dong9,ROWS($1:2)),))</f>
        <v>41394</v>
      </c>
      <c r="B17" s="720" t="str">
        <f ca="1">IF(ROWS($1:2)&gt;COUNT(Dong9),"",OFFSET(TH!D$1,SMALL(Dong9,ROWS($1:2)),))</f>
        <v>CTGS</v>
      </c>
      <c r="C17" s="720">
        <f ca="1">IF(ROWS($1:2)&gt;COUNT(Dong9),"",OFFSET(TH!E$1,SMALL(Dong9,ROWS($1:2)),))</f>
        <v>41394</v>
      </c>
      <c r="D17" s="721" t="str">
        <f ca="1">IF(ROWS($1:2)&gt;COUNT(Dong9),"",OFFSET(TH!F$1,SMALL(Dong9,ROWS($1:2)),))</f>
        <v>Tiền lương BP Phân Xưởng &amp; CN</v>
      </c>
      <c r="E17" s="720" t="str">
        <f ca="1">IF(ROWS($1:2)&gt;COUNT(Dong9),"",OFFSET(TH!M$1,SMALL(Dong9,ROWS($1:2)),))</f>
        <v>3341</v>
      </c>
      <c r="F17" s="722">
        <f ca="1">IF(ROWS($1:2)&gt;COUNT(Dong9),"",OFFSET(TH!K$1,SMALL(Dong9,ROWS($1:2)),))</f>
        <v>7525000</v>
      </c>
      <c r="G17" s="722">
        <f t="shared" ref="G17:G33" ca="1" si="0">IF($E17="1521",$F17,0)</f>
        <v>0</v>
      </c>
      <c r="H17" s="722">
        <f t="shared" ref="H17:H33" ca="1" si="1">IF($E17="1522",$F17,0)</f>
        <v>0</v>
      </c>
      <c r="I17" s="722">
        <f t="shared" ref="I17:I33" ca="1" si="2">IF(LEFT(D17,6)="Mực in",F17,0)</f>
        <v>0</v>
      </c>
      <c r="J17" s="722">
        <f t="shared" ref="J17:J33" ca="1" si="3">IF(OR(LEFT($E17,3)="334",LEFT($E17,3)="338"),$F17,0)</f>
        <v>7525000</v>
      </c>
      <c r="K17" s="722">
        <f t="shared" ref="K17:K33" ca="1" si="4">IF(OR(LEFT($E17,3)="331",AND(LEFT($E17,3)="111",$D17="Tiền điện")),$F17,0)</f>
        <v>0</v>
      </c>
      <c r="L17" s="722">
        <f t="shared" ref="L17:L33" ca="1" si="5">IF($E17="142",$F17,0)</f>
        <v>0</v>
      </c>
      <c r="M17" s="722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20">
        <f ca="1">IF(ROWS($1:3)&gt;COUNT(Dong9),"",OFFSET(TH!C$1,SMALL(Dong9,ROWS($1:3)),))</f>
        <v>41425</v>
      </c>
      <c r="B18" s="720" t="str">
        <f ca="1">IF(ROWS($1:3)&gt;COUNT(Dong9),"",OFFSET(TH!D$1,SMALL(Dong9,ROWS($1:3)),))</f>
        <v>CTGS</v>
      </c>
      <c r="C18" s="720">
        <f ca="1">IF(ROWS($1:3)&gt;COUNT(Dong9),"",OFFSET(TH!E$1,SMALL(Dong9,ROWS($1:3)),))</f>
        <v>41425</v>
      </c>
      <c r="D18" s="721" t="str">
        <f ca="1">IF(ROWS($1:3)&gt;COUNT(Dong9),"",OFFSET(TH!F$1,SMALL(Dong9,ROWS($1:3)),))</f>
        <v>Tiền lương BP Phân Xưởng &amp; CN</v>
      </c>
      <c r="E18" s="720" t="str">
        <f ca="1">IF(ROWS($1:3)&gt;COUNT(Dong9),"",OFFSET(TH!M$1,SMALL(Dong9,ROWS($1:3)),))</f>
        <v>3341</v>
      </c>
      <c r="F18" s="722">
        <f ca="1">IF(ROWS($1:3)&gt;COUNT(Dong9),"",OFFSET(TH!K$1,SMALL(Dong9,ROWS($1:3)),))</f>
        <v>7570000</v>
      </c>
      <c r="G18" s="722">
        <f t="shared" ca="1" si="0"/>
        <v>0</v>
      </c>
      <c r="H18" s="722">
        <f t="shared" ca="1" si="1"/>
        <v>0</v>
      </c>
      <c r="I18" s="722">
        <f t="shared" ca="1" si="2"/>
        <v>0</v>
      </c>
      <c r="J18" s="722">
        <f t="shared" ca="1" si="3"/>
        <v>7570000</v>
      </c>
      <c r="K18" s="722">
        <f t="shared" ca="1" si="4"/>
        <v>0</v>
      </c>
      <c r="L18" s="722">
        <f t="shared" ca="1" si="5"/>
        <v>0</v>
      </c>
      <c r="M18" s="722">
        <f t="shared" ca="1" si="6"/>
        <v>0</v>
      </c>
    </row>
    <row r="19" spans="1:13" ht="22.5" customHeight="1">
      <c r="A19" s="720">
        <f ca="1">IF(ROWS($1:4)&gt;COUNT(Dong9),"",OFFSET(TH!C$1,SMALL(Dong9,ROWS($1:4)),))</f>
        <v>41455</v>
      </c>
      <c r="B19" s="720" t="str">
        <f ca="1">IF(ROWS($1:4)&gt;COUNT(Dong9),"",OFFSET(TH!D$1,SMALL(Dong9,ROWS($1:4)),))</f>
        <v>CTGS</v>
      </c>
      <c r="C19" s="720">
        <f ca="1">IF(ROWS($1:4)&gt;COUNT(Dong9),"",OFFSET(TH!E$1,SMALL(Dong9,ROWS($1:4)),))</f>
        <v>41455</v>
      </c>
      <c r="D19" s="721" t="str">
        <f ca="1">IF(ROWS($1:4)&gt;COUNT(Dong9),"",OFFSET(TH!F$1,SMALL(Dong9,ROWS($1:4)),))</f>
        <v>Tiền lương BP Phân Xưởng &amp; CN</v>
      </c>
      <c r="E19" s="720" t="str">
        <f ca="1">IF(ROWS($1:4)&gt;COUNT(Dong9),"",OFFSET(TH!M$1,SMALL(Dong9,ROWS($1:4)),))</f>
        <v>3341</v>
      </c>
      <c r="F19" s="722">
        <f ca="1">IF(ROWS($1:4)&gt;COUNT(Dong9),"",OFFSET(TH!K$1,SMALL(Dong9,ROWS($1:4)),))</f>
        <v>7525000</v>
      </c>
      <c r="G19" s="722">
        <f t="shared" ca="1" si="0"/>
        <v>0</v>
      </c>
      <c r="H19" s="722">
        <f t="shared" ca="1" si="1"/>
        <v>0</v>
      </c>
      <c r="I19" s="722">
        <f t="shared" ca="1" si="2"/>
        <v>0</v>
      </c>
      <c r="J19" s="722">
        <f t="shared" ca="1" si="3"/>
        <v>7525000</v>
      </c>
      <c r="K19" s="722">
        <f t="shared" ca="1" si="4"/>
        <v>0</v>
      </c>
      <c r="L19" s="722">
        <f t="shared" ca="1" si="5"/>
        <v>0</v>
      </c>
      <c r="M19" s="722">
        <f t="shared" ca="1" si="6"/>
        <v>0</v>
      </c>
    </row>
    <row r="20" spans="1:13" ht="22.5" customHeight="1">
      <c r="A20" s="720">
        <f ca="1">IF(ROWS($1:5)&gt;COUNT(Dong9),"",OFFSET(TH!C$1,SMALL(Dong9,ROWS($1:5)),))</f>
        <v>41401</v>
      </c>
      <c r="B20" s="720" t="str">
        <f ca="1">IF(ROWS($1:5)&gt;COUNT(Dong9),"",OFFSET(TH!D$1,SMALL(Dong9,ROWS($1:5)),))</f>
        <v>C02</v>
      </c>
      <c r="C20" s="720">
        <f ca="1">IF(ROWS($1:5)&gt;COUNT(Dong9),"",OFFSET(TH!E$1,SMALL(Dong9,ROWS($1:5)),))</f>
        <v>41401</v>
      </c>
      <c r="D20" s="721" t="str">
        <f ca="1">IF(ROWS($1:5)&gt;COUNT(Dong9),"",OFFSET(TH!F$1,SMALL(Dong9,ROWS($1:5)),))</f>
        <v>Mực in</v>
      </c>
      <c r="E20" s="720" t="str">
        <f ca="1">IF(ROWS($1:5)&gt;COUNT(Dong9),"",OFFSET(TH!M$1,SMALL(Dong9,ROWS($1:5)),))</f>
        <v>1111</v>
      </c>
      <c r="F20" s="722">
        <f ca="1">IF(ROWS($1:5)&gt;COUNT(Dong9),"",OFFSET(TH!K$1,SMALL(Dong9,ROWS($1:5)),))</f>
        <v>3380000</v>
      </c>
      <c r="G20" s="722">
        <f t="shared" ca="1" si="0"/>
        <v>0</v>
      </c>
      <c r="H20" s="722">
        <f t="shared" ca="1" si="1"/>
        <v>0</v>
      </c>
      <c r="I20" s="722">
        <f t="shared" ca="1" si="2"/>
        <v>3380000</v>
      </c>
      <c r="J20" s="722">
        <f t="shared" ca="1" si="3"/>
        <v>0</v>
      </c>
      <c r="K20" s="722">
        <f t="shared" ca="1" si="4"/>
        <v>0</v>
      </c>
      <c r="L20" s="722">
        <f t="shared" ca="1" si="5"/>
        <v>0</v>
      </c>
      <c r="M20" s="722">
        <f t="shared" ca="1" si="6"/>
        <v>0</v>
      </c>
    </row>
    <row r="21" spans="1:13" ht="22.5" customHeight="1">
      <c r="A21" s="720">
        <f ca="1">IF(ROWS($1:6)&gt;COUNT(Dong9),"",OFFSET(TH!C$1,SMALL(Dong9,ROWS($1:6)),))</f>
        <v>41403</v>
      </c>
      <c r="B21" s="720" t="str">
        <f ca="1">IF(ROWS($1:6)&gt;COUNT(Dong9),"",OFFSET(TH!D$1,SMALL(Dong9,ROWS($1:6)),))</f>
        <v>C04</v>
      </c>
      <c r="C21" s="720">
        <f ca="1">IF(ROWS($1:6)&gt;COUNT(Dong9),"",OFFSET(TH!E$1,SMALL(Dong9,ROWS($1:6)),))</f>
        <v>41403</v>
      </c>
      <c r="D21" s="721" t="str">
        <f ca="1">IF(ROWS($1:6)&gt;COUNT(Dong9),"",OFFSET(TH!F$1,SMALL(Dong9,ROWS($1:6)),))</f>
        <v>Mực in</v>
      </c>
      <c r="E21" s="720" t="str">
        <f ca="1">IF(ROWS($1:6)&gt;COUNT(Dong9),"",OFFSET(TH!M$1,SMALL(Dong9,ROWS($1:6)),))</f>
        <v>1111</v>
      </c>
      <c r="F21" s="722">
        <f ca="1">IF(ROWS($1:6)&gt;COUNT(Dong9),"",OFFSET(TH!K$1,SMALL(Dong9,ROWS($1:6)),))</f>
        <v>3640000</v>
      </c>
      <c r="G21" s="722">
        <f t="shared" ca="1" si="0"/>
        <v>0</v>
      </c>
      <c r="H21" s="722">
        <f t="shared" ca="1" si="1"/>
        <v>0</v>
      </c>
      <c r="I21" s="722">
        <f t="shared" ca="1" si="2"/>
        <v>3640000</v>
      </c>
      <c r="J21" s="722">
        <f t="shared" ca="1" si="3"/>
        <v>0</v>
      </c>
      <c r="K21" s="722">
        <f t="shared" ca="1" si="4"/>
        <v>0</v>
      </c>
      <c r="L21" s="722">
        <f t="shared" ca="1" si="5"/>
        <v>0</v>
      </c>
      <c r="M21" s="722">
        <f t="shared" ca="1" si="6"/>
        <v>0</v>
      </c>
    </row>
    <row r="22" spans="1:13" ht="22.5" customHeight="1">
      <c r="A22" s="720">
        <f ca="1">IF(ROWS($1:7)&gt;COUNT(Dong9),"",OFFSET(TH!C$1,SMALL(Dong9,ROWS($1:7)),))</f>
        <v>41365</v>
      </c>
      <c r="B22" s="720" t="str">
        <f ca="1">IF(ROWS($1:7)&gt;COUNT(Dong9),"",OFFSET(TH!D$1,SMALL(Dong9,ROWS($1:7)),))</f>
        <v>VL/X01</v>
      </c>
      <c r="C22" s="720">
        <f ca="1">IF(ROWS($1:7)&gt;COUNT(Dong9),"",OFFSET(TH!E$1,SMALL(Dong9,ROWS($1:7)),))</f>
        <v>41365</v>
      </c>
      <c r="D22" s="721" t="str">
        <f ca="1">IF(ROWS($1:7)&gt;COUNT(Dong9),"",OFFSET(TH!F$1,SMALL(Dong9,ROWS($1:7)),))</f>
        <v>Kẽm đóng bao bì</v>
      </c>
      <c r="E22" s="720" t="str">
        <f ca="1">IF(ROWS($1:7)&gt;COUNT(Dong9),"",OFFSET(TH!M$1,SMALL(Dong9,ROWS($1:7)),))</f>
        <v>1522</v>
      </c>
      <c r="F22" s="722">
        <f ca="1">IF(ROWS($1:7)&gt;COUNT(Dong9),"",OFFSET(TH!K$1,SMALL(Dong9,ROWS($1:7)),))</f>
        <v>625000</v>
      </c>
      <c r="G22" s="722">
        <f t="shared" ca="1" si="0"/>
        <v>0</v>
      </c>
      <c r="H22" s="722">
        <f t="shared" ca="1" si="1"/>
        <v>625000</v>
      </c>
      <c r="I22" s="722">
        <f t="shared" ca="1" si="2"/>
        <v>0</v>
      </c>
      <c r="J22" s="722">
        <f t="shared" ca="1" si="3"/>
        <v>0</v>
      </c>
      <c r="K22" s="722">
        <f t="shared" ca="1" si="4"/>
        <v>0</v>
      </c>
      <c r="L22" s="722">
        <f t="shared" ca="1" si="5"/>
        <v>0</v>
      </c>
      <c r="M22" s="722">
        <f t="shared" ca="1" si="6"/>
        <v>0</v>
      </c>
    </row>
    <row r="23" spans="1:13" ht="22.5" customHeight="1">
      <c r="A23" s="720">
        <f ca="1">IF(ROWS($1:8)&gt;COUNT(Dong9),"",OFFSET(TH!C$1,SMALL(Dong9,ROWS($1:8)),))</f>
        <v>41365</v>
      </c>
      <c r="B23" s="720" t="str">
        <f ca="1">IF(ROWS($1:8)&gt;COUNT(Dong9),"",OFFSET(TH!D$1,SMALL(Dong9,ROWS($1:8)),))</f>
        <v>VL/X01</v>
      </c>
      <c r="C23" s="720">
        <f ca="1">IF(ROWS($1:8)&gt;COUNT(Dong9),"",OFFSET(TH!E$1,SMALL(Dong9,ROWS($1:8)),))</f>
        <v>41365</v>
      </c>
      <c r="D23" s="721" t="str">
        <f ca="1">IF(ROWS($1:8)&gt;COUNT(Dong9),"",OFFSET(TH!F$1,SMALL(Dong9,ROWS($1:8)),))</f>
        <v>Dây nylon</v>
      </c>
      <c r="E23" s="720" t="str">
        <f ca="1">IF(ROWS($1:8)&gt;COUNT(Dong9),"",OFFSET(TH!M$1,SMALL(Dong9,ROWS($1:8)),))</f>
        <v>1522</v>
      </c>
      <c r="F23" s="722">
        <f ca="1">IF(ROWS($1:8)&gt;COUNT(Dong9),"",OFFSET(TH!K$1,SMALL(Dong9,ROWS($1:8)),))</f>
        <v>1056000</v>
      </c>
      <c r="G23" s="722">
        <f t="shared" ca="1" si="0"/>
        <v>0</v>
      </c>
      <c r="H23" s="722">
        <f t="shared" ca="1" si="1"/>
        <v>1056000</v>
      </c>
      <c r="I23" s="722">
        <f t="shared" ca="1" si="2"/>
        <v>0</v>
      </c>
      <c r="J23" s="722">
        <f t="shared" ca="1" si="3"/>
        <v>0</v>
      </c>
      <c r="K23" s="722">
        <f t="shared" ca="1" si="4"/>
        <v>0</v>
      </c>
      <c r="L23" s="722">
        <f t="shared" ca="1" si="5"/>
        <v>0</v>
      </c>
      <c r="M23" s="722">
        <f t="shared" ca="1" si="6"/>
        <v>0</v>
      </c>
    </row>
    <row r="24" spans="1:13" ht="22.5" customHeight="1">
      <c r="A24" s="720">
        <f ca="1">IF(ROWS($1:9)&gt;COUNT(Dong9),"",OFFSET(TH!C$1,SMALL(Dong9,ROWS($1:9)),))</f>
        <v>41365</v>
      </c>
      <c r="B24" s="720" t="str">
        <f ca="1">IF(ROWS($1:9)&gt;COUNT(Dong9),"",OFFSET(TH!D$1,SMALL(Dong9,ROWS($1:9)),))</f>
        <v>XNL</v>
      </c>
      <c r="C24" s="720">
        <f ca="1">IF(ROWS($1:9)&gt;COUNT(Dong9),"",OFFSET(TH!E$1,SMALL(Dong9,ROWS($1:9)),))</f>
        <v>41365</v>
      </c>
      <c r="D24" s="721" t="str">
        <f ca="1">IF(ROWS($1:9)&gt;COUNT(Dong9),"",OFFSET(TH!F$1,SMALL(Dong9,ROWS($1:9)),))</f>
        <v>Giấy tấm 5 lớp (132x105)</v>
      </c>
      <c r="E24" s="720" t="str">
        <f ca="1">IF(ROWS($1:9)&gt;COUNT(Dong9),"",OFFSET(TH!M$1,SMALL(Dong9,ROWS($1:9)),))</f>
        <v>1521</v>
      </c>
      <c r="F24" s="722">
        <f ca="1">IF(ROWS($1:9)&gt;COUNT(Dong9),"",OFFSET(TH!K$1,SMALL(Dong9,ROWS($1:9)),))</f>
        <v>3499750</v>
      </c>
      <c r="G24" s="722">
        <f t="shared" ca="1" si="0"/>
        <v>3499750</v>
      </c>
      <c r="H24" s="722">
        <f t="shared" ca="1" si="1"/>
        <v>0</v>
      </c>
      <c r="I24" s="722">
        <f t="shared" ca="1" si="2"/>
        <v>0</v>
      </c>
      <c r="J24" s="722">
        <f t="shared" ca="1" si="3"/>
        <v>0</v>
      </c>
      <c r="K24" s="722">
        <f t="shared" ca="1" si="4"/>
        <v>0</v>
      </c>
      <c r="L24" s="722">
        <f t="shared" ca="1" si="5"/>
        <v>0</v>
      </c>
      <c r="M24" s="722">
        <f t="shared" ca="1" si="6"/>
        <v>0</v>
      </c>
    </row>
    <row r="25" spans="1:13" ht="22.5" customHeight="1">
      <c r="A25" s="720">
        <f ca="1">IF(ROWS($1:10)&gt;COUNT(Dong9),"",OFFSET(TH!C$1,SMALL(Dong9,ROWS($1:10)),))</f>
        <v>41365</v>
      </c>
      <c r="B25" s="720" t="str">
        <f ca="1">IF(ROWS($1:10)&gt;COUNT(Dong9),"",OFFSET(TH!D$1,SMALL(Dong9,ROWS($1:10)),))</f>
        <v>XNL</v>
      </c>
      <c r="C25" s="720">
        <f ca="1">IF(ROWS($1:10)&gt;COUNT(Dong9),"",OFFSET(TH!E$1,SMALL(Dong9,ROWS($1:10)),))</f>
        <v>41365</v>
      </c>
      <c r="D25" s="721" t="str">
        <f ca="1">IF(ROWS($1:10)&gt;COUNT(Dong9),"",OFFSET(TH!F$1,SMALL(Dong9,ROWS($1:10)),))</f>
        <v>Giấy carton (105x196)</v>
      </c>
      <c r="E25" s="720" t="str">
        <f ca="1">IF(ROWS($1:10)&gt;COUNT(Dong9),"",OFFSET(TH!M$1,SMALL(Dong9,ROWS($1:10)),))</f>
        <v>1521</v>
      </c>
      <c r="F25" s="722">
        <f ca="1">IF(ROWS($1:10)&gt;COUNT(Dong9),"",OFFSET(TH!K$1,SMALL(Dong9,ROWS($1:10)),))</f>
        <v>4240384</v>
      </c>
      <c r="G25" s="722">
        <f t="shared" ca="1" si="0"/>
        <v>4240384</v>
      </c>
      <c r="H25" s="722">
        <f t="shared" ca="1" si="1"/>
        <v>0</v>
      </c>
      <c r="I25" s="722">
        <f t="shared" ca="1" si="2"/>
        <v>0</v>
      </c>
      <c r="J25" s="722">
        <f t="shared" ca="1" si="3"/>
        <v>0</v>
      </c>
      <c r="K25" s="722">
        <f t="shared" ca="1" si="4"/>
        <v>0</v>
      </c>
      <c r="L25" s="722">
        <f t="shared" ca="1" si="5"/>
        <v>0</v>
      </c>
      <c r="M25" s="722">
        <f t="shared" ca="1" si="6"/>
        <v>0</v>
      </c>
    </row>
    <row r="26" spans="1:13" ht="22.5" customHeight="1">
      <c r="A26" s="720">
        <f ca="1">IF(ROWS($1:11)&gt;COUNT(Dong9),"",OFFSET(TH!C$1,SMALL(Dong9,ROWS($1:11)),))</f>
        <v>41366</v>
      </c>
      <c r="B26" s="720" t="str">
        <f ca="1">IF(ROWS($1:11)&gt;COUNT(Dong9),"",OFFSET(TH!D$1,SMALL(Dong9,ROWS($1:11)),))</f>
        <v>XNL</v>
      </c>
      <c r="C26" s="720">
        <f ca="1">IF(ROWS($1:11)&gt;COUNT(Dong9),"",OFFSET(TH!E$1,SMALL(Dong9,ROWS($1:11)),))</f>
        <v>41366</v>
      </c>
      <c r="D26" s="721" t="str">
        <f ca="1">IF(ROWS($1:11)&gt;COUNT(Dong9),"",OFFSET(TH!F$1,SMALL(Dong9,ROWS($1:11)),))</f>
        <v>Giấy tấm 5 lớp (181x115)</v>
      </c>
      <c r="E26" s="720" t="str">
        <f ca="1">IF(ROWS($1:11)&gt;COUNT(Dong9),"",OFFSET(TH!M$1,SMALL(Dong9,ROWS($1:11)),))</f>
        <v>1521</v>
      </c>
      <c r="F26" s="722">
        <f ca="1">IF(ROWS($1:11)&gt;COUNT(Dong9),"",OFFSET(TH!K$1,SMALL(Dong9,ROWS($1:11)),))</f>
        <v>5255750</v>
      </c>
      <c r="G26" s="722">
        <f t="shared" ca="1" si="0"/>
        <v>5255750</v>
      </c>
      <c r="H26" s="722">
        <f t="shared" ca="1" si="1"/>
        <v>0</v>
      </c>
      <c r="I26" s="722">
        <f t="shared" ca="1" si="2"/>
        <v>0</v>
      </c>
      <c r="J26" s="722">
        <f t="shared" ca="1" si="3"/>
        <v>0</v>
      </c>
      <c r="K26" s="722">
        <f t="shared" ca="1" si="4"/>
        <v>0</v>
      </c>
      <c r="L26" s="722">
        <f t="shared" ca="1" si="5"/>
        <v>0</v>
      </c>
      <c r="M26" s="722">
        <f t="shared" ca="1" si="6"/>
        <v>0</v>
      </c>
    </row>
    <row r="27" spans="1:13" ht="22.5" customHeight="1">
      <c r="A27" s="720">
        <f ca="1">IF(ROWS($1:12)&gt;COUNT(Dong9),"",OFFSET(TH!C$1,SMALL(Dong9,ROWS($1:12)),))</f>
        <v>41366</v>
      </c>
      <c r="B27" s="720" t="str">
        <f ca="1">IF(ROWS($1:12)&gt;COUNT(Dong9),"",OFFSET(TH!D$1,SMALL(Dong9,ROWS($1:12)),))</f>
        <v>XNL</v>
      </c>
      <c r="C27" s="720">
        <f ca="1">IF(ROWS($1:12)&gt;COUNT(Dong9),"",OFFSET(TH!E$1,SMALL(Dong9,ROWS($1:12)),))</f>
        <v>41366</v>
      </c>
      <c r="D27" s="721" t="str">
        <f ca="1">IF(ROWS($1:12)&gt;COUNT(Dong9),"",OFFSET(TH!F$1,SMALL(Dong9,ROWS($1:12)),))</f>
        <v>Giấy tấm 1 trắng + 2 xeo 150 + 1 xeo 110 + 1 vàng (1490x1300)</v>
      </c>
      <c r="E27" s="720" t="str">
        <f ca="1">IF(ROWS($1:12)&gt;COUNT(Dong9),"",OFFSET(TH!M$1,SMALL(Dong9,ROWS($1:12)),))</f>
        <v>1521</v>
      </c>
      <c r="F27" s="722">
        <f ca="1">IF(ROWS($1:12)&gt;COUNT(Dong9),"",OFFSET(TH!K$1,SMALL(Dong9,ROWS($1:12)),))</f>
        <v>11512804</v>
      </c>
      <c r="G27" s="722">
        <f t="shared" ca="1" si="0"/>
        <v>11512804</v>
      </c>
      <c r="H27" s="722">
        <f t="shared" ca="1" si="1"/>
        <v>0</v>
      </c>
      <c r="I27" s="722">
        <f t="shared" ca="1" si="2"/>
        <v>0</v>
      </c>
      <c r="J27" s="722">
        <f t="shared" ca="1" si="3"/>
        <v>0</v>
      </c>
      <c r="K27" s="722">
        <f t="shared" ca="1" si="4"/>
        <v>0</v>
      </c>
      <c r="L27" s="722">
        <f t="shared" ca="1" si="5"/>
        <v>0</v>
      </c>
      <c r="M27" s="722">
        <f t="shared" ca="1" si="6"/>
        <v>0</v>
      </c>
    </row>
    <row r="28" spans="1:13" ht="22.5" customHeight="1">
      <c r="A28" s="720">
        <f ca="1">IF(ROWS($1:13)&gt;COUNT(Dong9),"",OFFSET(TH!C$1,SMALL(Dong9,ROWS($1:13)),))</f>
        <v>41367</v>
      </c>
      <c r="B28" s="720" t="str">
        <f ca="1">IF(ROWS($1:13)&gt;COUNT(Dong9),"",OFFSET(TH!D$1,SMALL(Dong9,ROWS($1:13)),))</f>
        <v>XNL</v>
      </c>
      <c r="C28" s="720">
        <f ca="1">IF(ROWS($1:13)&gt;COUNT(Dong9),"",OFFSET(TH!E$1,SMALL(Dong9,ROWS($1:13)),))</f>
        <v>41367</v>
      </c>
      <c r="D28" s="721" t="str">
        <f ca="1">IF(ROWS($1:13)&gt;COUNT(Dong9),"",OFFSET(TH!F$1,SMALL(Dong9,ROWS($1:13)),))</f>
        <v>Giấy tấm 1 trắng + 2 xeo 150 + 1 xeo 110 + 1 vàng (1490x1300)</v>
      </c>
      <c r="E28" s="720" t="str">
        <f ca="1">IF(ROWS($1:13)&gt;COUNT(Dong9),"",OFFSET(TH!M$1,SMALL(Dong9,ROWS($1:13)),))</f>
        <v>1521</v>
      </c>
      <c r="F28" s="722">
        <f ca="1">IF(ROWS($1:13)&gt;COUNT(Dong9),"",OFFSET(TH!K$1,SMALL(Dong9,ROWS($1:13)),))</f>
        <v>5665750</v>
      </c>
      <c r="G28" s="722">
        <f t="shared" ca="1" si="0"/>
        <v>5665750</v>
      </c>
      <c r="H28" s="722">
        <f t="shared" ca="1" si="1"/>
        <v>0</v>
      </c>
      <c r="I28" s="722">
        <f t="shared" ca="1" si="2"/>
        <v>0</v>
      </c>
      <c r="J28" s="722">
        <f t="shared" ca="1" si="3"/>
        <v>0</v>
      </c>
      <c r="K28" s="722">
        <f t="shared" ca="1" si="4"/>
        <v>0</v>
      </c>
      <c r="L28" s="722">
        <f t="shared" ca="1" si="5"/>
        <v>0</v>
      </c>
      <c r="M28" s="722">
        <f t="shared" ca="1" si="6"/>
        <v>0</v>
      </c>
    </row>
    <row r="29" spans="1:13" ht="22.5" customHeight="1">
      <c r="A29" s="720">
        <f ca="1">IF(ROWS($1:14)&gt;COUNT(Dong9),"",OFFSET(TH!C$1,SMALL(Dong9,ROWS($1:14)),))</f>
        <v>41367</v>
      </c>
      <c r="B29" s="720" t="str">
        <f ca="1">IF(ROWS($1:14)&gt;COUNT(Dong9),"",OFFSET(TH!D$1,SMALL(Dong9,ROWS($1:14)),))</f>
        <v>XNL</v>
      </c>
      <c r="C29" s="720">
        <f ca="1">IF(ROWS($1:14)&gt;COUNT(Dong9),"",OFFSET(TH!E$1,SMALL(Dong9,ROWS($1:14)),))</f>
        <v>41367</v>
      </c>
      <c r="D29" s="721" t="str">
        <f ca="1">IF(ROWS($1:14)&gt;COUNT(Dong9),"",OFFSET(TH!F$1,SMALL(Dong9,ROWS($1:14)),))</f>
        <v>Giấy tấm 1 trắng + 2 xeo 150 + 1 xeo 110 + 1 vàng (1490x1300)</v>
      </c>
      <c r="E29" s="720" t="str">
        <f ca="1">IF(ROWS($1:14)&gt;COUNT(Dong9),"",OFFSET(TH!M$1,SMALL(Dong9,ROWS($1:14)),))</f>
        <v>1521</v>
      </c>
      <c r="F29" s="722">
        <f ca="1">IF(ROWS($1:14)&gt;COUNT(Dong9),"",OFFSET(TH!K$1,SMALL(Dong9,ROWS($1:14)),))</f>
        <v>1133150</v>
      </c>
      <c r="G29" s="722">
        <f t="shared" ca="1" si="0"/>
        <v>1133150</v>
      </c>
      <c r="H29" s="722">
        <f t="shared" ca="1" si="1"/>
        <v>0</v>
      </c>
      <c r="I29" s="722">
        <f t="shared" ca="1" si="2"/>
        <v>0</v>
      </c>
      <c r="J29" s="722">
        <f t="shared" ca="1" si="3"/>
        <v>0</v>
      </c>
      <c r="K29" s="722">
        <f t="shared" ca="1" si="4"/>
        <v>0</v>
      </c>
      <c r="L29" s="722">
        <f t="shared" ca="1" si="5"/>
        <v>0</v>
      </c>
      <c r="M29" s="722">
        <f t="shared" ca="1" si="6"/>
        <v>0</v>
      </c>
    </row>
    <row r="30" spans="1:13" ht="22.5" customHeight="1">
      <c r="A30" s="720">
        <f ca="1">IF(ROWS($1:15)&gt;COUNT(Dong9),"",OFFSET(TH!C$1,SMALL(Dong9,ROWS($1:15)),))</f>
        <v>41372</v>
      </c>
      <c r="B30" s="720" t="str">
        <f ca="1">IF(ROWS($1:15)&gt;COUNT(Dong9),"",OFFSET(TH!D$1,SMALL(Dong9,ROWS($1:15)),))</f>
        <v>XNL</v>
      </c>
      <c r="C30" s="720">
        <f ca="1">IF(ROWS($1:15)&gt;COUNT(Dong9),"",OFFSET(TH!E$1,SMALL(Dong9,ROWS($1:15)),))</f>
        <v>41372</v>
      </c>
      <c r="D30" s="721" t="str">
        <f ca="1">IF(ROWS($1:15)&gt;COUNT(Dong9),"",OFFSET(TH!F$1,SMALL(Dong9,ROWS($1:15)),))</f>
        <v>Giấy tấm 5 lớp (158x115)</v>
      </c>
      <c r="E30" s="720" t="str">
        <f ca="1">IF(ROWS($1:15)&gt;COUNT(Dong9),"",OFFSET(TH!M$1,SMALL(Dong9,ROWS($1:15)),))</f>
        <v>1521</v>
      </c>
      <c r="F30" s="722">
        <f ca="1">IF(ROWS($1:15)&gt;COUNT(Dong9),"",OFFSET(TH!K$1,SMALL(Dong9,ROWS($1:15)),))</f>
        <v>17625000</v>
      </c>
      <c r="G30" s="722">
        <f t="shared" ca="1" si="0"/>
        <v>17625000</v>
      </c>
      <c r="H30" s="722">
        <f t="shared" ca="1" si="1"/>
        <v>0</v>
      </c>
      <c r="I30" s="722">
        <f t="shared" ca="1" si="2"/>
        <v>0</v>
      </c>
      <c r="J30" s="722">
        <f t="shared" ca="1" si="3"/>
        <v>0</v>
      </c>
      <c r="K30" s="722">
        <f t="shared" ca="1" si="4"/>
        <v>0</v>
      </c>
      <c r="L30" s="722">
        <f t="shared" ca="1" si="5"/>
        <v>0</v>
      </c>
      <c r="M30" s="722">
        <f t="shared" ca="1" si="6"/>
        <v>0</v>
      </c>
    </row>
    <row r="31" spans="1:13" ht="22.5" customHeight="1">
      <c r="A31" s="720">
        <f ca="1">IF(ROWS($1:16)&gt;COUNT(Dong9),"",OFFSET(TH!C$1,SMALL(Dong9,ROWS($1:16)),))</f>
        <v>41372</v>
      </c>
      <c r="B31" s="720" t="str">
        <f ca="1">IF(ROWS($1:16)&gt;COUNT(Dong9),"",OFFSET(TH!D$1,SMALL(Dong9,ROWS($1:16)),))</f>
        <v>XNL</v>
      </c>
      <c r="C31" s="720">
        <f ca="1">IF(ROWS($1:16)&gt;COUNT(Dong9),"",OFFSET(TH!E$1,SMALL(Dong9,ROWS($1:16)),))</f>
        <v>41372</v>
      </c>
      <c r="D31" s="721" t="str">
        <f ca="1">IF(ROWS($1:16)&gt;COUNT(Dong9),"",OFFSET(TH!F$1,SMALL(Dong9,ROWS($1:16)),))</f>
        <v>Giấy tấm 5 lớp (158x90)</v>
      </c>
      <c r="E31" s="720" t="str">
        <f ca="1">IF(ROWS($1:16)&gt;COUNT(Dong9),"",OFFSET(TH!M$1,SMALL(Dong9,ROWS($1:16)),))</f>
        <v>1521</v>
      </c>
      <c r="F31" s="722">
        <f ca="1">IF(ROWS($1:16)&gt;COUNT(Dong9),"",OFFSET(TH!K$1,SMALL(Dong9,ROWS($1:16)),))</f>
        <v>13757851</v>
      </c>
      <c r="G31" s="722">
        <f t="shared" ca="1" si="0"/>
        <v>13757851</v>
      </c>
      <c r="H31" s="722">
        <f t="shared" ca="1" si="1"/>
        <v>0</v>
      </c>
      <c r="I31" s="722">
        <f t="shared" ca="1" si="2"/>
        <v>0</v>
      </c>
      <c r="J31" s="722">
        <f t="shared" ca="1" si="3"/>
        <v>0</v>
      </c>
      <c r="K31" s="722">
        <f t="shared" ca="1" si="4"/>
        <v>0</v>
      </c>
      <c r="L31" s="722">
        <f t="shared" ca="1" si="5"/>
        <v>0</v>
      </c>
      <c r="M31" s="722">
        <f t="shared" ca="1" si="6"/>
        <v>0</v>
      </c>
    </row>
    <row r="32" spans="1:13" ht="22.5" customHeight="1">
      <c r="A32" s="720">
        <f ca="1">IF(ROWS($1:17)&gt;COUNT(Dong9),"",OFFSET(TH!C$1,SMALL(Dong9,ROWS($1:17)),))</f>
        <v>41372</v>
      </c>
      <c r="B32" s="720" t="str">
        <f ca="1">IF(ROWS($1:17)&gt;COUNT(Dong9),"",OFFSET(TH!D$1,SMALL(Dong9,ROWS($1:17)),))</f>
        <v>XNL</v>
      </c>
      <c r="C32" s="720">
        <f ca="1">IF(ROWS($1:17)&gt;COUNT(Dong9),"",OFFSET(TH!E$1,SMALL(Dong9,ROWS($1:17)),))</f>
        <v>41372</v>
      </c>
      <c r="D32" s="721" t="str">
        <f ca="1">IF(ROWS($1:17)&gt;COUNT(Dong9),"",OFFSET(TH!F$1,SMALL(Dong9,ROWS($1:17)),))</f>
        <v>Giấy tấm 3 lớp (190x115)</v>
      </c>
      <c r="E32" s="720" t="str">
        <f ca="1">IF(ROWS($1:17)&gt;COUNT(Dong9),"",OFFSET(TH!M$1,SMALL(Dong9,ROWS($1:17)),))</f>
        <v>1521</v>
      </c>
      <c r="F32" s="722">
        <f ca="1">IF(ROWS($1:17)&gt;COUNT(Dong9),"",OFFSET(TH!K$1,SMALL(Dong9,ROWS($1:17)),))</f>
        <v>1676634</v>
      </c>
      <c r="G32" s="722">
        <f t="shared" ca="1" si="0"/>
        <v>1676634</v>
      </c>
      <c r="H32" s="722">
        <f t="shared" ca="1" si="1"/>
        <v>0</v>
      </c>
      <c r="I32" s="722">
        <f t="shared" ca="1" si="2"/>
        <v>0</v>
      </c>
      <c r="J32" s="722">
        <f t="shared" ca="1" si="3"/>
        <v>0</v>
      </c>
      <c r="K32" s="722">
        <f t="shared" ca="1" si="4"/>
        <v>0</v>
      </c>
      <c r="L32" s="722">
        <f t="shared" ca="1" si="5"/>
        <v>0</v>
      </c>
      <c r="M32" s="722">
        <f t="shared" ca="1" si="6"/>
        <v>0</v>
      </c>
    </row>
    <row r="33" spans="1:13" ht="22.5" customHeight="1">
      <c r="A33" s="720">
        <f ca="1">IF(ROWS($1:18)&gt;COUNT(Dong9),"",OFFSET(TH!C$1,SMALL(Dong9,ROWS($1:18)),))</f>
        <v>41372</v>
      </c>
      <c r="B33" s="720" t="str">
        <f ca="1">IF(ROWS($1:18)&gt;COUNT(Dong9),"",OFFSET(TH!D$1,SMALL(Dong9,ROWS($1:18)),))</f>
        <v>XNL</v>
      </c>
      <c r="C33" s="720">
        <f ca="1">IF(ROWS($1:18)&gt;COUNT(Dong9),"",OFFSET(TH!E$1,SMALL(Dong9,ROWS($1:18)),))</f>
        <v>41372</v>
      </c>
      <c r="D33" s="721" t="str">
        <f ca="1">IF(ROWS($1:18)&gt;COUNT(Dong9),"",OFFSET(TH!F$1,SMALL(Dong9,ROWS($1:18)),))</f>
        <v>Giấy tấm 3 lớp (148x100)</v>
      </c>
      <c r="E33" s="720" t="str">
        <f ca="1">IF(ROWS($1:18)&gt;COUNT(Dong9),"",OFFSET(TH!M$1,SMALL(Dong9,ROWS($1:18)),))</f>
        <v>1521</v>
      </c>
      <c r="F33" s="722">
        <f ca="1">IF(ROWS($1:18)&gt;COUNT(Dong9),"",OFFSET(TH!K$1,SMALL(Dong9,ROWS($1:18)),))</f>
        <v>93240</v>
      </c>
      <c r="G33" s="722">
        <f t="shared" ca="1" si="0"/>
        <v>93240</v>
      </c>
      <c r="H33" s="722">
        <f t="shared" ca="1" si="1"/>
        <v>0</v>
      </c>
      <c r="I33" s="722">
        <f t="shared" ca="1" si="2"/>
        <v>0</v>
      </c>
      <c r="J33" s="722">
        <f t="shared" ca="1" si="3"/>
        <v>0</v>
      </c>
      <c r="K33" s="722">
        <f t="shared" ca="1" si="4"/>
        <v>0</v>
      </c>
      <c r="L33" s="722">
        <f t="shared" ca="1" si="5"/>
        <v>0</v>
      </c>
      <c r="M33" s="722">
        <f t="shared" ca="1" si="6"/>
        <v>0</v>
      </c>
    </row>
    <row r="34" spans="1:13" ht="22.5" customHeight="1">
      <c r="A34" s="720"/>
      <c r="B34" s="723"/>
      <c r="C34" s="720"/>
      <c r="D34" s="724"/>
      <c r="E34" s="725"/>
      <c r="F34" s="726"/>
      <c r="G34" s="726"/>
      <c r="H34" s="726"/>
      <c r="I34" s="726"/>
      <c r="J34" s="726"/>
      <c r="K34" s="726"/>
      <c r="L34" s="726"/>
      <c r="M34" s="726"/>
    </row>
    <row r="35" spans="1:13" ht="22.5" customHeight="1">
      <c r="A35" s="720"/>
      <c r="B35" s="723"/>
      <c r="C35" s="720"/>
      <c r="D35" s="718" t="s">
        <v>133</v>
      </c>
      <c r="E35" s="717" t="s">
        <v>19</v>
      </c>
      <c r="F35" s="719">
        <f t="shared" ref="F35:M35" ca="1" si="7">SUM(F15:F34)</f>
        <v>114031313</v>
      </c>
      <c r="G35" s="719">
        <f t="shared" ca="1" si="7"/>
        <v>64460313</v>
      </c>
      <c r="H35" s="719">
        <f t="shared" ca="1" si="7"/>
        <v>1681000</v>
      </c>
      <c r="I35" s="719">
        <f t="shared" ca="1" si="7"/>
        <v>7020000</v>
      </c>
      <c r="J35" s="719">
        <f t="shared" ca="1" si="7"/>
        <v>22620000</v>
      </c>
      <c r="K35" s="719">
        <f t="shared" ca="1" si="7"/>
        <v>0</v>
      </c>
      <c r="L35" s="719">
        <f t="shared" ca="1" si="7"/>
        <v>0</v>
      </c>
      <c r="M35" s="719">
        <f t="shared" ca="1" si="7"/>
        <v>18250000</v>
      </c>
    </row>
    <row r="36" spans="1:13" ht="22.5" customHeight="1">
      <c r="A36" s="727"/>
      <c r="B36" s="725"/>
      <c r="C36" s="727"/>
      <c r="D36" s="728" t="s">
        <v>455</v>
      </c>
      <c r="E36" s="723"/>
      <c r="F36" s="729">
        <f ca="1">SUM(G36:M36)</f>
        <v>114031313</v>
      </c>
      <c r="G36" s="729">
        <f t="shared" ref="G36:M36" ca="1" si="8">G35</f>
        <v>64460313</v>
      </c>
      <c r="H36" s="729">
        <f t="shared" ca="1" si="8"/>
        <v>1681000</v>
      </c>
      <c r="I36" s="729">
        <f t="shared" ref="I36" ca="1" si="9">I35</f>
        <v>7020000</v>
      </c>
      <c r="J36" s="729">
        <f t="shared" ca="1" si="8"/>
        <v>22620000</v>
      </c>
      <c r="K36" s="729">
        <f t="shared" ca="1" si="8"/>
        <v>0</v>
      </c>
      <c r="L36" s="729">
        <f t="shared" ref="L36" ca="1" si="10">L35</f>
        <v>0</v>
      </c>
      <c r="M36" s="729">
        <f t="shared" ca="1" si="8"/>
        <v>18250000</v>
      </c>
    </row>
    <row r="37" spans="1:13" ht="22.5" customHeight="1">
      <c r="A37" s="730"/>
      <c r="B37" s="730"/>
      <c r="C37" s="730"/>
      <c r="D37" s="731" t="s">
        <v>10</v>
      </c>
      <c r="E37" s="730" t="s">
        <v>19</v>
      </c>
      <c r="F37" s="732">
        <f t="shared" ref="F37:M37" ca="1" si="11">F15+F35-F36</f>
        <v>0</v>
      </c>
      <c r="G37" s="732">
        <f t="shared" ca="1" si="11"/>
        <v>0</v>
      </c>
      <c r="H37" s="732">
        <f t="shared" ca="1" si="11"/>
        <v>0</v>
      </c>
      <c r="I37" s="732">
        <f t="shared" ca="1" si="11"/>
        <v>0</v>
      </c>
      <c r="J37" s="732">
        <f t="shared" ca="1" si="11"/>
        <v>0</v>
      </c>
      <c r="K37" s="732">
        <f t="shared" ca="1" si="11"/>
        <v>0</v>
      </c>
      <c r="L37" s="732">
        <f t="shared" ca="1" si="11"/>
        <v>0</v>
      </c>
      <c r="M37" s="732">
        <f t="shared" ca="1" si="11"/>
        <v>0</v>
      </c>
    </row>
    <row r="39" spans="1:13">
      <c r="B39" s="733"/>
      <c r="C39" s="713" t="s">
        <v>456</v>
      </c>
    </row>
    <row r="40" spans="1:13">
      <c r="C40" s="713" t="str">
        <f ca="1">"Ngày mở sổ: "&amp;"01/"&amp;MONTH(A16)&amp;"/ "&amp;YEAR(A16)</f>
        <v>Ngày mở sổ: 01/4/ 2013</v>
      </c>
    </row>
    <row r="41" spans="1:13">
      <c r="E41" s="712"/>
      <c r="F41" s="712"/>
      <c r="G41" s="712"/>
      <c r="H41" s="712"/>
      <c r="I41" s="712"/>
      <c r="J41" s="108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81"/>
      <c r="L41" s="1081"/>
      <c r="M41" s="1081"/>
    </row>
    <row r="42" spans="1:13">
      <c r="B42" s="712"/>
      <c r="C42" s="709" t="s">
        <v>11</v>
      </c>
      <c r="D42" s="712"/>
      <c r="E42" s="712"/>
      <c r="F42" s="712"/>
      <c r="G42" s="712"/>
      <c r="H42" s="712"/>
      <c r="I42" s="712"/>
      <c r="J42" s="1081" t="s">
        <v>12</v>
      </c>
      <c r="K42" s="1081"/>
      <c r="L42" s="1081"/>
      <c r="M42" s="1081"/>
    </row>
    <row r="43" spans="1:13">
      <c r="B43" s="712"/>
      <c r="C43" s="709" t="s">
        <v>13</v>
      </c>
      <c r="D43" s="712"/>
      <c r="E43" s="712"/>
      <c r="F43" s="712"/>
      <c r="G43" s="712"/>
      <c r="H43" s="712"/>
      <c r="I43" s="712"/>
      <c r="J43" s="712"/>
      <c r="K43" s="712" t="s">
        <v>13</v>
      </c>
      <c r="L43" s="712"/>
    </row>
  </sheetData>
  <mergeCells count="16">
    <mergeCell ref="C10:M10"/>
    <mergeCell ref="J2:M2"/>
    <mergeCell ref="A5:M5"/>
    <mergeCell ref="A6:M6"/>
    <mergeCell ref="J3:M4"/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09" customWidth="1"/>
    <col min="2" max="2" width="8.85546875" style="709" customWidth="1"/>
    <col min="3" max="3" width="10.5703125" style="709" customWidth="1"/>
    <col min="4" max="4" width="31.85546875" style="709" customWidth="1"/>
    <col min="5" max="5" width="10.28515625" style="709" customWidth="1"/>
    <col min="6" max="6" width="15.28515625" style="709" customWidth="1"/>
    <col min="7" max="7" width="9.42578125" style="709" customWidth="1"/>
    <col min="8" max="8" width="15.140625" style="709" customWidth="1"/>
    <col min="9" max="9" width="9.140625" style="709"/>
    <col min="10" max="10" width="16.28515625" style="709" customWidth="1"/>
    <col min="11" max="11" width="6" style="709" customWidth="1"/>
    <col min="12" max="16384" width="9.140625" style="709"/>
  </cols>
  <sheetData>
    <row r="2" spans="1:13">
      <c r="A2" s="708" t="str">
        <f>'154'!A2</f>
        <v>Đơn vị: CÔNG TY TNHH SX TM KIM DUNG PHÁT</v>
      </c>
      <c r="F2" s="710"/>
      <c r="G2" s="1125" t="s">
        <v>443</v>
      </c>
      <c r="H2" s="1125"/>
      <c r="I2" s="1125"/>
      <c r="J2" s="1125"/>
    </row>
    <row r="3" spans="1:13" ht="15" customHeight="1">
      <c r="A3" s="738" t="str">
        <f>'154'!A3</f>
        <v>Địa chỉ: 1A227/1 Ấp 1, Phạm Văn Hai, Bình Chánh, TPHCM</v>
      </c>
      <c r="G3" s="112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1128"/>
      <c r="I3" s="1128"/>
      <c r="J3" s="1128"/>
    </row>
    <row r="4" spans="1:13">
      <c r="G4" s="1128"/>
      <c r="H4" s="1128"/>
      <c r="I4" s="1128"/>
      <c r="J4" s="1128"/>
    </row>
    <row r="5" spans="1:13" ht="27" customHeight="1">
      <c r="A5" s="1126" t="s">
        <v>444</v>
      </c>
      <c r="B5" s="1126"/>
      <c r="C5" s="1126"/>
      <c r="D5" s="1126"/>
      <c r="E5" s="1126"/>
      <c r="F5" s="1126"/>
      <c r="G5" s="1126"/>
      <c r="H5" s="1126"/>
      <c r="I5" s="1126"/>
      <c r="J5" s="1126"/>
      <c r="K5" s="711" t="s">
        <v>173</v>
      </c>
      <c r="L5" s="633">
        <f>IF(L13="Quý I",1,IF(L13="Quý II",4,IF(L13="Quý III",7,IF(L13="Quý IV",10,""))))</f>
        <v>4</v>
      </c>
      <c r="M5" s="633">
        <f>IF(L13="Quý I",3,IF(L13="Quý II",6,IF(L13="Quý III",9,IF(L13="Quý IV",12,""))))</f>
        <v>6</v>
      </c>
    </row>
    <row r="6" spans="1:13">
      <c r="A6" s="1127" t="s">
        <v>445</v>
      </c>
      <c r="B6" s="1127"/>
      <c r="C6" s="1127"/>
      <c r="D6" s="1127"/>
      <c r="E6" s="1127"/>
      <c r="F6" s="1127"/>
      <c r="G6" s="1127"/>
      <c r="H6" s="1127"/>
      <c r="I6" s="1127"/>
      <c r="J6" s="1127"/>
    </row>
    <row r="7" spans="1:13">
      <c r="B7" s="712"/>
      <c r="C7" s="712"/>
      <c r="D7" s="712"/>
      <c r="E7" s="713" t="s">
        <v>457</v>
      </c>
      <c r="G7" s="712"/>
      <c r="H7" s="712"/>
      <c r="I7" s="712"/>
      <c r="J7" s="712"/>
    </row>
    <row r="8" spans="1:13">
      <c r="B8" s="712"/>
      <c r="C8" s="712"/>
      <c r="D8" s="712"/>
      <c r="E8" s="713" t="s">
        <v>447</v>
      </c>
      <c r="G8" s="712"/>
      <c r="H8" s="712"/>
      <c r="I8" s="712"/>
      <c r="J8" s="712"/>
    </row>
    <row r="9" spans="1:13">
      <c r="B9" s="714"/>
      <c r="C9" s="714"/>
      <c r="D9" s="714"/>
      <c r="E9" s="713" t="s">
        <v>448</v>
      </c>
      <c r="G9" s="714"/>
      <c r="H9" s="714"/>
      <c r="I9" s="714"/>
      <c r="J9" s="714"/>
    </row>
    <row r="10" spans="1:13" ht="9.75" customHeight="1">
      <c r="C10" s="1124"/>
      <c r="D10" s="1124"/>
      <c r="E10" s="1124"/>
      <c r="F10" s="1124"/>
      <c r="G10" s="1124"/>
      <c r="H10" s="1124"/>
      <c r="I10" s="1124"/>
      <c r="J10" s="1124"/>
    </row>
    <row r="11" spans="1:13" ht="15.75" customHeight="1">
      <c r="A11" s="1121" t="s">
        <v>20</v>
      </c>
      <c r="B11" s="1122" t="s">
        <v>1</v>
      </c>
      <c r="C11" s="1122"/>
      <c r="D11" s="1121" t="s">
        <v>0</v>
      </c>
      <c r="E11" s="1121" t="s">
        <v>217</v>
      </c>
      <c r="F11" s="1122" t="s">
        <v>458</v>
      </c>
      <c r="G11" s="1122"/>
      <c r="H11" s="1122"/>
      <c r="I11" s="1122"/>
      <c r="J11" s="1122"/>
    </row>
    <row r="12" spans="1:13" ht="15.75" customHeight="1" thickBot="1">
      <c r="A12" s="1121"/>
      <c r="B12" s="1123" t="s">
        <v>15</v>
      </c>
      <c r="C12" s="1123" t="s">
        <v>32</v>
      </c>
      <c r="D12" s="1121"/>
      <c r="E12" s="1121"/>
      <c r="F12" s="1123" t="s">
        <v>450</v>
      </c>
      <c r="G12" s="1123" t="s">
        <v>451</v>
      </c>
      <c r="H12" s="1123"/>
      <c r="I12" s="1123"/>
      <c r="J12" s="1123"/>
    </row>
    <row r="13" spans="1:13" ht="30.75" customHeight="1" thickBot="1">
      <c r="A13" s="1121"/>
      <c r="B13" s="1123"/>
      <c r="C13" s="1123"/>
      <c r="D13" s="1121"/>
      <c r="E13" s="1121"/>
      <c r="F13" s="1123"/>
      <c r="G13" s="715">
        <v>154</v>
      </c>
      <c r="H13" s="715">
        <v>155</v>
      </c>
      <c r="I13" s="715">
        <v>156</v>
      </c>
      <c r="J13" s="715">
        <v>157</v>
      </c>
      <c r="L13" s="737" t="s">
        <v>370</v>
      </c>
    </row>
    <row r="14" spans="1:13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>
        <v>4</v>
      </c>
      <c r="J14" s="716">
        <v>5</v>
      </c>
    </row>
    <row r="15" spans="1:13" ht="20.2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</row>
    <row r="16" spans="1:13" ht="20.25" customHeight="1">
      <c r="A16" s="720">
        <f ca="1">IF(ROWS($1:1)&gt;COUNT(Dong8),"",OFFSET(TH!C$1,SMALL(Dong8,ROWS($1:1)),))</f>
        <v>41367</v>
      </c>
      <c r="B16" s="720" t="str">
        <f ca="1">IF(ROWS($1:1)&gt;COUNT(Dong8),"",OFFSET(TH!D$1,SMALL(Dong8,ROWS($1:1)),))</f>
        <v>XTP</v>
      </c>
      <c r="C16" s="720">
        <f ca="1">IF(ROWS($1:1)&gt;COUNT(Dong8),"",OFFSET(TH!E$1,SMALL(Dong8,ROWS($1:1)),))</f>
        <v>41367</v>
      </c>
      <c r="D16" s="721" t="str">
        <f ca="1">IF(ROWS($1:1)&gt;COUNT(Dong8),"",OFFSET(TH!F$1,SMALL(Dong8,ROWS($1:1)),))</f>
        <v>Thùng (54.5x36.5x23.5)</v>
      </c>
      <c r="E16" s="720" t="str">
        <f ca="1">IF(ROWS($1:1)&gt;COUNT(Dong8),"",OFFSET(TH!M$1,SMALL(Dong8,ROWS($1:1)),))</f>
        <v>155</v>
      </c>
      <c r="F16" s="722">
        <f ca="1">IF(ROWS($1:1)&gt;COUNT(Dong8),"",OFFSET(TH!K$1,SMALL(Dong8,ROWS($1:1)),))</f>
        <v>8183471</v>
      </c>
      <c r="G16" s="722">
        <f ca="1">IF($E16="154",$F16,0)</f>
        <v>0</v>
      </c>
      <c r="H16" s="722">
        <f ca="1">IF($E16="155",$F16,0)</f>
        <v>8183471</v>
      </c>
      <c r="I16" s="722">
        <f ca="1">IF($E16="156",$F16,0)</f>
        <v>0</v>
      </c>
      <c r="J16" s="722">
        <f ca="1">IF($E16="157",$F16,0)</f>
        <v>0</v>
      </c>
    </row>
    <row r="17" spans="1:10" ht="20.25" customHeight="1">
      <c r="A17" s="720">
        <f ca="1">IF(ROWS($1:2)&gt;COUNT(Dong8),"",OFFSET(TH!C$1,SMALL(Dong8,ROWS($1:2)),))</f>
        <v>41368</v>
      </c>
      <c r="B17" s="720" t="str">
        <f ca="1">IF(ROWS($1:2)&gt;COUNT(Dong8),"",OFFSET(TH!D$1,SMALL(Dong8,ROWS($1:2)),))</f>
        <v>XTP</v>
      </c>
      <c r="C17" s="720">
        <f ca="1">IF(ROWS($1:2)&gt;COUNT(Dong8),"",OFFSET(TH!E$1,SMALL(Dong8,ROWS($1:2)),))</f>
        <v>41368</v>
      </c>
      <c r="D17" s="721" t="str">
        <f ca="1">IF(ROWS($1:2)&gt;COUNT(Dong8),"",OFFSET(TH!F$1,SMALL(Dong8,ROWS($1:2)),))</f>
        <v>Thùng (46.5x29.5x14)</v>
      </c>
      <c r="E17" s="720" t="str">
        <f ca="1">IF(ROWS($1:2)&gt;COUNT(Dong8),"",OFFSET(TH!M$1,SMALL(Dong8,ROWS($1:2)),))</f>
        <v>155</v>
      </c>
      <c r="F17" s="722">
        <f ca="1">IF(ROWS($1:2)&gt;COUNT(Dong8),"",OFFSET(TH!K$1,SMALL(Dong8,ROWS($1:2)),))</f>
        <v>3944868</v>
      </c>
      <c r="G17" s="722">
        <f t="shared" ref="G17:G20" ca="1" si="0">IF($E17="154",$F17,0)</f>
        <v>0</v>
      </c>
      <c r="H17" s="722">
        <f t="shared" ref="H17:H20" ca="1" si="1">IF($E17="155",$F17,0)</f>
        <v>3944868</v>
      </c>
      <c r="I17" s="722">
        <f t="shared" ref="I17:I20" ca="1" si="2">IF($E17="156",$F17,0)</f>
        <v>0</v>
      </c>
      <c r="J17" s="722">
        <f t="shared" ref="J17:J20" ca="1" si="3">IF($E17="157",$F17,0)</f>
        <v>0</v>
      </c>
    </row>
    <row r="18" spans="1:10" ht="20.25" customHeight="1">
      <c r="A18" s="720">
        <f ca="1">IF(ROWS($1:3)&gt;COUNT(Dong8),"",OFFSET(TH!C$1,SMALL(Dong8,ROWS($1:3)),))</f>
        <v>41368</v>
      </c>
      <c r="B18" s="720" t="str">
        <f ca="1">IF(ROWS($1:3)&gt;COUNT(Dong8),"",OFFSET(TH!D$1,SMALL(Dong8,ROWS($1:3)),))</f>
        <v>XTP</v>
      </c>
      <c r="C18" s="720">
        <f ca="1">IF(ROWS($1:3)&gt;COUNT(Dong8),"",OFFSET(TH!E$1,SMALL(Dong8,ROWS($1:3)),))</f>
        <v>41368</v>
      </c>
      <c r="D18" s="721" t="str">
        <f ca="1">IF(ROWS($1:3)&gt;COUNT(Dong8),"",OFFSET(TH!F$1,SMALL(Dong8,ROWS($1:3)),))</f>
        <v>Thùng carton</v>
      </c>
      <c r="E18" s="720" t="str">
        <f ca="1">IF(ROWS($1:3)&gt;COUNT(Dong8),"",OFFSET(TH!M$1,SMALL(Dong8,ROWS($1:3)),))</f>
        <v>155</v>
      </c>
      <c r="F18" s="722">
        <f ca="1">IF(ROWS($1:3)&gt;COUNT(Dong8),"",OFFSET(TH!K$1,SMALL(Dong8,ROWS($1:3)),))</f>
        <v>4596478</v>
      </c>
      <c r="G18" s="722">
        <f t="shared" ca="1" si="0"/>
        <v>0</v>
      </c>
      <c r="H18" s="722">
        <f t="shared" ca="1" si="1"/>
        <v>4596478</v>
      </c>
      <c r="I18" s="722">
        <f t="shared" ca="1" si="2"/>
        <v>0</v>
      </c>
      <c r="J18" s="722">
        <f t="shared" ca="1" si="3"/>
        <v>0</v>
      </c>
    </row>
    <row r="19" spans="1:10" ht="20.25" customHeight="1">
      <c r="A19" s="720">
        <f ca="1">IF(ROWS($1:4)&gt;COUNT(Dong8),"",OFFSET(TH!C$1,SMALL(Dong8,ROWS($1:4)),))</f>
        <v>41369</v>
      </c>
      <c r="B19" s="720" t="str">
        <f ca="1">IF(ROWS($1:4)&gt;COUNT(Dong8),"",OFFSET(TH!D$1,SMALL(Dong8,ROWS($1:4)),))</f>
        <v>XTP</v>
      </c>
      <c r="C19" s="720">
        <f ca="1">IF(ROWS($1:4)&gt;COUNT(Dong8),"",OFFSET(TH!E$1,SMALL(Dong8,ROWS($1:4)),))</f>
        <v>41369</v>
      </c>
      <c r="D19" s="721" t="str">
        <f ca="1">IF(ROWS($1:4)&gt;COUNT(Dong8),"",OFFSET(TH!F$1,SMALL(Dong8,ROWS($1:4)),))</f>
        <v>Thùng carton</v>
      </c>
      <c r="E19" s="720" t="str">
        <f ca="1">IF(ROWS($1:4)&gt;COUNT(Dong8),"",OFFSET(TH!M$1,SMALL(Dong8,ROWS($1:4)),))</f>
        <v>155</v>
      </c>
      <c r="F19" s="722">
        <f ca="1">IF(ROWS($1:4)&gt;COUNT(Dong8),"",OFFSET(TH!K$1,SMALL(Dong8,ROWS($1:4)),))</f>
        <v>5700868</v>
      </c>
      <c r="G19" s="722">
        <f t="shared" ca="1" si="0"/>
        <v>0</v>
      </c>
      <c r="H19" s="722">
        <f t="shared" ca="1" si="1"/>
        <v>5700868</v>
      </c>
      <c r="I19" s="722">
        <f t="shared" ca="1" si="2"/>
        <v>0</v>
      </c>
      <c r="J19" s="722">
        <f t="shared" ca="1" si="3"/>
        <v>0</v>
      </c>
    </row>
    <row r="20" spans="1:10" ht="20.25" customHeight="1">
      <c r="A20" s="720">
        <f ca="1">IF(ROWS($1:5)&gt;COUNT(Dong8),"",OFFSET(TH!C$1,SMALL(Dong8,ROWS($1:5)),))</f>
        <v>41369</v>
      </c>
      <c r="B20" s="720" t="str">
        <f ca="1">IF(ROWS($1:5)&gt;COUNT(Dong8),"",OFFSET(TH!D$1,SMALL(Dong8,ROWS($1:5)),))</f>
        <v>XTP</v>
      </c>
      <c r="C20" s="720">
        <f ca="1">IF(ROWS($1:5)&gt;COUNT(Dong8),"",OFFSET(TH!E$1,SMALL(Dong8,ROWS($1:5)),))</f>
        <v>41369</v>
      </c>
      <c r="D20" s="721" t="str">
        <f ca="1">IF(ROWS($1:5)&gt;COUNT(Dong8),"",OFFSET(TH!F$1,SMALL(Dong8,ROWS($1:5)),))</f>
        <v>Thùng (55,5x33x21,5)</v>
      </c>
      <c r="E20" s="720" t="str">
        <f ca="1">IF(ROWS($1:5)&gt;COUNT(Dong8),"",OFFSET(TH!M$1,SMALL(Dong8,ROWS($1:5)),))</f>
        <v>155</v>
      </c>
      <c r="F20" s="722">
        <f ca="1">IF(ROWS($1:5)&gt;COUNT(Dong8),"",OFFSET(TH!K$1,SMALL(Dong8,ROWS($1:5)),))</f>
        <v>12403040</v>
      </c>
      <c r="G20" s="722">
        <f t="shared" ca="1" si="0"/>
        <v>0</v>
      </c>
      <c r="H20" s="722">
        <f t="shared" ca="1" si="1"/>
        <v>12403040</v>
      </c>
      <c r="I20" s="722">
        <f t="shared" ca="1" si="2"/>
        <v>0</v>
      </c>
      <c r="J20" s="722">
        <f t="shared" ca="1" si="3"/>
        <v>0</v>
      </c>
    </row>
    <row r="21" spans="1:10" ht="20.25" customHeight="1">
      <c r="A21" s="720"/>
      <c r="B21" s="723"/>
      <c r="C21" s="720"/>
      <c r="D21" s="724"/>
      <c r="E21" s="725"/>
      <c r="F21" s="726"/>
      <c r="G21" s="726"/>
      <c r="H21" s="726"/>
      <c r="I21" s="726"/>
      <c r="J21" s="726"/>
    </row>
    <row r="22" spans="1:10" ht="20.25" customHeight="1">
      <c r="A22" s="720"/>
      <c r="B22" s="723"/>
      <c r="C22" s="720"/>
      <c r="D22" s="718" t="s">
        <v>133</v>
      </c>
      <c r="E22" s="717" t="s">
        <v>19</v>
      </c>
      <c r="F22" s="719">
        <f ca="1">SUM(F15:F21)</f>
        <v>34828725</v>
      </c>
      <c r="G22" s="719">
        <f ca="1">SUM(G15:G21)</f>
        <v>0</v>
      </c>
      <c r="H22" s="719">
        <f ca="1">SUM(H15:H21)</f>
        <v>34828725</v>
      </c>
      <c r="I22" s="719">
        <f ca="1">SUM(I15:I21)</f>
        <v>0</v>
      </c>
      <c r="J22" s="719">
        <f ca="1">SUM(J15:J21)</f>
        <v>0</v>
      </c>
    </row>
    <row r="23" spans="1:10" ht="20.25" customHeight="1">
      <c r="A23" s="727"/>
      <c r="B23" s="725"/>
      <c r="C23" s="727"/>
      <c r="D23" s="728" t="s">
        <v>459</v>
      </c>
      <c r="E23" s="723"/>
      <c r="F23" s="729">
        <f ca="1">SUM(G23:J23)</f>
        <v>34828725</v>
      </c>
      <c r="G23" s="729">
        <f ca="1">G22</f>
        <v>0</v>
      </c>
      <c r="H23" s="729">
        <f ca="1">H22</f>
        <v>34828725</v>
      </c>
      <c r="I23" s="729">
        <f ca="1">I22</f>
        <v>0</v>
      </c>
      <c r="J23" s="729">
        <f ca="1">J22</f>
        <v>0</v>
      </c>
    </row>
    <row r="24" spans="1:10" ht="20.25" customHeight="1">
      <c r="A24" s="730"/>
      <c r="B24" s="730"/>
      <c r="C24" s="730"/>
      <c r="D24" s="731" t="s">
        <v>10</v>
      </c>
      <c r="E24" s="730" t="s">
        <v>19</v>
      </c>
      <c r="F24" s="732">
        <f ca="1">F15+F22-F23</f>
        <v>0</v>
      </c>
      <c r="G24" s="732">
        <f ca="1">G15+G22-G23</f>
        <v>0</v>
      </c>
      <c r="H24" s="732">
        <f ca="1">H15+H22-H23</f>
        <v>0</v>
      </c>
      <c r="I24" s="732">
        <f ca="1">I15+I22-I23</f>
        <v>0</v>
      </c>
      <c r="J24" s="732">
        <f ca="1">J15+J22-J23</f>
        <v>0</v>
      </c>
    </row>
    <row r="26" spans="1:10">
      <c r="B26" s="733"/>
      <c r="C26" s="713" t="s">
        <v>460</v>
      </c>
    </row>
    <row r="27" spans="1:10">
      <c r="C27" s="713" t="str">
        <f ca="1">"- Ngày mở sổ: "&amp;"01/"&amp;MONTH(A16)&amp;"/ "&amp;YEAR(A16)</f>
        <v>- Ngày mở sổ: 01/4/ 2013</v>
      </c>
    </row>
    <row r="28" spans="1:10">
      <c r="E28" s="712"/>
      <c r="F28" s="712"/>
      <c r="G28" s="712"/>
      <c r="H28" s="712"/>
      <c r="I28" s="1081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2013</v>
      </c>
      <c r="J28" s="1081"/>
    </row>
    <row r="29" spans="1:10">
      <c r="B29" s="712"/>
      <c r="C29" s="709" t="s">
        <v>11</v>
      </c>
      <c r="D29" s="712"/>
      <c r="E29" s="712"/>
      <c r="F29" s="712"/>
      <c r="G29" s="712"/>
      <c r="H29" s="712"/>
      <c r="I29" s="1081" t="s">
        <v>12</v>
      </c>
      <c r="J29" s="1081"/>
    </row>
    <row r="30" spans="1:10">
      <c r="B30" s="712"/>
      <c r="C30" s="709" t="s">
        <v>13</v>
      </c>
      <c r="D30" s="712"/>
      <c r="E30" s="712"/>
      <c r="F30" s="712"/>
      <c r="G30" s="712"/>
      <c r="H30" s="712"/>
      <c r="I30" s="712"/>
      <c r="J30" s="712" t="s">
        <v>13</v>
      </c>
    </row>
  </sheetData>
  <mergeCells count="16"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  <mergeCell ref="G3:J4"/>
    <mergeCell ref="G2:J2"/>
    <mergeCell ref="F12:F13"/>
    <mergeCell ref="G12:J12"/>
    <mergeCell ref="I28:J28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09" customWidth="1"/>
    <col min="3" max="3" width="8.5703125" style="709" customWidth="1"/>
    <col min="4" max="4" width="51.42578125" style="709" customWidth="1"/>
    <col min="5" max="5" width="8" style="709" customWidth="1"/>
    <col min="6" max="6" width="12.28515625" style="709" bestFit="1" customWidth="1"/>
    <col min="7" max="7" width="10.140625" style="709" customWidth="1"/>
    <col min="8" max="8" width="10.7109375" style="709" customWidth="1"/>
    <col min="9" max="9" width="11.42578125" style="709" customWidth="1"/>
    <col min="10" max="10" width="11.5703125" style="709" customWidth="1"/>
    <col min="11" max="11" width="11.42578125" style="709" customWidth="1"/>
    <col min="12" max="12" width="9.42578125" style="709" customWidth="1"/>
    <col min="13" max="13" width="6.7109375" style="709" customWidth="1"/>
    <col min="14" max="16384" width="9.140625" style="709"/>
  </cols>
  <sheetData>
    <row r="2" spans="1:15">
      <c r="A2" s="708" t="str">
        <f>'632'!A2</f>
        <v>Đơn vị: CÔNG TY TNHH SX TM KIM DUNG PHÁT</v>
      </c>
      <c r="F2" s="710"/>
      <c r="G2" s="710"/>
      <c r="H2" s="1125" t="s">
        <v>443</v>
      </c>
      <c r="I2" s="1125"/>
      <c r="J2" s="1125"/>
      <c r="K2" s="1125"/>
      <c r="L2" s="734"/>
    </row>
    <row r="3" spans="1:15" ht="15" customHeight="1">
      <c r="A3" s="738" t="str">
        <f>'632'!A3</f>
        <v>Địa chỉ: 1A227/1 Ấp 1, Phạm Văn Hai, Bình Chánh, TPHCM</v>
      </c>
      <c r="H3" s="1128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28"/>
      <c r="J3" s="1128"/>
      <c r="K3" s="1128"/>
      <c r="L3" s="712"/>
    </row>
    <row r="4" spans="1:15">
      <c r="H4" s="1128"/>
      <c r="I4" s="1128"/>
      <c r="J4" s="1128"/>
      <c r="K4" s="1128"/>
      <c r="L4" s="712"/>
    </row>
    <row r="5" spans="1:15" ht="19.5" customHeight="1">
      <c r="A5" s="1126" t="s">
        <v>444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711" t="s">
        <v>83</v>
      </c>
      <c r="N5" s="633">
        <f>IF(N13="Quý I",1,IF(N13="Quý II",4,IF(N13="Quý III",7,IF(N13="Quý IV",10,""))))</f>
        <v>4</v>
      </c>
      <c r="O5" s="633">
        <f>IF(N13="Quý I",3,IF(N13="Quý II",6,IF(N13="Quý III",9,IF(N13="Quý IV",12,""))))</f>
        <v>6</v>
      </c>
    </row>
    <row r="6" spans="1:15">
      <c r="A6" s="1127" t="s">
        <v>445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</row>
    <row r="7" spans="1:15">
      <c r="B7" s="712"/>
      <c r="C7" s="712"/>
      <c r="D7" s="712"/>
      <c r="E7" s="713" t="s">
        <v>461</v>
      </c>
      <c r="G7" s="712"/>
      <c r="H7" s="712"/>
      <c r="I7" s="712"/>
      <c r="J7" s="712"/>
      <c r="K7" s="712"/>
      <c r="L7" s="712"/>
      <c r="M7" s="739"/>
    </row>
    <row r="8" spans="1:15">
      <c r="B8" s="712"/>
      <c r="C8" s="712"/>
      <c r="D8" s="712"/>
      <c r="E8" s="713" t="s">
        <v>447</v>
      </c>
      <c r="G8" s="712"/>
      <c r="H8" s="712"/>
      <c r="I8" s="712"/>
      <c r="J8" s="712"/>
      <c r="K8" s="712"/>
      <c r="L8" s="712"/>
    </row>
    <row r="9" spans="1:15">
      <c r="B9" s="714"/>
      <c r="C9" s="714"/>
      <c r="D9" s="714"/>
      <c r="E9" s="713" t="s">
        <v>448</v>
      </c>
      <c r="G9" s="714"/>
      <c r="H9" s="714"/>
      <c r="I9" s="714"/>
      <c r="J9" s="714"/>
      <c r="K9" s="714"/>
      <c r="L9" s="714"/>
    </row>
    <row r="10" spans="1:15" ht="9" customHeight="1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</row>
    <row r="11" spans="1:15" ht="15.75" customHeight="1">
      <c r="A11" s="1121" t="s">
        <v>20</v>
      </c>
      <c r="B11" s="1122" t="s">
        <v>1</v>
      </c>
      <c r="C11" s="1122"/>
      <c r="D11" s="1121" t="s">
        <v>0</v>
      </c>
      <c r="E11" s="1121" t="s">
        <v>217</v>
      </c>
      <c r="F11" s="1122" t="s">
        <v>462</v>
      </c>
      <c r="G11" s="1122"/>
      <c r="H11" s="1122"/>
      <c r="I11" s="1122"/>
      <c r="J11" s="1122"/>
      <c r="K11" s="1122"/>
      <c r="L11" s="1122"/>
    </row>
    <row r="12" spans="1:15" ht="15.75" customHeight="1" thickBot="1">
      <c r="A12" s="1121"/>
      <c r="B12" s="1123" t="s">
        <v>15</v>
      </c>
      <c r="C12" s="1123" t="s">
        <v>32</v>
      </c>
      <c r="D12" s="1121"/>
      <c r="E12" s="1121"/>
      <c r="F12" s="1123" t="s">
        <v>450</v>
      </c>
      <c r="G12" s="1123" t="s">
        <v>451</v>
      </c>
      <c r="H12" s="1123"/>
      <c r="I12" s="1123"/>
      <c r="J12" s="1123"/>
      <c r="K12" s="1123"/>
      <c r="L12" s="1123"/>
    </row>
    <row r="13" spans="1:15" ht="29.25" customHeight="1" thickBot="1">
      <c r="A13" s="1121"/>
      <c r="B13" s="1123"/>
      <c r="C13" s="1123"/>
      <c r="D13" s="1121"/>
      <c r="E13" s="1121"/>
      <c r="F13" s="1123"/>
      <c r="G13" s="735" t="s">
        <v>47</v>
      </c>
      <c r="H13" s="735" t="s">
        <v>24</v>
      </c>
      <c r="I13" s="735" t="s">
        <v>63</v>
      </c>
      <c r="J13" s="735" t="s">
        <v>268</v>
      </c>
      <c r="K13" s="735"/>
      <c r="L13" s="735"/>
      <c r="N13" s="737" t="s">
        <v>370</v>
      </c>
    </row>
    <row r="14" spans="1:15">
      <c r="A14" s="716" t="s">
        <v>2</v>
      </c>
      <c r="B14" s="716" t="s">
        <v>3</v>
      </c>
      <c r="C14" s="716" t="s">
        <v>4</v>
      </c>
      <c r="D14" s="716" t="s">
        <v>5</v>
      </c>
      <c r="E14" s="716" t="s">
        <v>6</v>
      </c>
      <c r="F14" s="716">
        <v>1</v>
      </c>
      <c r="G14" s="716">
        <v>2</v>
      </c>
      <c r="H14" s="716">
        <v>3</v>
      </c>
      <c r="I14" s="716">
        <v>4</v>
      </c>
      <c r="J14" s="716">
        <v>5</v>
      </c>
      <c r="K14" s="716">
        <v>6</v>
      </c>
      <c r="L14" s="716">
        <v>7</v>
      </c>
    </row>
    <row r="15" spans="1:15" ht="21.7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</row>
    <row r="16" spans="1:15" ht="21.75" customHeight="1">
      <c r="A16" s="720">
        <f ca="1">IF(ROWS($1:1)&gt;COUNT(Dong7),"",OFFSET(TH!C$1,SMALL(Dong7,ROWS($1:1)),))</f>
        <v>41394</v>
      </c>
      <c r="B16" s="720" t="str">
        <f ca="1">IF(ROWS($1:1)&gt;COUNT(Dong7),"",OFFSET(TH!D$1,SMALL(Dong7,ROWS($1:1)),))</f>
        <v>CTGS</v>
      </c>
      <c r="C16" s="720">
        <f ca="1">IF(ROWS($1:1)&gt;COUNT(Dong7),"",OFFSET(TH!E$1,SMALL(Dong7,ROWS($1:1)),))</f>
        <v>41394</v>
      </c>
      <c r="D16" s="721" t="str">
        <f ca="1">IF(ROWS($1:1)&gt;COUNT(Dong7),"",OFFSET(TH!F$1,SMALL(Dong7,ROWS($1:1)),))</f>
        <v>Tiền lương BP Văn phòng</v>
      </c>
      <c r="E16" s="720" t="str">
        <f ca="1">IF(ROWS($1:1)&gt;COUNT(Dong7),"",OFFSET(TH!M$1,SMALL(Dong7,ROWS($1:1)),))</f>
        <v>3341</v>
      </c>
      <c r="F16" s="722">
        <f ca="1">IF(ROWS($1:1)&gt;COUNT(Dong7),"",OFFSET(TH!K$1,SMALL(Dong7,ROWS($1:1)),))</f>
        <v>5850000</v>
      </c>
      <c r="G16" s="722">
        <f t="shared" ref="G16:J30" ca="1" si="0">IF($E16=G$13,$F16,0)</f>
        <v>0</v>
      </c>
      <c r="H16" s="722">
        <f t="shared" ca="1" si="0"/>
        <v>0</v>
      </c>
      <c r="I16" s="722">
        <f t="shared" ca="1" si="0"/>
        <v>0</v>
      </c>
      <c r="J16" s="722">
        <f t="shared" ca="1" si="0"/>
        <v>5850000</v>
      </c>
      <c r="K16" s="722">
        <f ca="1">IF(LEFT($E16,3)=K$13,$F16,0)</f>
        <v>0</v>
      </c>
      <c r="L16" s="722">
        <f ca="1">IF(LEFT($E16,3)=L$13,$F16,0)</f>
        <v>0</v>
      </c>
    </row>
    <row r="17" spans="1:12" ht="21.75" customHeight="1">
      <c r="A17" s="720">
        <f ca="1">IF(ROWS($1:2)&gt;COUNT(Dong7),"",OFFSET(TH!C$1,SMALL(Dong7,ROWS($1:2)),))</f>
        <v>41425</v>
      </c>
      <c r="B17" s="720" t="str">
        <f ca="1">IF(ROWS($1:2)&gt;COUNT(Dong7),"",OFFSET(TH!D$1,SMALL(Dong7,ROWS($1:2)),))</f>
        <v>CTGS</v>
      </c>
      <c r="C17" s="720">
        <f ca="1">IF(ROWS($1:2)&gt;COUNT(Dong7),"",OFFSET(TH!E$1,SMALL(Dong7,ROWS($1:2)),))</f>
        <v>41425</v>
      </c>
      <c r="D17" s="721" t="str">
        <f ca="1">IF(ROWS($1:2)&gt;COUNT(Dong7),"",OFFSET(TH!F$1,SMALL(Dong7,ROWS($1:2)),))</f>
        <v>Tiền lương BP Văn phòng</v>
      </c>
      <c r="E17" s="720" t="str">
        <f ca="1">IF(ROWS($1:2)&gt;COUNT(Dong7),"",OFFSET(TH!M$1,SMALL(Dong7,ROWS($1:2)),))</f>
        <v>3341</v>
      </c>
      <c r="F17" s="722">
        <f ca="1">IF(ROWS($1:2)&gt;COUNT(Dong7),"",OFFSET(TH!K$1,SMALL(Dong7,ROWS($1:2)),))</f>
        <v>5880000</v>
      </c>
      <c r="G17" s="722">
        <f t="shared" ca="1" si="0"/>
        <v>0</v>
      </c>
      <c r="H17" s="722">
        <f t="shared" ca="1" si="0"/>
        <v>0</v>
      </c>
      <c r="I17" s="722">
        <f t="shared" ca="1" si="0"/>
        <v>0</v>
      </c>
      <c r="J17" s="722">
        <f t="shared" ca="1" si="0"/>
        <v>5880000</v>
      </c>
      <c r="K17" s="722">
        <f t="shared" ref="K17:L30" ca="1" si="1">IF(LEFT($E17,3)=K$13,$F17,0)</f>
        <v>0</v>
      </c>
      <c r="L17" s="722">
        <f t="shared" ca="1" si="1"/>
        <v>0</v>
      </c>
    </row>
    <row r="18" spans="1:12" ht="21.75" customHeight="1">
      <c r="A18" s="720">
        <f ca="1">IF(ROWS($1:3)&gt;COUNT(Dong7),"",OFFSET(TH!C$1,SMALL(Dong7,ROWS($1:3)),))</f>
        <v>41455</v>
      </c>
      <c r="B18" s="720" t="str">
        <f ca="1">IF(ROWS($1:3)&gt;COUNT(Dong7),"",OFFSET(TH!D$1,SMALL(Dong7,ROWS($1:3)),))</f>
        <v>CTGS</v>
      </c>
      <c r="C18" s="720">
        <f ca="1">IF(ROWS($1:3)&gt;COUNT(Dong7),"",OFFSET(TH!E$1,SMALL(Dong7,ROWS($1:3)),))</f>
        <v>41455</v>
      </c>
      <c r="D18" s="721" t="str">
        <f ca="1">IF(ROWS($1:3)&gt;COUNT(Dong7),"",OFFSET(TH!F$1,SMALL(Dong7,ROWS($1:3)),))</f>
        <v>Tiền lương BP Văn phòng</v>
      </c>
      <c r="E18" s="720" t="str">
        <f ca="1">IF(ROWS($1:3)&gt;COUNT(Dong7),"",OFFSET(TH!M$1,SMALL(Dong7,ROWS($1:3)),))</f>
        <v>3341</v>
      </c>
      <c r="F18" s="722">
        <f ca="1">IF(ROWS($1:3)&gt;COUNT(Dong7),"",OFFSET(TH!K$1,SMALL(Dong7,ROWS($1:3)),))</f>
        <v>5850000</v>
      </c>
      <c r="G18" s="722">
        <f t="shared" ca="1" si="0"/>
        <v>0</v>
      </c>
      <c r="H18" s="722">
        <f t="shared" ca="1" si="0"/>
        <v>0</v>
      </c>
      <c r="I18" s="722">
        <f t="shared" ca="1" si="0"/>
        <v>0</v>
      </c>
      <c r="J18" s="722">
        <f t="shared" ca="1" si="0"/>
        <v>5850000</v>
      </c>
      <c r="K18" s="722">
        <f t="shared" ca="1" si="1"/>
        <v>0</v>
      </c>
      <c r="L18" s="722">
        <f t="shared" ca="1" si="1"/>
        <v>0</v>
      </c>
    </row>
    <row r="19" spans="1:12" ht="21.75" customHeight="1">
      <c r="A19" s="720">
        <f ca="1">IF(ROWS($1:4)&gt;COUNT(Dong7),"",OFFSET(TH!C$1,SMALL(Dong7,ROWS($1:4)),))</f>
        <v>41365</v>
      </c>
      <c r="B19" s="720" t="str">
        <f ca="1">IF(ROWS($1:4)&gt;COUNT(Dong7),"",OFFSET(TH!D$1,SMALL(Dong7,ROWS($1:4)),))</f>
        <v>GBN</v>
      </c>
      <c r="C19" s="720">
        <f ca="1">IF(ROWS($1:4)&gt;COUNT(Dong7),"",OFFSET(TH!E$1,SMALL(Dong7,ROWS($1:4)),))</f>
        <v>41365</v>
      </c>
      <c r="D19" s="721" t="str">
        <f ca="1">IF(ROWS($1:4)&gt;COUNT(Dong7),"",OFFSET(TH!F$1,SMALL(Dong7,ROWS($1:4)),))</f>
        <v>Thu phí duy trì tài khoản</v>
      </c>
      <c r="E19" s="720" t="str">
        <f ca="1">IF(ROWS($1:4)&gt;COUNT(Dong7),"",OFFSET(TH!M$1,SMALL(Dong7,ROWS($1:4)),))</f>
        <v>1121</v>
      </c>
      <c r="F19" s="722">
        <f ca="1">IF(ROWS($1:4)&gt;COUNT(Dong7),"",OFFSET(TH!K$1,SMALL(Dong7,ROWS($1:4)),))</f>
        <v>30000</v>
      </c>
      <c r="G19" s="722">
        <f t="shared" ca="1" si="0"/>
        <v>0</v>
      </c>
      <c r="H19" s="722">
        <f t="shared" ca="1" si="0"/>
        <v>30000</v>
      </c>
      <c r="I19" s="722">
        <f t="shared" ca="1" si="0"/>
        <v>0</v>
      </c>
      <c r="J19" s="722">
        <f t="shared" ca="1" si="0"/>
        <v>0</v>
      </c>
      <c r="K19" s="722">
        <f t="shared" ca="1" si="1"/>
        <v>0</v>
      </c>
      <c r="L19" s="722">
        <f t="shared" ca="1" si="1"/>
        <v>0</v>
      </c>
    </row>
    <row r="20" spans="1:12" ht="21.75" customHeight="1">
      <c r="A20" s="720">
        <f ca="1">IF(ROWS($1:5)&gt;COUNT(Dong7),"",OFFSET(TH!C$1,SMALL(Dong7,ROWS($1:5)),))</f>
        <v>41391</v>
      </c>
      <c r="B20" s="720" t="str">
        <f ca="1">IF(ROWS($1:5)&gt;COUNT(Dong7),"",OFFSET(TH!D$1,SMALL(Dong7,ROWS($1:5)),))</f>
        <v>GBN</v>
      </c>
      <c r="C20" s="720">
        <f ca="1">IF(ROWS($1:5)&gt;COUNT(Dong7),"",OFFSET(TH!E$1,SMALL(Dong7,ROWS($1:5)),))</f>
        <v>41391</v>
      </c>
      <c r="D20" s="721" t="str">
        <f ca="1">IF(ROWS($1:5)&gt;COUNT(Dong7),"",OFFSET(TH!F$1,SMALL(Dong7,ROWS($1:5)),))</f>
        <v>Phí chuyển tiền</v>
      </c>
      <c r="E20" s="720" t="str">
        <f ca="1">IF(ROWS($1:5)&gt;COUNT(Dong7),"",OFFSET(TH!M$1,SMALL(Dong7,ROWS($1:5)),))</f>
        <v>1121</v>
      </c>
      <c r="F20" s="722">
        <f ca="1">IF(ROWS($1:5)&gt;COUNT(Dong7),"",OFFSET(TH!K$1,SMALL(Dong7,ROWS($1:5)),))</f>
        <v>20000</v>
      </c>
      <c r="G20" s="722">
        <f t="shared" ca="1" si="0"/>
        <v>0</v>
      </c>
      <c r="H20" s="722">
        <f t="shared" ca="1" si="0"/>
        <v>20000</v>
      </c>
      <c r="I20" s="722">
        <f t="shared" ca="1" si="0"/>
        <v>0</v>
      </c>
      <c r="J20" s="722">
        <f t="shared" ca="1" si="0"/>
        <v>0</v>
      </c>
      <c r="K20" s="722">
        <f t="shared" ca="1" si="1"/>
        <v>0</v>
      </c>
      <c r="L20" s="722">
        <f t="shared" ca="1" si="1"/>
        <v>0</v>
      </c>
    </row>
    <row r="21" spans="1:12" ht="21.75" customHeight="1">
      <c r="A21" s="720">
        <f ca="1">IF(ROWS($1:6)&gt;COUNT(Dong7),"",OFFSET(TH!C$1,SMALL(Dong7,ROWS($1:6)),))</f>
        <v>41391</v>
      </c>
      <c r="B21" s="720" t="str">
        <f ca="1">IF(ROWS($1:6)&gt;COUNT(Dong7),"",OFFSET(TH!D$1,SMALL(Dong7,ROWS($1:6)),))</f>
        <v>GBN</v>
      </c>
      <c r="C21" s="720">
        <f ca="1">IF(ROWS($1:6)&gt;COUNT(Dong7),"",OFFSET(TH!E$1,SMALL(Dong7,ROWS($1:6)),))</f>
        <v>41391</v>
      </c>
      <c r="D21" s="721" t="str">
        <f ca="1">IF(ROWS($1:6)&gt;COUNT(Dong7),"",OFFSET(TH!F$1,SMALL(Dong7,ROWS($1:6)),))</f>
        <v>Phí kiểm đếm</v>
      </c>
      <c r="E21" s="720" t="str">
        <f ca="1">IF(ROWS($1:6)&gt;COUNT(Dong7),"",OFFSET(TH!M$1,SMALL(Dong7,ROWS($1:6)),))</f>
        <v>1121</v>
      </c>
      <c r="F21" s="722">
        <f ca="1">IF(ROWS($1:6)&gt;COUNT(Dong7),"",OFFSET(TH!K$1,SMALL(Dong7,ROWS($1:6)),))</f>
        <v>15000</v>
      </c>
      <c r="G21" s="722">
        <f t="shared" ca="1" si="0"/>
        <v>0</v>
      </c>
      <c r="H21" s="722">
        <f t="shared" ca="1" si="0"/>
        <v>15000</v>
      </c>
      <c r="I21" s="722">
        <f t="shared" ca="1" si="0"/>
        <v>0</v>
      </c>
      <c r="J21" s="722">
        <f t="shared" ca="1" si="0"/>
        <v>0</v>
      </c>
      <c r="K21" s="722">
        <f t="shared" ca="1" si="1"/>
        <v>0</v>
      </c>
      <c r="L21" s="722">
        <f t="shared" ca="1" si="1"/>
        <v>0</v>
      </c>
    </row>
    <row r="22" spans="1:12" ht="21.75" customHeight="1">
      <c r="A22" s="720">
        <f ca="1">IF(ROWS($1:7)&gt;COUNT(Dong7),"",OFFSET(TH!C$1,SMALL(Dong7,ROWS($1:7)),))</f>
        <v>41403</v>
      </c>
      <c r="B22" s="720" t="str">
        <f ca="1">IF(ROWS($1:7)&gt;COUNT(Dong7),"",OFFSET(TH!D$1,SMALL(Dong7,ROWS($1:7)),))</f>
        <v>C03</v>
      </c>
      <c r="C22" s="720">
        <f ca="1">IF(ROWS($1:7)&gt;COUNT(Dong7),"",OFFSET(TH!E$1,SMALL(Dong7,ROWS($1:7)),))</f>
        <v>41403</v>
      </c>
      <c r="D22" s="721" t="str">
        <f ca="1">IF(ROWS($1:7)&gt;COUNT(Dong7),"",OFFSET(TH!F$1,SMALL(Dong7,ROWS($1:7)),))</f>
        <v>Văn phòng phẩm</v>
      </c>
      <c r="E22" s="720" t="str">
        <f ca="1">IF(ROWS($1:7)&gt;COUNT(Dong7),"",OFFSET(TH!M$1,SMALL(Dong7,ROWS($1:7)),))</f>
        <v>1111</v>
      </c>
      <c r="F22" s="722">
        <f ca="1">IF(ROWS($1:7)&gt;COUNT(Dong7),"",OFFSET(TH!K$1,SMALL(Dong7,ROWS($1:7)),))</f>
        <v>556300</v>
      </c>
      <c r="G22" s="722">
        <f t="shared" ca="1" si="0"/>
        <v>556300</v>
      </c>
      <c r="H22" s="722">
        <f t="shared" ca="1" si="0"/>
        <v>0</v>
      </c>
      <c r="I22" s="722">
        <f t="shared" ca="1" si="0"/>
        <v>0</v>
      </c>
      <c r="J22" s="722">
        <f t="shared" ca="1" si="0"/>
        <v>0</v>
      </c>
      <c r="K22" s="722">
        <f t="shared" ca="1" si="1"/>
        <v>0</v>
      </c>
      <c r="L22" s="722">
        <f t="shared" ca="1" si="1"/>
        <v>0</v>
      </c>
    </row>
    <row r="23" spans="1:12" ht="21.75" customHeight="1">
      <c r="A23" s="720">
        <f ca="1">IF(ROWS($1:8)&gt;COUNT(Dong7),"",OFFSET(TH!C$1,SMALL(Dong7,ROWS($1:8)),))</f>
        <v>41411</v>
      </c>
      <c r="B23" s="720" t="str">
        <f ca="1">IF(ROWS($1:8)&gt;COUNT(Dong7),"",OFFSET(TH!D$1,SMALL(Dong7,ROWS($1:8)),))</f>
        <v>GBN</v>
      </c>
      <c r="C23" s="720">
        <f ca="1">IF(ROWS($1:8)&gt;COUNT(Dong7),"",OFFSET(TH!E$1,SMALL(Dong7,ROWS($1:8)),))</f>
        <v>41411</v>
      </c>
      <c r="D23" s="721" t="str">
        <f ca="1">IF(ROWS($1:8)&gt;COUNT(Dong7),"",OFFSET(TH!F$1,SMALL(Dong7,ROWS($1:8)),))</f>
        <v>Phí chuyển tiền</v>
      </c>
      <c r="E23" s="720" t="str">
        <f ca="1">IF(ROWS($1:8)&gt;COUNT(Dong7),"",OFFSET(TH!M$1,SMALL(Dong7,ROWS($1:8)),))</f>
        <v>1121</v>
      </c>
      <c r="F23" s="722">
        <f ca="1">IF(ROWS($1:8)&gt;COUNT(Dong7),"",OFFSET(TH!K$1,SMALL(Dong7,ROWS($1:8)),))</f>
        <v>20000</v>
      </c>
      <c r="G23" s="722">
        <f t="shared" ca="1" si="0"/>
        <v>0</v>
      </c>
      <c r="H23" s="722">
        <f t="shared" ca="1" si="0"/>
        <v>20000</v>
      </c>
      <c r="I23" s="722">
        <f t="shared" ca="1" si="0"/>
        <v>0</v>
      </c>
      <c r="J23" s="722">
        <f t="shared" ca="1" si="0"/>
        <v>0</v>
      </c>
      <c r="K23" s="722">
        <f t="shared" ca="1" si="1"/>
        <v>0</v>
      </c>
      <c r="L23" s="722">
        <f t="shared" ca="1" si="1"/>
        <v>0</v>
      </c>
    </row>
    <row r="24" spans="1:12" ht="21.75" customHeight="1">
      <c r="A24" s="720">
        <f ca="1">IF(ROWS($1:9)&gt;COUNT(Dong7),"",OFFSET(TH!C$1,SMALL(Dong7,ROWS($1:9)),))</f>
        <v>41411</v>
      </c>
      <c r="B24" s="720" t="str">
        <f ca="1">IF(ROWS($1:9)&gt;COUNT(Dong7),"",OFFSET(TH!D$1,SMALL(Dong7,ROWS($1:9)),))</f>
        <v>GBN</v>
      </c>
      <c r="C24" s="720">
        <f ca="1">IF(ROWS($1:9)&gt;COUNT(Dong7),"",OFFSET(TH!E$1,SMALL(Dong7,ROWS($1:9)),))</f>
        <v>41411</v>
      </c>
      <c r="D24" s="721" t="str">
        <f ca="1">IF(ROWS($1:9)&gt;COUNT(Dong7),"",OFFSET(TH!F$1,SMALL(Dong7,ROWS($1:9)),))</f>
        <v>Phí bán 3 cuốn sec</v>
      </c>
      <c r="E24" s="720" t="str">
        <f ca="1">IF(ROWS($1:9)&gt;COUNT(Dong7),"",OFFSET(TH!M$1,SMALL(Dong7,ROWS($1:9)),))</f>
        <v>1121</v>
      </c>
      <c r="F24" s="722">
        <f ca="1">IF(ROWS($1:9)&gt;COUNT(Dong7),"",OFFSET(TH!K$1,SMALL(Dong7,ROWS($1:9)),))</f>
        <v>15000</v>
      </c>
      <c r="G24" s="722">
        <f t="shared" ca="1" si="0"/>
        <v>0</v>
      </c>
      <c r="H24" s="722">
        <f t="shared" ca="1" si="0"/>
        <v>15000</v>
      </c>
      <c r="I24" s="722">
        <f t="shared" ca="1" si="0"/>
        <v>0</v>
      </c>
      <c r="J24" s="722">
        <f t="shared" ca="1" si="0"/>
        <v>0</v>
      </c>
      <c r="K24" s="722">
        <f t="shared" ca="1" si="1"/>
        <v>0</v>
      </c>
      <c r="L24" s="722">
        <f t="shared" ca="1" si="1"/>
        <v>0</v>
      </c>
    </row>
    <row r="25" spans="1:12" ht="21.75" customHeight="1">
      <c r="A25" s="720">
        <f ca="1">IF(ROWS($1:10)&gt;COUNT(Dong7),"",OFFSET(TH!C$1,SMALL(Dong7,ROWS($1:10)),))</f>
        <v>41443</v>
      </c>
      <c r="B25" s="720" t="str">
        <f ca="1">IF(ROWS($1:10)&gt;COUNT(Dong7),"",OFFSET(TH!D$1,SMALL(Dong7,ROWS($1:10)),))</f>
        <v>C06</v>
      </c>
      <c r="C25" s="720">
        <f ca="1">IF(ROWS($1:10)&gt;COUNT(Dong7),"",OFFSET(TH!E$1,SMALL(Dong7,ROWS($1:10)),))</f>
        <v>41443</v>
      </c>
      <c r="D25" s="721" t="str">
        <f ca="1">IF(ROWS($1:10)&gt;COUNT(Dong7),"",OFFSET(TH!F$1,SMALL(Dong7,ROWS($1:10)),))</f>
        <v>Tiền điện</v>
      </c>
      <c r="E25" s="720" t="str">
        <f ca="1">IF(ROWS($1:10)&gt;COUNT(Dong7),"",OFFSET(TH!M$1,SMALL(Dong7,ROWS($1:10)),))</f>
        <v>1111</v>
      </c>
      <c r="F25" s="722">
        <f ca="1">IF(ROWS($1:10)&gt;COUNT(Dong7),"",OFFSET(TH!K$1,SMALL(Dong7,ROWS($1:10)),))</f>
        <v>543634</v>
      </c>
      <c r="G25" s="722">
        <f t="shared" ca="1" si="0"/>
        <v>543634</v>
      </c>
      <c r="H25" s="722">
        <f t="shared" ca="1" si="0"/>
        <v>0</v>
      </c>
      <c r="I25" s="722">
        <f t="shared" ca="1" si="0"/>
        <v>0</v>
      </c>
      <c r="J25" s="722">
        <f t="shared" ca="1" si="0"/>
        <v>0</v>
      </c>
      <c r="K25" s="722">
        <f t="shared" ca="1" si="1"/>
        <v>0</v>
      </c>
      <c r="L25" s="722">
        <f t="shared" ca="1" si="1"/>
        <v>0</v>
      </c>
    </row>
    <row r="26" spans="1:12" ht="21.75" customHeight="1">
      <c r="A26" s="720">
        <f ca="1">IF(ROWS($1:11)&gt;COUNT(Dong7),"",OFFSET(TH!C$1,SMALL(Dong7,ROWS($1:11)),))</f>
        <v>41445</v>
      </c>
      <c r="B26" s="720" t="str">
        <f ca="1">IF(ROWS($1:11)&gt;COUNT(Dong7),"",OFFSET(TH!D$1,SMALL(Dong7,ROWS($1:11)),))</f>
        <v>C07</v>
      </c>
      <c r="C26" s="720">
        <f ca="1">IF(ROWS($1:11)&gt;COUNT(Dong7),"",OFFSET(TH!E$1,SMALL(Dong7,ROWS($1:11)),))</f>
        <v>41445</v>
      </c>
      <c r="D26" s="721" t="str">
        <f ca="1">IF(ROWS($1:11)&gt;COUNT(Dong7),"",OFFSET(TH!F$1,SMALL(Dong7,ROWS($1:11)),))</f>
        <v>Văn phòng phẩm</v>
      </c>
      <c r="E26" s="720" t="str">
        <f ca="1">IF(ROWS($1:11)&gt;COUNT(Dong7),"",OFFSET(TH!M$1,SMALL(Dong7,ROWS($1:11)),))</f>
        <v>1111</v>
      </c>
      <c r="F26" s="722">
        <f ca="1">IF(ROWS($1:11)&gt;COUNT(Dong7),"",OFFSET(TH!K$1,SMALL(Dong7,ROWS($1:11)),))</f>
        <v>400000</v>
      </c>
      <c r="G26" s="722">
        <f t="shared" ca="1" si="0"/>
        <v>400000</v>
      </c>
      <c r="H26" s="722">
        <f t="shared" ca="1" si="0"/>
        <v>0</v>
      </c>
      <c r="I26" s="722">
        <f t="shared" ca="1" si="0"/>
        <v>0</v>
      </c>
      <c r="J26" s="722">
        <f t="shared" ca="1" si="0"/>
        <v>0</v>
      </c>
      <c r="K26" s="722">
        <f t="shared" ca="1" si="1"/>
        <v>0</v>
      </c>
      <c r="L26" s="722">
        <f t="shared" ca="1" si="1"/>
        <v>0</v>
      </c>
    </row>
    <row r="27" spans="1:12" ht="21.75" customHeight="1">
      <c r="A27" s="720">
        <f ca="1">IF(ROWS($1:12)&gt;COUNT(Dong7),"",OFFSET(TH!C$1,SMALL(Dong7,ROWS($1:12)),))</f>
        <v>41447</v>
      </c>
      <c r="B27" s="720" t="str">
        <f ca="1">IF(ROWS($1:12)&gt;COUNT(Dong7),"",OFFSET(TH!D$1,SMALL(Dong7,ROWS($1:12)),))</f>
        <v>GBN</v>
      </c>
      <c r="C27" s="720">
        <f ca="1">IF(ROWS($1:12)&gt;COUNT(Dong7),"",OFFSET(TH!E$1,SMALL(Dong7,ROWS($1:12)),))</f>
        <v>41447</v>
      </c>
      <c r="D27" s="721" t="str">
        <f ca="1">IF(ROWS($1:12)&gt;COUNT(Dong7),"",OFFSET(TH!F$1,SMALL(Dong7,ROWS($1:12)),))</f>
        <v>Phí chuyển tiền</v>
      </c>
      <c r="E27" s="720" t="str">
        <f ca="1">IF(ROWS($1:12)&gt;COUNT(Dong7),"",OFFSET(TH!M$1,SMALL(Dong7,ROWS($1:12)),))</f>
        <v>1121</v>
      </c>
      <c r="F27" s="722">
        <f ca="1">IF(ROWS($1:12)&gt;COUNT(Dong7),"",OFFSET(TH!K$1,SMALL(Dong7,ROWS($1:12)),))</f>
        <v>20000</v>
      </c>
      <c r="G27" s="722">
        <f t="shared" ca="1" si="0"/>
        <v>0</v>
      </c>
      <c r="H27" s="722">
        <f t="shared" ca="1" si="0"/>
        <v>20000</v>
      </c>
      <c r="I27" s="722">
        <f t="shared" ca="1" si="0"/>
        <v>0</v>
      </c>
      <c r="J27" s="722">
        <f t="shared" ca="1" si="0"/>
        <v>0</v>
      </c>
      <c r="K27" s="722">
        <f t="shared" ca="1" si="1"/>
        <v>0</v>
      </c>
      <c r="L27" s="722">
        <f t="shared" ca="1" si="1"/>
        <v>0</v>
      </c>
    </row>
    <row r="28" spans="1:12" ht="21.75" customHeight="1">
      <c r="A28" s="720" t="str">
        <f ca="1">IF(ROWS($1:13)&gt;COUNT(Dong7),"",OFFSET(TH!C$1,SMALL(Dong7,ROWS($1:13)),))</f>
        <v/>
      </c>
      <c r="B28" s="720" t="str">
        <f ca="1">IF(ROWS($1:13)&gt;COUNT(Dong7),"",OFFSET(TH!D$1,SMALL(Dong7,ROWS($1:13)),))</f>
        <v/>
      </c>
      <c r="C28" s="720" t="str">
        <f ca="1">IF(ROWS($1:13)&gt;COUNT(Dong7),"",OFFSET(TH!E$1,SMALL(Dong7,ROWS($1:13)),))</f>
        <v/>
      </c>
      <c r="D28" s="721" t="str">
        <f ca="1">IF(ROWS($1:13)&gt;COUNT(Dong7),"",OFFSET(TH!F$1,SMALL(Dong7,ROWS($1:13)),))</f>
        <v/>
      </c>
      <c r="E28" s="720" t="str">
        <f ca="1">IF(ROWS($1:13)&gt;COUNT(Dong7),"",OFFSET(TH!M$1,SMALL(Dong7,ROWS($1:13)),))</f>
        <v/>
      </c>
      <c r="F28" s="722" t="str">
        <f ca="1">IF(ROWS($1:13)&gt;COUNT(Dong7),"",OFFSET(TH!K$1,SMALL(Dong7,ROWS($1:13)),))</f>
        <v/>
      </c>
      <c r="G28" s="722">
        <f t="shared" ca="1" si="0"/>
        <v>0</v>
      </c>
      <c r="H28" s="722">
        <f t="shared" ca="1" si="0"/>
        <v>0</v>
      </c>
      <c r="I28" s="722">
        <f t="shared" ca="1" si="0"/>
        <v>0</v>
      </c>
      <c r="J28" s="722">
        <f t="shared" ca="1" si="0"/>
        <v>0</v>
      </c>
      <c r="K28" s="722" t="str">
        <f t="shared" ca="1" si="1"/>
        <v/>
      </c>
      <c r="L28" s="722" t="str">
        <f t="shared" ca="1" si="1"/>
        <v/>
      </c>
    </row>
    <row r="29" spans="1:12" ht="21.75" customHeight="1">
      <c r="A29" s="720" t="str">
        <f ca="1">IF(ROWS($1:14)&gt;COUNT(Dong7),"",OFFSET(TH!C$1,SMALL(Dong7,ROWS($1:14)),))</f>
        <v/>
      </c>
      <c r="B29" s="720" t="str">
        <f ca="1">IF(ROWS($1:14)&gt;COUNT(Dong7),"",OFFSET(TH!D$1,SMALL(Dong7,ROWS($1:14)),))</f>
        <v/>
      </c>
      <c r="C29" s="720" t="str">
        <f ca="1">IF(ROWS($1:14)&gt;COUNT(Dong7),"",OFFSET(TH!E$1,SMALL(Dong7,ROWS($1:14)),))</f>
        <v/>
      </c>
      <c r="D29" s="721" t="str">
        <f ca="1">IF(ROWS($1:14)&gt;COUNT(Dong7),"",OFFSET(TH!F$1,SMALL(Dong7,ROWS($1:14)),))</f>
        <v/>
      </c>
      <c r="E29" s="720" t="str">
        <f ca="1">IF(ROWS($1:14)&gt;COUNT(Dong7),"",OFFSET(TH!M$1,SMALL(Dong7,ROWS($1:14)),))</f>
        <v/>
      </c>
      <c r="F29" s="722" t="str">
        <f ca="1">IF(ROWS($1:14)&gt;COUNT(Dong7),"",OFFSET(TH!K$1,SMALL(Dong7,ROWS($1:14)),))</f>
        <v/>
      </c>
      <c r="G29" s="722">
        <f t="shared" ca="1" si="0"/>
        <v>0</v>
      </c>
      <c r="H29" s="722">
        <f t="shared" ca="1" si="0"/>
        <v>0</v>
      </c>
      <c r="I29" s="722">
        <f t="shared" ca="1" si="0"/>
        <v>0</v>
      </c>
      <c r="J29" s="722">
        <f t="shared" ca="1" si="0"/>
        <v>0</v>
      </c>
      <c r="K29" s="722" t="str">
        <f t="shared" ca="1" si="1"/>
        <v/>
      </c>
      <c r="L29" s="722" t="str">
        <f t="shared" ca="1" si="1"/>
        <v/>
      </c>
    </row>
    <row r="30" spans="1:12" ht="21.75" customHeight="1">
      <c r="A30" s="720" t="str">
        <f ca="1">IF(ROWS($1:15)&gt;COUNT(Dong7),"",OFFSET(TH!C$1,SMALL(Dong7,ROWS($1:15)),))</f>
        <v/>
      </c>
      <c r="B30" s="720" t="str">
        <f ca="1">IF(ROWS($1:15)&gt;COUNT(Dong7),"",OFFSET(TH!D$1,SMALL(Dong7,ROWS($1:15)),))</f>
        <v/>
      </c>
      <c r="C30" s="720" t="str">
        <f ca="1">IF(ROWS($1:15)&gt;COUNT(Dong7),"",OFFSET(TH!E$1,SMALL(Dong7,ROWS($1:15)),))</f>
        <v/>
      </c>
      <c r="D30" s="721" t="str">
        <f ca="1">IF(ROWS($1:15)&gt;COUNT(Dong7),"",OFFSET(TH!F$1,SMALL(Dong7,ROWS($1:15)),))</f>
        <v/>
      </c>
      <c r="E30" s="720" t="str">
        <f ca="1">IF(ROWS($1:15)&gt;COUNT(Dong7),"",OFFSET(TH!M$1,SMALL(Dong7,ROWS($1:15)),))</f>
        <v/>
      </c>
      <c r="F30" s="722" t="str">
        <f ca="1">IF(ROWS($1:15)&gt;COUNT(Dong7),"",OFFSET(TH!K$1,SMALL(Dong7,ROWS($1:15)),))</f>
        <v/>
      </c>
      <c r="G30" s="722">
        <f t="shared" ca="1" si="0"/>
        <v>0</v>
      </c>
      <c r="H30" s="722">
        <f t="shared" ca="1" si="0"/>
        <v>0</v>
      </c>
      <c r="I30" s="722">
        <f t="shared" ca="1" si="0"/>
        <v>0</v>
      </c>
      <c r="J30" s="722">
        <f t="shared" ca="1" si="0"/>
        <v>0</v>
      </c>
      <c r="K30" s="722" t="str">
        <f t="shared" ca="1" si="1"/>
        <v/>
      </c>
      <c r="L30" s="722" t="str">
        <f t="shared" ca="1" si="1"/>
        <v/>
      </c>
    </row>
    <row r="31" spans="1:12" ht="21.75" customHeight="1">
      <c r="A31" s="720"/>
      <c r="B31" s="723"/>
      <c r="C31" s="720"/>
      <c r="D31" s="724"/>
      <c r="E31" s="725"/>
      <c r="F31" s="726"/>
      <c r="G31" s="726"/>
      <c r="H31" s="726"/>
      <c r="I31" s="726"/>
      <c r="J31" s="726"/>
      <c r="K31" s="726"/>
      <c r="L31" s="726"/>
    </row>
    <row r="32" spans="1:12" ht="21.75" customHeight="1">
      <c r="A32" s="720"/>
      <c r="B32" s="723"/>
      <c r="C32" s="720"/>
      <c r="D32" s="718" t="s">
        <v>133</v>
      </c>
      <c r="E32" s="717" t="s">
        <v>19</v>
      </c>
      <c r="F32" s="719">
        <f ca="1">SUM(F15:F31)</f>
        <v>19199934</v>
      </c>
      <c r="G32" s="719">
        <f t="shared" ref="G32:L32" ca="1" si="2">SUM(G15:G31)</f>
        <v>1499934</v>
      </c>
      <c r="H32" s="719">
        <f t="shared" ca="1" si="2"/>
        <v>120000</v>
      </c>
      <c r="I32" s="719">
        <f t="shared" ca="1" si="2"/>
        <v>0</v>
      </c>
      <c r="J32" s="719">
        <f t="shared" ca="1" si="2"/>
        <v>17580000</v>
      </c>
      <c r="K32" s="719">
        <f t="shared" ca="1" si="2"/>
        <v>0</v>
      </c>
      <c r="L32" s="719">
        <f t="shared" ca="1" si="2"/>
        <v>0</v>
      </c>
    </row>
    <row r="33" spans="1:12" ht="21.75" customHeight="1">
      <c r="A33" s="727"/>
      <c r="B33" s="725"/>
      <c r="C33" s="727"/>
      <c r="D33" s="728" t="s">
        <v>463</v>
      </c>
      <c r="E33" s="723"/>
      <c r="F33" s="729">
        <f ca="1">SUM(G33:L33)</f>
        <v>19199934</v>
      </c>
      <c r="G33" s="729">
        <f t="shared" ref="G33:L33" ca="1" si="3">G32</f>
        <v>1499934</v>
      </c>
      <c r="H33" s="729">
        <f t="shared" ca="1" si="3"/>
        <v>120000</v>
      </c>
      <c r="I33" s="729">
        <f t="shared" ca="1" si="3"/>
        <v>0</v>
      </c>
      <c r="J33" s="729">
        <f t="shared" ca="1" si="3"/>
        <v>17580000</v>
      </c>
      <c r="K33" s="729">
        <f t="shared" ca="1" si="3"/>
        <v>0</v>
      </c>
      <c r="L33" s="729">
        <f t="shared" ca="1" si="3"/>
        <v>0</v>
      </c>
    </row>
    <row r="34" spans="1:12" ht="21.75" customHeight="1">
      <c r="A34" s="730"/>
      <c r="B34" s="730"/>
      <c r="C34" s="730"/>
      <c r="D34" s="731" t="s">
        <v>10</v>
      </c>
      <c r="E34" s="730" t="s">
        <v>19</v>
      </c>
      <c r="F34" s="732">
        <f t="shared" ref="F34:L34" ca="1" si="4">F15+F32-F33</f>
        <v>0</v>
      </c>
      <c r="G34" s="732">
        <f t="shared" ca="1" si="4"/>
        <v>0</v>
      </c>
      <c r="H34" s="732">
        <f t="shared" ca="1" si="4"/>
        <v>0</v>
      </c>
      <c r="I34" s="732">
        <f t="shared" ca="1" si="4"/>
        <v>0</v>
      </c>
      <c r="J34" s="732">
        <f t="shared" ca="1" si="4"/>
        <v>0</v>
      </c>
      <c r="K34" s="732">
        <f t="shared" ca="1" si="4"/>
        <v>0</v>
      </c>
      <c r="L34" s="732">
        <f t="shared" ca="1" si="4"/>
        <v>0</v>
      </c>
    </row>
    <row r="36" spans="1:12">
      <c r="B36" s="733"/>
      <c r="C36" s="713" t="s">
        <v>456</v>
      </c>
    </row>
    <row r="37" spans="1:12">
      <c r="C37" s="713" t="str">
        <f ca="1">"- Ngày mở sổ: "&amp;"01/"&amp;MONTH(A16)&amp;"/"&amp;YEAR(A16)</f>
        <v>- Ngày mở sổ: 01/4/2013</v>
      </c>
    </row>
    <row r="38" spans="1:12">
      <c r="E38" s="712"/>
      <c r="F38" s="712"/>
      <c r="G38" s="712"/>
      <c r="H38" s="712"/>
      <c r="I38" s="712"/>
      <c r="J38" s="108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81"/>
      <c r="L38" s="1081"/>
    </row>
    <row r="39" spans="1:12">
      <c r="B39" s="712"/>
      <c r="C39" s="709" t="s">
        <v>11</v>
      </c>
      <c r="D39" s="712"/>
      <c r="E39" s="712"/>
      <c r="F39" s="712"/>
      <c r="G39" s="712"/>
      <c r="H39" s="712"/>
      <c r="I39" s="712"/>
      <c r="J39" s="1081" t="s">
        <v>12</v>
      </c>
      <c r="K39" s="1081"/>
      <c r="L39" s="1081"/>
    </row>
    <row r="40" spans="1:12">
      <c r="B40" s="712"/>
      <c r="C40" s="709" t="s">
        <v>13</v>
      </c>
      <c r="D40" s="712"/>
      <c r="E40" s="712"/>
      <c r="F40" s="712"/>
      <c r="G40" s="712"/>
      <c r="H40" s="712"/>
      <c r="I40" s="712"/>
      <c r="J40" s="1127" t="s">
        <v>13</v>
      </c>
      <c r="K40" s="1127"/>
      <c r="L40" s="1127"/>
    </row>
  </sheetData>
  <mergeCells count="17"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05" customWidth="1"/>
    <col min="3" max="3" width="8.5703125" style="805" customWidth="1"/>
    <col min="4" max="4" width="51.42578125" style="805" customWidth="1"/>
    <col min="5" max="5" width="8" style="805" customWidth="1"/>
    <col min="6" max="6" width="12.28515625" style="805" bestFit="1" customWidth="1"/>
    <col min="7" max="7" width="10.140625" style="805" customWidth="1"/>
    <col min="8" max="8" width="10.7109375" style="805" customWidth="1"/>
    <col min="9" max="9" width="11.42578125" style="805" customWidth="1"/>
    <col min="10" max="10" width="11.5703125" style="805" customWidth="1"/>
    <col min="11" max="11" width="11.42578125" style="805" customWidth="1"/>
    <col min="12" max="12" width="9.42578125" style="805" customWidth="1"/>
    <col min="13" max="13" width="6.7109375" style="805" customWidth="1"/>
    <col min="14" max="16384" width="9.140625" style="805"/>
  </cols>
  <sheetData>
    <row r="2" spans="1:15">
      <c r="A2" s="708" t="str">
        <f>'632'!A2</f>
        <v>Đơn vị: CÔNG TY TNHH SX TM KIM DUNG PHÁT</v>
      </c>
      <c r="F2" s="804"/>
      <c r="G2" s="804"/>
      <c r="H2" s="1125" t="s">
        <v>443</v>
      </c>
      <c r="I2" s="1125"/>
      <c r="J2" s="1125"/>
      <c r="K2" s="1125"/>
      <c r="L2" s="734"/>
    </row>
    <row r="3" spans="1:15" ht="15" customHeight="1">
      <c r="A3" s="738" t="str">
        <f>'632'!A3</f>
        <v>Địa chỉ: 1A227/1 Ấp 1, Phạm Văn Hai, Bình Chánh, TPHCM</v>
      </c>
      <c r="H3" s="1128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28"/>
      <c r="J3" s="1128"/>
      <c r="K3" s="1128"/>
      <c r="L3" s="712"/>
    </row>
    <row r="4" spans="1:15">
      <c r="H4" s="1128"/>
      <c r="I4" s="1128"/>
      <c r="J4" s="1128"/>
      <c r="K4" s="1128"/>
      <c r="L4" s="712"/>
    </row>
    <row r="5" spans="1:15" ht="19.5" customHeight="1">
      <c r="A5" s="1126" t="s">
        <v>444</v>
      </c>
      <c r="B5" s="1126"/>
      <c r="C5" s="1126"/>
      <c r="D5" s="1126"/>
      <c r="E5" s="1126"/>
      <c r="F5" s="1126"/>
      <c r="G5" s="1126"/>
      <c r="H5" s="1126"/>
      <c r="I5" s="1126"/>
      <c r="J5" s="1126"/>
      <c r="K5" s="1126"/>
      <c r="L5" s="1126"/>
      <c r="M5" s="711" t="s">
        <v>267</v>
      </c>
      <c r="N5" s="633">
        <f>IF(N13="Quý I",1,IF(N13="Quý II",4,IF(N13="Quý III",7,IF(N13="Quý IV",10,""))))</f>
        <v>7</v>
      </c>
      <c r="O5" s="633">
        <f>IF(N13="Quý I",3,IF(N13="Quý II",6,IF(N13="Quý III",9,IF(N13="Quý IV",12,""))))</f>
        <v>9</v>
      </c>
    </row>
    <row r="6" spans="1:15">
      <c r="A6" s="1127" t="s">
        <v>445</v>
      </c>
      <c r="B6" s="1127"/>
      <c r="C6" s="1127"/>
      <c r="D6" s="1127"/>
      <c r="E6" s="1127"/>
      <c r="F6" s="1127"/>
      <c r="G6" s="1127"/>
      <c r="H6" s="1127"/>
      <c r="I6" s="1127"/>
      <c r="J6" s="1127"/>
      <c r="K6" s="1127"/>
      <c r="L6" s="1127"/>
    </row>
    <row r="7" spans="1:15">
      <c r="B7" s="712"/>
      <c r="C7" s="712"/>
      <c r="D7" s="712"/>
      <c r="E7" s="713" t="s">
        <v>478</v>
      </c>
      <c r="G7" s="712"/>
      <c r="H7" s="712"/>
      <c r="I7" s="712"/>
      <c r="J7" s="712"/>
      <c r="K7" s="712"/>
      <c r="L7" s="712"/>
      <c r="M7" s="739"/>
    </row>
    <row r="8" spans="1:15">
      <c r="B8" s="712"/>
      <c r="C8" s="712"/>
      <c r="D8" s="712"/>
      <c r="E8" s="713" t="s">
        <v>447</v>
      </c>
      <c r="G8" s="712"/>
      <c r="H8" s="712"/>
      <c r="I8" s="712"/>
      <c r="J8" s="712"/>
      <c r="K8" s="712"/>
      <c r="L8" s="712"/>
    </row>
    <row r="9" spans="1:15">
      <c r="B9" s="714"/>
      <c r="C9" s="714"/>
      <c r="D9" s="714"/>
      <c r="E9" s="713" t="s">
        <v>448</v>
      </c>
      <c r="G9" s="714"/>
      <c r="H9" s="714"/>
      <c r="I9" s="714"/>
      <c r="J9" s="714"/>
      <c r="K9" s="714"/>
      <c r="L9" s="714"/>
    </row>
    <row r="10" spans="1:15" ht="9" customHeight="1">
      <c r="C10" s="1124"/>
      <c r="D10" s="1124"/>
      <c r="E10" s="1124"/>
      <c r="F10" s="1124"/>
      <c r="G10" s="1124"/>
      <c r="H10" s="1124"/>
      <c r="I10" s="1124"/>
      <c r="J10" s="1124"/>
      <c r="K10" s="1124"/>
      <c r="L10" s="1124"/>
    </row>
    <row r="11" spans="1:15" ht="15.75" customHeight="1">
      <c r="A11" s="1121" t="s">
        <v>20</v>
      </c>
      <c r="B11" s="1122" t="s">
        <v>1</v>
      </c>
      <c r="C11" s="1122"/>
      <c r="D11" s="1121" t="s">
        <v>0</v>
      </c>
      <c r="E11" s="1121" t="s">
        <v>217</v>
      </c>
      <c r="F11" s="1122" t="s">
        <v>477</v>
      </c>
      <c r="G11" s="1122"/>
      <c r="H11" s="1122"/>
      <c r="I11" s="1122"/>
      <c r="J11" s="1122"/>
      <c r="K11" s="1122"/>
      <c r="L11" s="1122"/>
    </row>
    <row r="12" spans="1:15" ht="15.75" customHeight="1" thickBot="1">
      <c r="A12" s="1121"/>
      <c r="B12" s="1123" t="s">
        <v>15</v>
      </c>
      <c r="C12" s="1123" t="s">
        <v>32</v>
      </c>
      <c r="D12" s="1121"/>
      <c r="E12" s="1121"/>
      <c r="F12" s="1123" t="s">
        <v>450</v>
      </c>
      <c r="G12" s="1123" t="s">
        <v>451</v>
      </c>
      <c r="H12" s="1123"/>
      <c r="I12" s="1123"/>
      <c r="J12" s="1123"/>
      <c r="K12" s="1123"/>
      <c r="L12" s="1123"/>
    </row>
    <row r="13" spans="1:15" ht="29.25" customHeight="1" thickBot="1">
      <c r="A13" s="1121"/>
      <c r="B13" s="1123"/>
      <c r="C13" s="1123"/>
      <c r="D13" s="1121"/>
      <c r="E13" s="1121"/>
      <c r="F13" s="1123"/>
      <c r="G13" s="735" t="s">
        <v>47</v>
      </c>
      <c r="H13" s="735" t="s">
        <v>24</v>
      </c>
      <c r="I13" s="735"/>
      <c r="J13" s="735"/>
      <c r="K13" s="735"/>
      <c r="L13" s="735"/>
      <c r="N13" s="737" t="s">
        <v>480</v>
      </c>
    </row>
    <row r="14" spans="1:15">
      <c r="A14" s="806" t="s">
        <v>2</v>
      </c>
      <c r="B14" s="806" t="s">
        <v>3</v>
      </c>
      <c r="C14" s="806" t="s">
        <v>4</v>
      </c>
      <c r="D14" s="806" t="s">
        <v>5</v>
      </c>
      <c r="E14" s="806" t="s">
        <v>6</v>
      </c>
      <c r="F14" s="806">
        <v>1</v>
      </c>
      <c r="G14" s="806">
        <v>2</v>
      </c>
      <c r="H14" s="806">
        <v>3</v>
      </c>
      <c r="I14" s="806">
        <v>4</v>
      </c>
      <c r="J14" s="806">
        <v>5</v>
      </c>
      <c r="K14" s="806">
        <v>6</v>
      </c>
      <c r="L14" s="806">
        <v>7</v>
      </c>
    </row>
    <row r="15" spans="1:15" ht="21.75" customHeight="1">
      <c r="A15" s="717"/>
      <c r="B15" s="717"/>
      <c r="C15" s="717"/>
      <c r="D15" s="718" t="s">
        <v>7</v>
      </c>
      <c r="E15" s="717"/>
      <c r="F15" s="719"/>
      <c r="G15" s="719"/>
      <c r="H15" s="719"/>
      <c r="I15" s="719"/>
      <c r="J15" s="719"/>
      <c r="K15" s="719"/>
      <c r="L15" s="719"/>
    </row>
    <row r="16" spans="1:15" ht="21.75" customHeight="1">
      <c r="A16" s="720" t="str">
        <f ca="1">IF(ROWS($1:1)&gt;COUNT(Dong13),"",OFFSET(TH!C$1,SMALL(Dong13,ROWS($1:1)),))</f>
        <v/>
      </c>
      <c r="B16" s="720" t="str">
        <f ca="1">IF(ROWS($1:1)&gt;COUNT(Dong13),"",OFFSET(TH!D$1,SMALL(Dong13,ROWS($1:1)),))</f>
        <v/>
      </c>
      <c r="C16" s="720" t="str">
        <f ca="1">IF(ROWS($1:1)&gt;COUNT(Dong13),"",OFFSET(TH!E$1,SMALL(Dong13,ROWS($1:1)),))</f>
        <v/>
      </c>
      <c r="D16" s="721" t="str">
        <f ca="1">IF(ROWS($1:1)&gt;COUNT(Dong13),"",OFFSET(TH!F$1,SMALL(Dong13,ROWS($1:1)),))</f>
        <v/>
      </c>
      <c r="E16" s="720" t="str">
        <f ca="1">IF(ROWS($1:1)&gt;COUNT(Dong13),"",OFFSET(TH!M$1,SMALL(Dong13,ROWS($1:1)),))</f>
        <v/>
      </c>
      <c r="F16" s="813" t="str">
        <f ca="1">IF(ROWS($1:1)&gt;COUNT(Dong13),"",OFFSET(TH!K$1,SMALL(Dong13,ROWS($1:1)),))</f>
        <v/>
      </c>
      <c r="G16" s="722">
        <f t="shared" ref="G16:J25" ca="1" si="0">IF($E16=G$13,$F16,0)</f>
        <v>0</v>
      </c>
      <c r="H16" s="722">
        <f t="shared" ca="1" si="0"/>
        <v>0</v>
      </c>
      <c r="I16" s="722" t="str">
        <f t="shared" ca="1" si="0"/>
        <v/>
      </c>
      <c r="J16" s="722" t="str">
        <f t="shared" ca="1" si="0"/>
        <v/>
      </c>
      <c r="K16" s="722" t="str">
        <f ca="1">IF(LEFT($E16,3)=K$13,$F16,0)</f>
        <v/>
      </c>
      <c r="L16" s="722" t="str">
        <f ca="1">IF(LEFT($E16,3)=L$13,$F16,0)</f>
        <v/>
      </c>
    </row>
    <row r="17" spans="1:12" ht="21.75" customHeight="1">
      <c r="A17" s="720" t="str">
        <f ca="1">IF(ROWS($1:2)&gt;COUNT(Dong13),"",OFFSET(TH!C$1,SMALL(Dong13,ROWS($1:2)),))</f>
        <v/>
      </c>
      <c r="B17" s="720" t="str">
        <f ca="1">IF(ROWS($1:2)&gt;COUNT(Dong13),"",OFFSET(TH!D$1,SMALL(Dong13,ROWS($1:2)),))</f>
        <v/>
      </c>
      <c r="C17" s="720" t="str">
        <f ca="1">IF(ROWS($1:2)&gt;COUNT(Dong13),"",OFFSET(TH!E$1,SMALL(Dong13,ROWS($1:2)),))</f>
        <v/>
      </c>
      <c r="D17" s="721" t="str">
        <f ca="1">IF(ROWS($1:2)&gt;COUNT(Dong13),"",OFFSET(TH!F$1,SMALL(Dong13,ROWS($1:2)),))</f>
        <v/>
      </c>
      <c r="E17" s="720" t="str">
        <f ca="1">IF(ROWS($1:2)&gt;COUNT(Dong13),"",OFFSET(TH!M$1,SMALL(Dong13,ROWS($1:2)),))</f>
        <v/>
      </c>
      <c r="F17" s="813" t="str">
        <f ca="1">IF(ROWS($1:2)&gt;COUNT(Dong13),"",OFFSET(TH!K$1,SMALL(Dong13,ROWS($1:2)),))</f>
        <v/>
      </c>
      <c r="G17" s="722">
        <f t="shared" ca="1" si="0"/>
        <v>0</v>
      </c>
      <c r="H17" s="722">
        <f t="shared" ca="1" si="0"/>
        <v>0</v>
      </c>
      <c r="I17" s="722" t="str">
        <f t="shared" ca="1" si="0"/>
        <v/>
      </c>
      <c r="J17" s="722" t="str">
        <f t="shared" ca="1" si="0"/>
        <v/>
      </c>
      <c r="K17" s="722" t="str">
        <f t="shared" ref="K17:L25" ca="1" si="1">IF(LEFT($E17,3)=K$13,$F17,0)</f>
        <v/>
      </c>
      <c r="L17" s="722" t="str">
        <f t="shared" ca="1" si="1"/>
        <v/>
      </c>
    </row>
    <row r="18" spans="1:12" ht="21.75" customHeight="1">
      <c r="A18" s="720" t="str">
        <f ca="1">IF(ROWS($1:3)&gt;COUNT(Dong13),"",OFFSET(TH!C$1,SMALL(Dong13,ROWS($1:3)),))</f>
        <v/>
      </c>
      <c r="B18" s="720" t="str">
        <f ca="1">IF(ROWS($1:3)&gt;COUNT(Dong13),"",OFFSET(TH!D$1,SMALL(Dong13,ROWS($1:3)),))</f>
        <v/>
      </c>
      <c r="C18" s="720" t="str">
        <f ca="1">IF(ROWS($1:3)&gt;COUNT(Dong13),"",OFFSET(TH!E$1,SMALL(Dong13,ROWS($1:3)),))</f>
        <v/>
      </c>
      <c r="D18" s="721" t="str">
        <f ca="1">IF(ROWS($1:3)&gt;COUNT(Dong13),"",OFFSET(TH!F$1,SMALL(Dong13,ROWS($1:3)),))</f>
        <v/>
      </c>
      <c r="E18" s="720" t="str">
        <f ca="1">IF(ROWS($1:3)&gt;COUNT(Dong13),"",OFFSET(TH!M$1,SMALL(Dong13,ROWS($1:3)),))</f>
        <v/>
      </c>
      <c r="F18" s="813" t="str">
        <f ca="1">IF(ROWS($1:3)&gt;COUNT(Dong13),"",OFFSET(TH!K$1,SMALL(Dong13,ROWS($1:3)),))</f>
        <v/>
      </c>
      <c r="G18" s="722">
        <f t="shared" ca="1" si="0"/>
        <v>0</v>
      </c>
      <c r="H18" s="722">
        <f t="shared" ca="1" si="0"/>
        <v>0</v>
      </c>
      <c r="I18" s="722" t="str">
        <f t="shared" ca="1" si="0"/>
        <v/>
      </c>
      <c r="J18" s="722" t="str">
        <f t="shared" ca="1" si="0"/>
        <v/>
      </c>
      <c r="K18" s="722" t="str">
        <f t="shared" ca="1" si="1"/>
        <v/>
      </c>
      <c r="L18" s="722" t="str">
        <f t="shared" ca="1" si="1"/>
        <v/>
      </c>
    </row>
    <row r="19" spans="1:12" ht="21.75" customHeight="1">
      <c r="A19" s="720" t="str">
        <f ca="1">IF(ROWS($1:4)&gt;COUNT(Dong13),"",OFFSET(TH!C$1,SMALL(Dong13,ROWS($1:4)),))</f>
        <v/>
      </c>
      <c r="B19" s="720" t="str">
        <f ca="1">IF(ROWS($1:4)&gt;COUNT(Dong13),"",OFFSET(TH!D$1,SMALL(Dong13,ROWS($1:4)),))</f>
        <v/>
      </c>
      <c r="C19" s="720" t="str">
        <f ca="1">IF(ROWS($1:4)&gt;COUNT(Dong13),"",OFFSET(TH!E$1,SMALL(Dong13,ROWS($1:4)),))</f>
        <v/>
      </c>
      <c r="D19" s="721" t="str">
        <f ca="1">IF(ROWS($1:4)&gt;COUNT(Dong13),"",OFFSET(TH!F$1,SMALL(Dong13,ROWS($1:4)),))</f>
        <v/>
      </c>
      <c r="E19" s="720" t="str">
        <f ca="1">IF(ROWS($1:4)&gt;COUNT(Dong13),"",OFFSET(TH!M$1,SMALL(Dong13,ROWS($1:4)),))</f>
        <v/>
      </c>
      <c r="F19" s="813" t="str">
        <f ca="1">IF(ROWS($1:4)&gt;COUNT(Dong13),"",OFFSET(TH!K$1,SMALL(Dong13,ROWS($1:4)),))</f>
        <v/>
      </c>
      <c r="G19" s="722">
        <f t="shared" ca="1" si="0"/>
        <v>0</v>
      </c>
      <c r="H19" s="722">
        <f t="shared" ca="1" si="0"/>
        <v>0</v>
      </c>
      <c r="I19" s="722" t="str">
        <f t="shared" ca="1" si="0"/>
        <v/>
      </c>
      <c r="J19" s="722" t="str">
        <f t="shared" ca="1" si="0"/>
        <v/>
      </c>
      <c r="K19" s="722" t="str">
        <f t="shared" ca="1" si="1"/>
        <v/>
      </c>
      <c r="L19" s="722" t="str">
        <f t="shared" ca="1" si="1"/>
        <v/>
      </c>
    </row>
    <row r="20" spans="1:12" ht="21.75" customHeight="1">
      <c r="A20" s="720" t="str">
        <f ca="1">IF(ROWS($1:5)&gt;COUNT(Dong13),"",OFFSET(TH!C$1,SMALL(Dong13,ROWS($1:5)),))</f>
        <v/>
      </c>
      <c r="B20" s="720" t="str">
        <f ca="1">IF(ROWS($1:5)&gt;COUNT(Dong13),"",OFFSET(TH!D$1,SMALL(Dong13,ROWS($1:5)),))</f>
        <v/>
      </c>
      <c r="C20" s="720" t="str">
        <f ca="1">IF(ROWS($1:5)&gt;COUNT(Dong13),"",OFFSET(TH!E$1,SMALL(Dong13,ROWS($1:5)),))</f>
        <v/>
      </c>
      <c r="D20" s="721" t="str">
        <f ca="1">IF(ROWS($1:5)&gt;COUNT(Dong13),"",OFFSET(TH!F$1,SMALL(Dong13,ROWS($1:5)),))</f>
        <v/>
      </c>
      <c r="E20" s="720" t="str">
        <f ca="1">IF(ROWS($1:5)&gt;COUNT(Dong13),"",OFFSET(TH!M$1,SMALL(Dong13,ROWS($1:5)),))</f>
        <v/>
      </c>
      <c r="F20" s="813" t="str">
        <f ca="1">IF(ROWS($1:5)&gt;COUNT(Dong13),"",OFFSET(TH!K$1,SMALL(Dong13,ROWS($1:5)),))</f>
        <v/>
      </c>
      <c r="G20" s="722">
        <f t="shared" ca="1" si="0"/>
        <v>0</v>
      </c>
      <c r="H20" s="722">
        <f t="shared" ca="1" si="0"/>
        <v>0</v>
      </c>
      <c r="I20" s="722" t="str">
        <f t="shared" ca="1" si="0"/>
        <v/>
      </c>
      <c r="J20" s="722" t="str">
        <f t="shared" ca="1" si="0"/>
        <v/>
      </c>
      <c r="K20" s="722" t="str">
        <f t="shared" ca="1" si="1"/>
        <v/>
      </c>
      <c r="L20" s="722" t="str">
        <f t="shared" ca="1" si="1"/>
        <v/>
      </c>
    </row>
    <row r="21" spans="1:12" ht="21.75" customHeight="1">
      <c r="A21" s="720" t="str">
        <f ca="1">IF(ROWS($1:6)&gt;COUNT(Dong13),"",OFFSET(TH!C$1,SMALL(Dong13,ROWS($1:6)),))</f>
        <v/>
      </c>
      <c r="B21" s="720" t="str">
        <f ca="1">IF(ROWS($1:6)&gt;COUNT(Dong13),"",OFFSET(TH!D$1,SMALL(Dong13,ROWS($1:6)),))</f>
        <v/>
      </c>
      <c r="C21" s="720" t="str">
        <f ca="1">IF(ROWS($1:6)&gt;COUNT(Dong13),"",OFFSET(TH!E$1,SMALL(Dong13,ROWS($1:6)),))</f>
        <v/>
      </c>
      <c r="D21" s="721" t="str">
        <f ca="1">IF(ROWS($1:6)&gt;COUNT(Dong13),"",OFFSET(TH!F$1,SMALL(Dong13,ROWS($1:6)),))</f>
        <v/>
      </c>
      <c r="E21" s="720" t="str">
        <f ca="1">IF(ROWS($1:6)&gt;COUNT(Dong13),"",OFFSET(TH!M$1,SMALL(Dong13,ROWS($1:6)),))</f>
        <v/>
      </c>
      <c r="F21" s="813" t="str">
        <f ca="1">IF(ROWS($1:6)&gt;COUNT(Dong13),"",OFFSET(TH!K$1,SMALL(Dong13,ROWS($1:6)),))</f>
        <v/>
      </c>
      <c r="G21" s="722">
        <f t="shared" ca="1" si="0"/>
        <v>0</v>
      </c>
      <c r="H21" s="722">
        <f t="shared" ca="1" si="0"/>
        <v>0</v>
      </c>
      <c r="I21" s="722" t="str">
        <f t="shared" ca="1" si="0"/>
        <v/>
      </c>
      <c r="J21" s="722" t="str">
        <f t="shared" ca="1" si="0"/>
        <v/>
      </c>
      <c r="K21" s="722" t="str">
        <f t="shared" ca="1" si="1"/>
        <v/>
      </c>
      <c r="L21" s="722" t="str">
        <f t="shared" ca="1" si="1"/>
        <v/>
      </c>
    </row>
    <row r="22" spans="1:12" ht="21.75" customHeight="1">
      <c r="A22" s="720" t="str">
        <f ca="1">IF(ROWS($1:7)&gt;COUNT(Dong13),"",OFFSET(TH!C$1,SMALL(Dong13,ROWS($1:7)),))</f>
        <v/>
      </c>
      <c r="B22" s="720" t="str">
        <f ca="1">IF(ROWS($1:7)&gt;COUNT(Dong13),"",OFFSET(TH!D$1,SMALL(Dong13,ROWS($1:7)),))</f>
        <v/>
      </c>
      <c r="C22" s="720" t="str">
        <f ca="1">IF(ROWS($1:7)&gt;COUNT(Dong13),"",OFFSET(TH!E$1,SMALL(Dong13,ROWS($1:7)),))</f>
        <v/>
      </c>
      <c r="D22" s="721" t="str">
        <f ca="1">IF(ROWS($1:7)&gt;COUNT(Dong13),"",OFFSET(TH!F$1,SMALL(Dong13,ROWS($1:7)),))</f>
        <v/>
      </c>
      <c r="E22" s="720" t="str">
        <f ca="1">IF(ROWS($1:7)&gt;COUNT(Dong13),"",OFFSET(TH!M$1,SMALL(Dong13,ROWS($1:7)),))</f>
        <v/>
      </c>
      <c r="F22" s="813" t="str">
        <f ca="1">IF(ROWS($1:7)&gt;COUNT(Dong13),"",OFFSET(TH!K$1,SMALL(Dong13,ROWS($1:7)),))</f>
        <v/>
      </c>
      <c r="G22" s="722">
        <f t="shared" ca="1" si="0"/>
        <v>0</v>
      </c>
      <c r="H22" s="722">
        <f t="shared" ca="1" si="0"/>
        <v>0</v>
      </c>
      <c r="I22" s="722" t="str">
        <f t="shared" ca="1" si="0"/>
        <v/>
      </c>
      <c r="J22" s="722" t="str">
        <f t="shared" ca="1" si="0"/>
        <v/>
      </c>
      <c r="K22" s="722" t="str">
        <f t="shared" ca="1" si="1"/>
        <v/>
      </c>
      <c r="L22" s="722" t="str">
        <f t="shared" ca="1" si="1"/>
        <v/>
      </c>
    </row>
    <row r="23" spans="1:12" ht="21.75" customHeight="1">
      <c r="A23" s="720" t="str">
        <f ca="1">IF(ROWS($1:8)&gt;COUNT(Dong13),"",OFFSET(TH!C$1,SMALL(Dong13,ROWS($1:8)),))</f>
        <v/>
      </c>
      <c r="B23" s="720" t="str">
        <f ca="1">IF(ROWS($1:8)&gt;COUNT(Dong13),"",OFFSET(TH!D$1,SMALL(Dong13,ROWS($1:8)),))</f>
        <v/>
      </c>
      <c r="C23" s="720" t="str">
        <f ca="1">IF(ROWS($1:8)&gt;COUNT(Dong13),"",OFFSET(TH!E$1,SMALL(Dong13,ROWS($1:8)),))</f>
        <v/>
      </c>
      <c r="D23" s="721" t="str">
        <f ca="1">IF(ROWS($1:8)&gt;COUNT(Dong13),"",OFFSET(TH!F$1,SMALL(Dong13,ROWS($1:8)),))</f>
        <v/>
      </c>
      <c r="E23" s="720" t="str">
        <f ca="1">IF(ROWS($1:8)&gt;COUNT(Dong13),"",OFFSET(TH!M$1,SMALL(Dong13,ROWS($1:8)),))</f>
        <v/>
      </c>
      <c r="F23" s="813" t="str">
        <f ca="1">IF(ROWS($1:8)&gt;COUNT(Dong13),"",OFFSET(TH!K$1,SMALL(Dong13,ROWS($1:8)),))</f>
        <v/>
      </c>
      <c r="G23" s="722">
        <f t="shared" ca="1" si="0"/>
        <v>0</v>
      </c>
      <c r="H23" s="722">
        <f t="shared" ca="1" si="0"/>
        <v>0</v>
      </c>
      <c r="I23" s="722" t="str">
        <f t="shared" ca="1" si="0"/>
        <v/>
      </c>
      <c r="J23" s="722" t="str">
        <f t="shared" ca="1" si="0"/>
        <v/>
      </c>
      <c r="K23" s="722" t="str">
        <f t="shared" ca="1" si="1"/>
        <v/>
      </c>
      <c r="L23" s="722" t="str">
        <f t="shared" ca="1" si="1"/>
        <v/>
      </c>
    </row>
    <row r="24" spans="1:12" ht="21.75" customHeight="1">
      <c r="A24" s="720" t="str">
        <f ca="1">IF(ROWS($1:9)&gt;COUNT(Dong13),"",OFFSET(TH!C$1,SMALL(Dong13,ROWS($1:9)),))</f>
        <v/>
      </c>
      <c r="B24" s="720" t="str">
        <f ca="1">IF(ROWS($1:9)&gt;COUNT(Dong13),"",OFFSET(TH!D$1,SMALL(Dong13,ROWS($1:9)),))</f>
        <v/>
      </c>
      <c r="C24" s="720" t="str">
        <f ca="1">IF(ROWS($1:9)&gt;COUNT(Dong13),"",OFFSET(TH!E$1,SMALL(Dong13,ROWS($1:9)),))</f>
        <v/>
      </c>
      <c r="D24" s="721" t="str">
        <f ca="1">IF(ROWS($1:9)&gt;COUNT(Dong13),"",OFFSET(TH!F$1,SMALL(Dong13,ROWS($1:9)),))</f>
        <v/>
      </c>
      <c r="E24" s="720" t="str">
        <f ca="1">IF(ROWS($1:9)&gt;COUNT(Dong13),"",OFFSET(TH!M$1,SMALL(Dong13,ROWS($1:9)),))</f>
        <v/>
      </c>
      <c r="F24" s="813" t="str">
        <f ca="1">IF(ROWS($1:9)&gt;COUNT(Dong13),"",OFFSET(TH!K$1,SMALL(Dong13,ROWS($1:9)),))</f>
        <v/>
      </c>
      <c r="G24" s="722">
        <f t="shared" ca="1" si="0"/>
        <v>0</v>
      </c>
      <c r="H24" s="722">
        <f t="shared" ca="1" si="0"/>
        <v>0</v>
      </c>
      <c r="I24" s="722" t="str">
        <f t="shared" ca="1" si="0"/>
        <v/>
      </c>
      <c r="J24" s="722" t="str">
        <f t="shared" ca="1" si="0"/>
        <v/>
      </c>
      <c r="K24" s="722" t="str">
        <f t="shared" ca="1" si="1"/>
        <v/>
      </c>
      <c r="L24" s="722" t="str">
        <f t="shared" ca="1" si="1"/>
        <v/>
      </c>
    </row>
    <row r="25" spans="1:12" ht="21.75" customHeight="1">
      <c r="A25" s="720" t="str">
        <f ca="1">IF(ROWS($1:10)&gt;COUNT(Dong13),"",OFFSET(TH!C$1,SMALL(Dong13,ROWS($1:10)),))</f>
        <v/>
      </c>
      <c r="B25" s="720" t="str">
        <f ca="1">IF(ROWS($1:10)&gt;COUNT(Dong13),"",OFFSET(TH!D$1,SMALL(Dong13,ROWS($1:10)),))</f>
        <v/>
      </c>
      <c r="C25" s="720" t="str">
        <f ca="1">IF(ROWS($1:10)&gt;COUNT(Dong13),"",OFFSET(TH!E$1,SMALL(Dong13,ROWS($1:10)),))</f>
        <v/>
      </c>
      <c r="D25" s="721" t="str">
        <f ca="1">IF(ROWS($1:10)&gt;COUNT(Dong13),"",OFFSET(TH!F$1,SMALL(Dong13,ROWS($1:10)),))</f>
        <v/>
      </c>
      <c r="E25" s="720" t="str">
        <f ca="1">IF(ROWS($1:10)&gt;COUNT(Dong13),"",OFFSET(TH!M$1,SMALL(Dong13,ROWS($1:10)),))</f>
        <v/>
      </c>
      <c r="F25" s="813" t="str">
        <f ca="1">IF(ROWS($1:10)&gt;COUNT(Dong13),"",OFFSET(TH!K$1,SMALL(Dong13,ROWS($1:10)),))</f>
        <v/>
      </c>
      <c r="G25" s="722">
        <f t="shared" ca="1" si="0"/>
        <v>0</v>
      </c>
      <c r="H25" s="722">
        <f t="shared" ca="1" si="0"/>
        <v>0</v>
      </c>
      <c r="I25" s="722" t="str">
        <f t="shared" ca="1" si="0"/>
        <v/>
      </c>
      <c r="J25" s="722" t="str">
        <f t="shared" ca="1" si="0"/>
        <v/>
      </c>
      <c r="K25" s="722" t="str">
        <f t="shared" ca="1" si="1"/>
        <v/>
      </c>
      <c r="L25" s="722" t="str">
        <f t="shared" ca="1" si="1"/>
        <v/>
      </c>
    </row>
    <row r="26" spans="1:12" ht="21.75" customHeight="1">
      <c r="A26" s="720"/>
      <c r="B26" s="723"/>
      <c r="C26" s="720"/>
      <c r="D26" s="724"/>
      <c r="E26" s="725"/>
      <c r="F26" s="726"/>
      <c r="G26" s="726"/>
      <c r="H26" s="726"/>
      <c r="I26" s="726"/>
      <c r="J26" s="726"/>
      <c r="K26" s="726"/>
      <c r="L26" s="726"/>
    </row>
    <row r="27" spans="1:12" ht="21.75" customHeight="1">
      <c r="A27" s="720"/>
      <c r="B27" s="723"/>
      <c r="C27" s="720"/>
      <c r="D27" s="718" t="s">
        <v>133</v>
      </c>
      <c r="E27" s="717" t="s">
        <v>19</v>
      </c>
      <c r="F27" s="719">
        <f t="shared" ref="F27:L27" ca="1" si="2">SUM(F15:F26)</f>
        <v>0</v>
      </c>
      <c r="G27" s="719">
        <f t="shared" ca="1" si="2"/>
        <v>0</v>
      </c>
      <c r="H27" s="719">
        <f t="shared" ca="1" si="2"/>
        <v>0</v>
      </c>
      <c r="I27" s="719">
        <f t="shared" ca="1" si="2"/>
        <v>0</v>
      </c>
      <c r="J27" s="719">
        <f t="shared" ca="1" si="2"/>
        <v>0</v>
      </c>
      <c r="K27" s="719">
        <f t="shared" ca="1" si="2"/>
        <v>0</v>
      </c>
      <c r="L27" s="719">
        <f t="shared" ca="1" si="2"/>
        <v>0</v>
      </c>
    </row>
    <row r="28" spans="1:12" ht="21.75" customHeight="1">
      <c r="A28" s="727"/>
      <c r="B28" s="725"/>
      <c r="C28" s="727"/>
      <c r="D28" s="728" t="s">
        <v>479</v>
      </c>
      <c r="E28" s="723"/>
      <c r="F28" s="719">
        <f ca="1">SUM(G28:L28)</f>
        <v>0</v>
      </c>
      <c r="G28" s="729">
        <f t="shared" ref="G28:L28" ca="1" si="3">G27</f>
        <v>0</v>
      </c>
      <c r="H28" s="729">
        <f t="shared" ca="1" si="3"/>
        <v>0</v>
      </c>
      <c r="I28" s="729">
        <f t="shared" ca="1" si="3"/>
        <v>0</v>
      </c>
      <c r="J28" s="729">
        <f t="shared" ca="1" si="3"/>
        <v>0</v>
      </c>
      <c r="K28" s="729">
        <f t="shared" ca="1" si="3"/>
        <v>0</v>
      </c>
      <c r="L28" s="729">
        <f t="shared" ca="1" si="3"/>
        <v>0</v>
      </c>
    </row>
    <row r="29" spans="1:12" ht="21.75" customHeight="1">
      <c r="A29" s="730"/>
      <c r="B29" s="730"/>
      <c r="C29" s="730"/>
      <c r="D29" s="731" t="s">
        <v>10</v>
      </c>
      <c r="E29" s="730" t="s">
        <v>19</v>
      </c>
      <c r="F29" s="732">
        <f t="shared" ref="F29:L29" ca="1" si="4">F15+F27-F28</f>
        <v>0</v>
      </c>
      <c r="G29" s="732">
        <f t="shared" ca="1" si="4"/>
        <v>0</v>
      </c>
      <c r="H29" s="732">
        <f t="shared" ca="1" si="4"/>
        <v>0</v>
      </c>
      <c r="I29" s="732">
        <f t="shared" ca="1" si="4"/>
        <v>0</v>
      </c>
      <c r="J29" s="732">
        <f t="shared" ca="1" si="4"/>
        <v>0</v>
      </c>
      <c r="K29" s="732">
        <f t="shared" ca="1" si="4"/>
        <v>0</v>
      </c>
      <c r="L29" s="732">
        <f t="shared" ca="1" si="4"/>
        <v>0</v>
      </c>
    </row>
    <row r="31" spans="1:12">
      <c r="B31" s="733"/>
      <c r="C31" s="713" t="s">
        <v>456</v>
      </c>
    </row>
    <row r="32" spans="1:12">
      <c r="C32" s="713" t="e">
        <f ca="1">"- Ngày mở sổ: "&amp;"01/"&amp;MONTH(A16)&amp;"/"&amp;YEAR(A16)</f>
        <v>#VALUE!</v>
      </c>
    </row>
    <row r="33" spans="2:12">
      <c r="E33" s="712"/>
      <c r="F33" s="712"/>
      <c r="G33" s="712"/>
      <c r="H33" s="712"/>
      <c r="I33" s="712"/>
      <c r="J33" s="108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81"/>
      <c r="L33" s="1081"/>
    </row>
    <row r="34" spans="2:12">
      <c r="B34" s="712"/>
      <c r="C34" s="805" t="s">
        <v>11</v>
      </c>
      <c r="D34" s="712"/>
      <c r="E34" s="712"/>
      <c r="F34" s="712"/>
      <c r="G34" s="712"/>
      <c r="H34" s="712"/>
      <c r="I34" s="712"/>
      <c r="J34" s="1081" t="s">
        <v>12</v>
      </c>
      <c r="K34" s="1081"/>
      <c r="L34" s="1081"/>
    </row>
    <row r="35" spans="2:12">
      <c r="B35" s="712"/>
      <c r="C35" s="805" t="s">
        <v>13</v>
      </c>
      <c r="D35" s="712"/>
      <c r="E35" s="712"/>
      <c r="F35" s="712"/>
      <c r="G35" s="712"/>
      <c r="H35" s="712"/>
      <c r="I35" s="712"/>
      <c r="J35" s="1127" t="s">
        <v>13</v>
      </c>
      <c r="K35" s="1127"/>
      <c r="L35" s="1127"/>
    </row>
  </sheetData>
  <mergeCells count="17"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58</vt:i4>
      </vt:variant>
    </vt:vector>
  </HeadingPairs>
  <TitlesOfParts>
    <vt:vector size="82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2016-12-05T09:26:51Z</dcterms:modified>
</cp:coreProperties>
</file>