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3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TH!$B$11:$X$21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- 8'!$A$1:$AS$41</definedName>
    <definedName name="_xlnm.Print_Area" localSheetId="1">'CC -1'!$A$1:$AS$41</definedName>
    <definedName name="_xlnm.Print_Area" localSheetId="19">'CC -10'!$A$1:$AS$41</definedName>
    <definedName name="_xlnm.Print_Area" localSheetId="21">'CC -11'!$A$1:$AS$41</definedName>
    <definedName name="_xlnm.Print_Area" localSheetId="23">'CC -12'!$A$1:$AS$41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-5'!$A$1:$AS$41</definedName>
    <definedName name="_xlnm.Print_Area" localSheetId="11">'CC -6'!$A$1:$AS$41</definedName>
    <definedName name="_xlnm.Print_Area" localSheetId="13">'CC -7'!$A$1:$AS$41</definedName>
    <definedName name="_xlnm.Print_Area" localSheetId="17">'CC -9'!$A$1:$AS$41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6" i="46" l="1"/>
  <c r="D16" i="46"/>
  <c r="E16" i="46"/>
  <c r="N16" i="46"/>
  <c r="O16" i="46"/>
  <c r="P16" i="46"/>
  <c r="R16" i="46"/>
  <c r="C17" i="46"/>
  <c r="D17" i="46"/>
  <c r="E17" i="46"/>
  <c r="N17" i="46"/>
  <c r="O17" i="46"/>
  <c r="P17" i="46"/>
  <c r="R17" i="46"/>
  <c r="AL18" i="45"/>
  <c r="D18" i="45"/>
  <c r="C18" i="45"/>
  <c r="AL16" i="45"/>
  <c r="D16" i="45"/>
  <c r="C16" i="45"/>
  <c r="AL14" i="45"/>
  <c r="D14" i="45"/>
  <c r="C14" i="45"/>
  <c r="C16" i="44"/>
  <c r="D16" i="44"/>
  <c r="E16" i="44"/>
  <c r="N16" i="44"/>
  <c r="O16" i="44"/>
  <c r="P16" i="44"/>
  <c r="R16" i="44"/>
  <c r="C17" i="44"/>
  <c r="D17" i="44"/>
  <c r="E17" i="44"/>
  <c r="N17" i="44"/>
  <c r="O17" i="44"/>
  <c r="P17" i="44"/>
  <c r="R17" i="44"/>
  <c r="AL18" i="43"/>
  <c r="D18" i="43"/>
  <c r="C18" i="43"/>
  <c r="AL16" i="43"/>
  <c r="D16" i="43"/>
  <c r="C16" i="43"/>
  <c r="AL14" i="43"/>
  <c r="D14" i="43"/>
  <c r="C14" i="43"/>
  <c r="C16" i="42"/>
  <c r="D16" i="42"/>
  <c r="E16" i="42"/>
  <c r="N16" i="42"/>
  <c r="O16" i="42"/>
  <c r="P16" i="42"/>
  <c r="R16" i="42"/>
  <c r="C17" i="42"/>
  <c r="D17" i="42"/>
  <c r="E17" i="42"/>
  <c r="N17" i="42"/>
  <c r="O17" i="42"/>
  <c r="P17" i="42"/>
  <c r="R17" i="42"/>
  <c r="AL18" i="41"/>
  <c r="D18" i="41"/>
  <c r="C18" i="41"/>
  <c r="AL16" i="41"/>
  <c r="D16" i="41"/>
  <c r="C16" i="41"/>
  <c r="AL14" i="41"/>
  <c r="D14" i="41"/>
  <c r="C14" i="41"/>
  <c r="C16" i="40"/>
  <c r="D16" i="40"/>
  <c r="E16" i="40"/>
  <c r="N16" i="40"/>
  <c r="O16" i="40"/>
  <c r="P16" i="40"/>
  <c r="R16" i="40"/>
  <c r="C17" i="40"/>
  <c r="D17" i="40"/>
  <c r="E17" i="40"/>
  <c r="N17" i="40"/>
  <c r="O17" i="40"/>
  <c r="P17" i="40"/>
  <c r="R17" i="40"/>
  <c r="AL18" i="39"/>
  <c r="D18" i="39"/>
  <c r="C18" i="39"/>
  <c r="AL16" i="39"/>
  <c r="D16" i="39"/>
  <c r="C16" i="39"/>
  <c r="AL14" i="39"/>
  <c r="D14" i="39"/>
  <c r="C14" i="39"/>
  <c r="C16" i="38"/>
  <c r="D16" i="38"/>
  <c r="E16" i="38"/>
  <c r="N16" i="38"/>
  <c r="O16" i="38"/>
  <c r="P16" i="38"/>
  <c r="R16" i="38"/>
  <c r="C17" i="38"/>
  <c r="D17" i="38"/>
  <c r="E17" i="38"/>
  <c r="N17" i="38"/>
  <c r="O17" i="38"/>
  <c r="P17" i="38"/>
  <c r="R17" i="38"/>
  <c r="AL18" i="37"/>
  <c r="D18" i="37"/>
  <c r="C18" i="37"/>
  <c r="AL16" i="37"/>
  <c r="D16" i="37"/>
  <c r="C16" i="37"/>
  <c r="AL14" i="37"/>
  <c r="D14" i="37"/>
  <c r="C14" i="37"/>
  <c r="C16" i="36"/>
  <c r="D16" i="36"/>
  <c r="E16" i="36"/>
  <c r="N16" i="36"/>
  <c r="O16" i="36"/>
  <c r="P16" i="36"/>
  <c r="R16" i="36"/>
  <c r="C17" i="36"/>
  <c r="D17" i="36"/>
  <c r="E17" i="36"/>
  <c r="N17" i="36"/>
  <c r="O17" i="36"/>
  <c r="P17" i="36"/>
  <c r="R17" i="36"/>
  <c r="AL18" i="35"/>
  <c r="D18" i="35"/>
  <c r="C18" i="35"/>
  <c r="AL16" i="35"/>
  <c r="D16" i="35"/>
  <c r="C16" i="35"/>
  <c r="AL14" i="35"/>
  <c r="D14" i="35"/>
  <c r="C14" i="35"/>
  <c r="C16" i="34"/>
  <c r="D16" i="34"/>
  <c r="E16" i="34"/>
  <c r="N16" i="34"/>
  <c r="O16" i="34"/>
  <c r="P16" i="34"/>
  <c r="R16" i="34"/>
  <c r="C17" i="34"/>
  <c r="D17" i="34"/>
  <c r="E17" i="34"/>
  <c r="N17" i="34"/>
  <c r="O17" i="34"/>
  <c r="P17" i="34"/>
  <c r="R17" i="34"/>
  <c r="AL18" i="33"/>
  <c r="D18" i="33"/>
  <c r="C18" i="33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AL18" i="14"/>
  <c r="D18" i="14"/>
  <c r="C18" i="14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7" i="54"/>
  <c r="D17" i="54"/>
  <c r="E17" i="54"/>
  <c r="N17" i="54"/>
  <c r="O17" i="54"/>
  <c r="P17" i="54"/>
  <c r="R17" i="54"/>
  <c r="C16" i="53"/>
  <c r="C18" i="53"/>
  <c r="AK18" i="53"/>
  <c r="D18" i="53"/>
  <c r="AK16" i="53"/>
  <c r="D16" i="53"/>
  <c r="A16" i="53"/>
  <c r="A18" i="53" s="1"/>
  <c r="AK14" i="53"/>
  <c r="D14" i="53"/>
  <c r="C14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6" i="51"/>
  <c r="C18" i="51"/>
  <c r="AL18" i="51"/>
  <c r="D18" i="51"/>
  <c r="AL16" i="51"/>
  <c r="D16" i="51"/>
  <c r="A16" i="51"/>
  <c r="A18" i="51" s="1"/>
  <c r="AL14" i="51"/>
  <c r="D14" i="51"/>
  <c r="C14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AJ18" i="49"/>
  <c r="D18" i="49"/>
  <c r="C18" i="49"/>
  <c r="R15" i="54"/>
  <c r="P15" i="54"/>
  <c r="O15" i="54"/>
  <c r="O19" i="54" s="1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1" i="54" s="1"/>
  <c r="AK11" i="53"/>
  <c r="D11" i="53"/>
  <c r="C11" i="53"/>
  <c r="AK9" i="53"/>
  <c r="D9" i="53"/>
  <c r="C9" i="53"/>
  <c r="F5" i="53"/>
  <c r="F6" i="53" s="1"/>
  <c r="S1" i="53"/>
  <c r="R15" i="52"/>
  <c r="R19" i="52" s="1"/>
  <c r="P15" i="52"/>
  <c r="P19" i="52" s="1"/>
  <c r="O15" i="52"/>
  <c r="N15" i="52"/>
  <c r="E15" i="52"/>
  <c r="E19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1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1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1" i="48" s="1"/>
  <c r="AL18" i="47"/>
  <c r="D18" i="47"/>
  <c r="C18" i="47"/>
  <c r="AL16" i="47"/>
  <c r="D16" i="47"/>
  <c r="C16" i="47"/>
  <c r="A16" i="47"/>
  <c r="A18" i="47" s="1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9" i="50" l="1"/>
  <c r="R19" i="50"/>
  <c r="E19" i="54"/>
  <c r="R19" i="54"/>
  <c r="N19" i="54"/>
  <c r="D1" i="50"/>
  <c r="R13" i="52"/>
  <c r="E19" i="48"/>
  <c r="N13" i="50"/>
  <c r="P13" i="54"/>
  <c r="N13" i="52"/>
  <c r="O13" i="54"/>
  <c r="N13" i="54"/>
  <c r="R13" i="54"/>
  <c r="P19" i="54"/>
  <c r="D1" i="52"/>
  <c r="D1" i="48"/>
  <c r="D1" i="54"/>
  <c r="R13" i="48"/>
  <c r="O13" i="52"/>
  <c r="N19" i="52"/>
  <c r="G5" i="53"/>
  <c r="E13" i="54"/>
  <c r="N13" i="48"/>
  <c r="R19" i="48"/>
  <c r="R13" i="50"/>
  <c r="P19" i="50"/>
  <c r="P13" i="52"/>
  <c r="O19" i="52"/>
  <c r="O13" i="50"/>
  <c r="N19" i="50"/>
  <c r="G5" i="51"/>
  <c r="E13" i="52"/>
  <c r="P19" i="48"/>
  <c r="P13" i="50"/>
  <c r="O19" i="50"/>
  <c r="O13" i="48"/>
  <c r="N19" i="48"/>
  <c r="G5" i="49"/>
  <c r="E13" i="50"/>
  <c r="P13" i="48"/>
  <c r="O19" i="48"/>
  <c r="G5" i="47"/>
  <c r="E13" i="48"/>
  <c r="K24" i="15"/>
  <c r="G6" i="53" l="1"/>
  <c r="H5" i="53"/>
  <c r="G6" i="51"/>
  <c r="H5" i="51"/>
  <c r="G6" i="49"/>
  <c r="H5" i="49"/>
  <c r="H5" i="47"/>
  <c r="G6" i="47"/>
  <c r="K25" i="15"/>
  <c r="I5" i="53" l="1"/>
  <c r="H6" i="53"/>
  <c r="I5" i="51"/>
  <c r="H6" i="51"/>
  <c r="I5" i="49"/>
  <c r="H6" i="49"/>
  <c r="I5" i="47"/>
  <c r="H6" i="47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1" i="46" s="1"/>
  <c r="AL11" i="45"/>
  <c r="D11" i="45"/>
  <c r="C11" i="45"/>
  <c r="AL9" i="45"/>
  <c r="D9" i="45"/>
  <c r="C9" i="45"/>
  <c r="F5" i="45"/>
  <c r="G5" i="45" s="1"/>
  <c r="S1" i="45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1" i="44" s="1"/>
  <c r="AL11" i="43"/>
  <c r="D11" i="43"/>
  <c r="C11" i="43"/>
  <c r="A11" i="43"/>
  <c r="AL9" i="43"/>
  <c r="D9" i="43"/>
  <c r="C9" i="43"/>
  <c r="F5" i="43"/>
  <c r="G5" i="43" s="1"/>
  <c r="S1" i="43"/>
  <c r="R15" i="42"/>
  <c r="P15" i="42"/>
  <c r="O15" i="42"/>
  <c r="N15" i="42"/>
  <c r="E15" i="42"/>
  <c r="D15" i="42"/>
  <c r="C15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1" i="42" s="1"/>
  <c r="AL11" i="41"/>
  <c r="D11" i="41"/>
  <c r="C11" i="41"/>
  <c r="A11" i="41"/>
  <c r="AL9" i="41"/>
  <c r="D9" i="41"/>
  <c r="C9" i="41"/>
  <c r="F5" i="41"/>
  <c r="G5" i="41" s="1"/>
  <c r="S1" i="41"/>
  <c r="E13" i="46" l="1"/>
  <c r="R13" i="46"/>
  <c r="J5" i="53"/>
  <c r="I6" i="53"/>
  <c r="J5" i="51"/>
  <c r="I6" i="51"/>
  <c r="E13" i="44"/>
  <c r="R13" i="44"/>
  <c r="N13" i="46"/>
  <c r="P13" i="44"/>
  <c r="J5" i="49"/>
  <c r="I6" i="49"/>
  <c r="O13" i="44"/>
  <c r="P13" i="46"/>
  <c r="N13" i="44"/>
  <c r="O13" i="46"/>
  <c r="I6" i="47"/>
  <c r="J5" i="47"/>
  <c r="F6" i="43"/>
  <c r="E19" i="42"/>
  <c r="R19" i="42"/>
  <c r="E19" i="44"/>
  <c r="R19" i="44"/>
  <c r="F6" i="45"/>
  <c r="F6" i="41"/>
  <c r="N13" i="42"/>
  <c r="E19" i="46"/>
  <c r="P19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19" i="42"/>
  <c r="O13" i="42"/>
  <c r="P13" i="42"/>
  <c r="R13" i="42"/>
  <c r="O19" i="42"/>
  <c r="G6" i="41"/>
  <c r="H5" i="41"/>
  <c r="E13" i="42"/>
  <c r="R15" i="40"/>
  <c r="P15" i="40"/>
  <c r="O15" i="40"/>
  <c r="N15" i="40"/>
  <c r="E15" i="40"/>
  <c r="D15" i="40"/>
  <c r="C15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1" i="40" s="1"/>
  <c r="AL11" i="39"/>
  <c r="D11" i="39"/>
  <c r="C11" i="39"/>
  <c r="A11" i="39"/>
  <c r="AL9" i="39"/>
  <c r="D9" i="39"/>
  <c r="C9" i="39"/>
  <c r="F5" i="39"/>
  <c r="G5" i="39" s="1"/>
  <c r="S1" i="39"/>
  <c r="R15" i="38"/>
  <c r="P15" i="38"/>
  <c r="O15" i="38"/>
  <c r="N15" i="38"/>
  <c r="E15" i="38"/>
  <c r="D15" i="38"/>
  <c r="C15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1" i="38" s="1"/>
  <c r="AL11" i="37"/>
  <c r="D11" i="37"/>
  <c r="C11" i="37"/>
  <c r="A11" i="37"/>
  <c r="AL9" i="37"/>
  <c r="D9" i="37"/>
  <c r="C9" i="37"/>
  <c r="F5" i="37"/>
  <c r="F6" i="37" s="1"/>
  <c r="S1" i="37"/>
  <c r="R15" i="36"/>
  <c r="P15" i="36"/>
  <c r="O15" i="36"/>
  <c r="N15" i="36"/>
  <c r="E15" i="36"/>
  <c r="D15" i="36"/>
  <c r="C15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1" i="36" s="1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3" i="40"/>
  <c r="P19" i="40"/>
  <c r="I5" i="45"/>
  <c r="H6" i="45"/>
  <c r="R13" i="38"/>
  <c r="P19" i="38"/>
  <c r="O13" i="40"/>
  <c r="N19" i="40"/>
  <c r="I5" i="43"/>
  <c r="H6" i="43"/>
  <c r="E19" i="40"/>
  <c r="R19" i="40"/>
  <c r="I5" i="41"/>
  <c r="H6" i="41"/>
  <c r="R13" i="36"/>
  <c r="P19" i="36"/>
  <c r="N13" i="38"/>
  <c r="E19" i="38"/>
  <c r="R19" i="38"/>
  <c r="P13" i="40"/>
  <c r="R13" i="40"/>
  <c r="O19" i="40"/>
  <c r="F6" i="39"/>
  <c r="D1" i="40"/>
  <c r="G6" i="39"/>
  <c r="H5" i="39"/>
  <c r="E13" i="40"/>
  <c r="N13" i="36"/>
  <c r="E19" i="36"/>
  <c r="R19" i="36"/>
  <c r="O13" i="38"/>
  <c r="N19" i="38"/>
  <c r="O13" i="36"/>
  <c r="P13" i="38"/>
  <c r="O19" i="38"/>
  <c r="G5" i="37"/>
  <c r="E13" i="38"/>
  <c r="N19" i="36"/>
  <c r="P13" i="36"/>
  <c r="O19" i="36"/>
  <c r="G5" i="35"/>
  <c r="E13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9" i="16"/>
  <c r="P13" i="16"/>
  <c r="O19" i="16"/>
  <c r="E19" i="16"/>
  <c r="R19" i="16"/>
  <c r="N19" i="16"/>
  <c r="N13" i="16"/>
  <c r="R13" i="16"/>
  <c r="G6" i="35"/>
  <c r="H5" i="35"/>
  <c r="O13" i="16"/>
  <c r="AL11" i="14"/>
  <c r="D11" i="14"/>
  <c r="C11" i="14"/>
  <c r="A12" i="15"/>
  <c r="A13" i="15"/>
  <c r="A14" i="15"/>
  <c r="A15" i="15"/>
  <c r="A16" i="15"/>
  <c r="A17" i="15"/>
  <c r="A18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9" i="34"/>
  <c r="K6" i="41"/>
  <c r="L5" i="41"/>
  <c r="J6" i="39"/>
  <c r="K5" i="39"/>
  <c r="O19" i="34"/>
  <c r="J5" i="37"/>
  <c r="I6" i="37"/>
  <c r="P19" i="34"/>
  <c r="E19" i="34"/>
  <c r="R19" i="34"/>
  <c r="J5" i="35"/>
  <c r="I6" i="35"/>
  <c r="S21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9" i="15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1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4" i="15"/>
  <c r="N102" i="15" s="1"/>
  <c r="M75" i="15"/>
  <c r="N104" i="15" s="1"/>
  <c r="M76" i="15"/>
  <c r="N106" i="15" s="1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46" i="15"/>
  <c r="J20" i="15" a="1"/>
  <c r="J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8" i="15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46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Q20" i="15" a="1"/>
  <c r="Q20" i="15" s="1"/>
  <c r="R20" i="15" a="1"/>
  <c r="R20" i="15" s="1"/>
  <c r="S20" i="15" a="1"/>
  <c r="S20" i="15" s="1"/>
  <c r="T20" i="15" a="1"/>
  <c r="T20" i="15" s="1"/>
  <c r="U20" i="15" a="1"/>
  <c r="U20" i="15" s="1"/>
  <c r="U19" i="15"/>
  <c r="K19" i="15"/>
  <c r="L19" i="15"/>
  <c r="M19" i="15"/>
  <c r="N19" i="15"/>
  <c r="O19" i="15"/>
  <c r="P19" i="15"/>
  <c r="Q19" i="15"/>
  <c r="R19" i="15"/>
  <c r="S19" i="15"/>
  <c r="T19" i="15"/>
  <c r="G19" i="15"/>
  <c r="H19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K18" i="49"/>
  <c r="H17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8" i="51" l="1"/>
  <c r="H17" i="52" s="1"/>
  <c r="AK18" i="51"/>
  <c r="AM14" i="51"/>
  <c r="AM16" i="51"/>
  <c r="H16" i="52" s="1"/>
  <c r="AK16" i="51"/>
  <c r="AK14" i="51"/>
  <c r="AL18" i="49"/>
  <c r="F17" i="50"/>
  <c r="AJ16" i="53"/>
  <c r="F16" i="54" s="1"/>
  <c r="AL14" i="53"/>
  <c r="H15" i="54" s="1"/>
  <c r="AJ14" i="53"/>
  <c r="AL18" i="53"/>
  <c r="H17" i="54" s="1"/>
  <c r="AJ18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M18" i="47"/>
  <c r="AK9" i="47"/>
  <c r="F10" i="48" s="1"/>
  <c r="AM14" i="47"/>
  <c r="AK18" i="47"/>
  <c r="F17" i="48" s="1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AM18" i="53"/>
  <c r="F17" i="54"/>
  <c r="L16" i="54"/>
  <c r="J16" i="54"/>
  <c r="H15" i="52"/>
  <c r="F17" i="52"/>
  <c r="AN18" i="51"/>
  <c r="F16" i="52"/>
  <c r="AN16" i="51"/>
  <c r="J17" i="50"/>
  <c r="L17" i="50"/>
  <c r="L16" i="50"/>
  <c r="J16" i="50"/>
  <c r="H10" i="48"/>
  <c r="H17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8" i="47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6" i="45" l="1"/>
  <c r="AM16" i="45"/>
  <c r="H16" i="46" s="1"/>
  <c r="AM14" i="45"/>
  <c r="AK18" i="45"/>
  <c r="AM18" i="45"/>
  <c r="H17" i="46" s="1"/>
  <c r="AK14" i="45"/>
  <c r="AN14" i="45" s="1"/>
  <c r="AM16" i="43"/>
  <c r="AK18" i="43"/>
  <c r="AK16" i="43"/>
  <c r="AM14" i="43"/>
  <c r="AM18" i="43"/>
  <c r="AK14" i="43"/>
  <c r="AK18" i="41"/>
  <c r="AM16" i="41"/>
  <c r="H16" i="42" s="1"/>
  <c r="AK14" i="41"/>
  <c r="AM14" i="41"/>
  <c r="AM18" i="41"/>
  <c r="H17" i="42" s="1"/>
  <c r="AK16" i="41"/>
  <c r="U2" i="54"/>
  <c r="I17" i="54" s="1"/>
  <c r="U2" i="50"/>
  <c r="G16" i="50" s="1"/>
  <c r="J17" i="54"/>
  <c r="L17" i="54"/>
  <c r="L16" i="52"/>
  <c r="J16" i="52"/>
  <c r="L17" i="52"/>
  <c r="J17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L17" i="48"/>
  <c r="J17" i="48"/>
  <c r="AK11" i="45"/>
  <c r="AM11" i="45"/>
  <c r="AK9" i="45"/>
  <c r="AM9" i="45"/>
  <c r="H10" i="46" s="1"/>
  <c r="AK11" i="43"/>
  <c r="AM11" i="43"/>
  <c r="AK9" i="43"/>
  <c r="F10" i="44" s="1"/>
  <c r="AM9" i="43"/>
  <c r="H10" i="44" s="1"/>
  <c r="AK11" i="41"/>
  <c r="AK9" i="41"/>
  <c r="AM11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4" i="41" l="1"/>
  <c r="AN14" i="43"/>
  <c r="L19" i="54"/>
  <c r="H11" i="46"/>
  <c r="H11" i="42"/>
  <c r="I11" i="54"/>
  <c r="G10" i="54"/>
  <c r="I10" i="54"/>
  <c r="I16" i="54"/>
  <c r="I15" i="54"/>
  <c r="G11" i="54"/>
  <c r="G17" i="54"/>
  <c r="K17" i="54" s="1"/>
  <c r="M17" i="54" s="1"/>
  <c r="Q17" i="54" s="1"/>
  <c r="S17" i="54" s="1"/>
  <c r="G15" i="54"/>
  <c r="G16" i="54"/>
  <c r="AN18" i="45"/>
  <c r="F17" i="46"/>
  <c r="F16" i="46"/>
  <c r="AN16" i="45"/>
  <c r="F16" i="44"/>
  <c r="L16" i="44" s="1"/>
  <c r="AN16" i="43"/>
  <c r="H16" i="44" s="1"/>
  <c r="AN18" i="43"/>
  <c r="H17" i="44" s="1"/>
  <c r="F17" i="44"/>
  <c r="F16" i="42"/>
  <c r="AN16" i="41"/>
  <c r="F17" i="42"/>
  <c r="AN18" i="41"/>
  <c r="AM18" i="39"/>
  <c r="H17" i="40" s="1"/>
  <c r="AM14" i="39"/>
  <c r="AK16" i="39"/>
  <c r="AK18" i="39"/>
  <c r="AM16" i="39"/>
  <c r="H16" i="40" s="1"/>
  <c r="AK14" i="39"/>
  <c r="AN14" i="39" s="1"/>
  <c r="I16" i="50"/>
  <c r="K16" i="50" s="1"/>
  <c r="M16" i="50" s="1"/>
  <c r="Q16" i="50" s="1"/>
  <c r="S16" i="50" s="1"/>
  <c r="G15" i="50"/>
  <c r="G10" i="50"/>
  <c r="G11" i="50"/>
  <c r="G17" i="50"/>
  <c r="I11" i="50"/>
  <c r="I10" i="50"/>
  <c r="I17" i="50"/>
  <c r="I15" i="50"/>
  <c r="G10" i="48"/>
  <c r="G17" i="48"/>
  <c r="G11" i="48"/>
  <c r="G16" i="48"/>
  <c r="I10" i="48"/>
  <c r="I11" i="48"/>
  <c r="I17" i="48"/>
  <c r="I16" i="48"/>
  <c r="I15" i="48"/>
  <c r="K15" i="48" s="1"/>
  <c r="G10" i="52"/>
  <c r="G15" i="52"/>
  <c r="L13" i="52"/>
  <c r="G17" i="52"/>
  <c r="I17" i="52"/>
  <c r="G16" i="52"/>
  <c r="I16" i="52"/>
  <c r="I11" i="52"/>
  <c r="K11" i="52" s="1"/>
  <c r="M11" i="52" s="1"/>
  <c r="Q11" i="52" s="1"/>
  <c r="S11" i="52" s="1"/>
  <c r="I10" i="52"/>
  <c r="I15" i="52"/>
  <c r="H15" i="46"/>
  <c r="H15" i="44"/>
  <c r="H15" i="42"/>
  <c r="L13" i="54"/>
  <c r="L19" i="50"/>
  <c r="L19" i="52"/>
  <c r="L13" i="50"/>
  <c r="L19" i="48"/>
  <c r="L13" i="48"/>
  <c r="F11" i="46"/>
  <c r="AN11" i="45"/>
  <c r="F15" i="46"/>
  <c r="AN9" i="45"/>
  <c r="F10" i="46"/>
  <c r="F11" i="44"/>
  <c r="AN11" i="43"/>
  <c r="AN9" i="43"/>
  <c r="H11" i="44" s="1"/>
  <c r="F15" i="44"/>
  <c r="AN9" i="41"/>
  <c r="F10" i="42"/>
  <c r="F15" i="42"/>
  <c r="AN11" i="41"/>
  <c r="F11" i="42"/>
  <c r="AK11" i="39"/>
  <c r="AM9" i="39"/>
  <c r="H10" i="40" s="1"/>
  <c r="AK9" i="39"/>
  <c r="AM11" i="39"/>
  <c r="AI6" i="37"/>
  <c r="AJ5" i="37"/>
  <c r="AJ6" i="37" s="1"/>
  <c r="AI6" i="35"/>
  <c r="AJ5" i="35"/>
  <c r="AJ6" i="35" s="1"/>
  <c r="AH5" i="33"/>
  <c r="AG6" i="33"/>
  <c r="W5" i="14"/>
  <c r="V6" i="14"/>
  <c r="K10" i="50" l="1"/>
  <c r="K10" i="48"/>
  <c r="M10" i="48" s="1"/>
  <c r="Q10" i="48" s="1"/>
  <c r="S10" i="48" s="1"/>
  <c r="K11" i="54"/>
  <c r="M11" i="54" s="1"/>
  <c r="Q11" i="54" s="1"/>
  <c r="S11" i="54" s="1"/>
  <c r="K15" i="54"/>
  <c r="M15" i="54" s="1"/>
  <c r="U2" i="44"/>
  <c r="G10" i="44" s="1"/>
  <c r="G19" i="50"/>
  <c r="K15" i="50"/>
  <c r="M15" i="50" s="1"/>
  <c r="K16" i="54"/>
  <c r="M16" i="54" s="1"/>
  <c r="Q16" i="54" s="1"/>
  <c r="S16" i="54" s="1"/>
  <c r="I13" i="54"/>
  <c r="J16" i="44"/>
  <c r="H11" i="40"/>
  <c r="K10" i="54"/>
  <c r="I19" i="54"/>
  <c r="G13" i="54"/>
  <c r="G19" i="54"/>
  <c r="G19" i="52"/>
  <c r="L16" i="46"/>
  <c r="J16" i="46"/>
  <c r="L17" i="46"/>
  <c r="J17" i="46"/>
  <c r="L17" i="44"/>
  <c r="J17" i="44"/>
  <c r="L17" i="42"/>
  <c r="J17" i="42"/>
  <c r="L16" i="42"/>
  <c r="J16" i="42"/>
  <c r="F17" i="40"/>
  <c r="AN18" i="39"/>
  <c r="AN16" i="39"/>
  <c r="F16" i="40"/>
  <c r="AK16" i="37"/>
  <c r="AM18" i="37"/>
  <c r="H17" i="38" s="1"/>
  <c r="AK18" i="37"/>
  <c r="AM14" i="37"/>
  <c r="AK14" i="37"/>
  <c r="AM16" i="37"/>
  <c r="H16" i="38" s="1"/>
  <c r="I13" i="50"/>
  <c r="I19" i="50"/>
  <c r="K11" i="50"/>
  <c r="M11" i="50" s="1"/>
  <c r="Q11" i="50" s="1"/>
  <c r="S11" i="50" s="1"/>
  <c r="G13" i="50"/>
  <c r="K17" i="50"/>
  <c r="M17" i="50" s="1"/>
  <c r="Q17" i="50" s="1"/>
  <c r="S17" i="50" s="1"/>
  <c r="K16" i="48"/>
  <c r="M16" i="48" s="1"/>
  <c r="Q16" i="48" s="1"/>
  <c r="S16" i="48" s="1"/>
  <c r="AK16" i="35"/>
  <c r="AM14" i="35"/>
  <c r="AM16" i="35"/>
  <c r="H16" i="36" s="1"/>
  <c r="AK14" i="35"/>
  <c r="AM18" i="35"/>
  <c r="H17" i="36" s="1"/>
  <c r="AK18" i="35"/>
  <c r="K10" i="52"/>
  <c r="M10" i="52" s="1"/>
  <c r="K17" i="48"/>
  <c r="M17" i="48" s="1"/>
  <c r="Q17" i="48" s="1"/>
  <c r="S17" i="48" s="1"/>
  <c r="K11" i="48"/>
  <c r="M11" i="48" s="1"/>
  <c r="Q11" i="48" s="1"/>
  <c r="S11" i="48" s="1"/>
  <c r="G19" i="48"/>
  <c r="G13" i="48"/>
  <c r="I19" i="48"/>
  <c r="I13" i="48"/>
  <c r="G13" i="52"/>
  <c r="K15" i="52"/>
  <c r="M15" i="52" s="1"/>
  <c r="I13" i="52"/>
  <c r="K17" i="52"/>
  <c r="M17" i="52" s="1"/>
  <c r="Q17" i="52" s="1"/>
  <c r="S17" i="52" s="1"/>
  <c r="I19" i="52"/>
  <c r="K16" i="52"/>
  <c r="M16" i="52" s="1"/>
  <c r="Q16" i="52" s="1"/>
  <c r="S16" i="52" s="1"/>
  <c r="U2" i="46"/>
  <c r="I11" i="46" s="1"/>
  <c r="U2" i="42"/>
  <c r="H15" i="40"/>
  <c r="M10" i="50"/>
  <c r="M15" i="48"/>
  <c r="L10" i="46"/>
  <c r="J10" i="46"/>
  <c r="J15" i="46"/>
  <c r="L15" i="46"/>
  <c r="L11" i="46"/>
  <c r="J11" i="46"/>
  <c r="L10" i="44"/>
  <c r="J10" i="44"/>
  <c r="L11" i="44"/>
  <c r="J11" i="44"/>
  <c r="J15" i="44"/>
  <c r="L15" i="44"/>
  <c r="L11" i="42"/>
  <c r="J11" i="42"/>
  <c r="J15" i="42"/>
  <c r="L15" i="42"/>
  <c r="L10" i="42"/>
  <c r="J10" i="42"/>
  <c r="F15" i="40"/>
  <c r="F11" i="40"/>
  <c r="AN11" i="39"/>
  <c r="AN9" i="39"/>
  <c r="F10" i="40"/>
  <c r="AK9" i="37"/>
  <c r="AM11" i="37"/>
  <c r="H11" i="38" s="1"/>
  <c r="AM9" i="37"/>
  <c r="H10" i="38" s="1"/>
  <c r="AK11" i="37"/>
  <c r="AK9" i="35"/>
  <c r="AK11" i="35"/>
  <c r="AM11" i="35"/>
  <c r="H11" i="36" s="1"/>
  <c r="AM9" i="35"/>
  <c r="H10" i="36" s="1"/>
  <c r="AH6" i="33"/>
  <c r="AI5" i="33"/>
  <c r="X5" i="14"/>
  <c r="W6" i="14"/>
  <c r="AN14" i="37" l="1"/>
  <c r="K13" i="50"/>
  <c r="K13" i="54"/>
  <c r="K19" i="50"/>
  <c r="K19" i="54"/>
  <c r="AN14" i="35"/>
  <c r="M10" i="54"/>
  <c r="M13" i="54" s="1"/>
  <c r="K13" i="52"/>
  <c r="G10" i="42"/>
  <c r="L16" i="40"/>
  <c r="J16" i="40"/>
  <c r="L17" i="40"/>
  <c r="J17" i="40"/>
  <c r="F17" i="38"/>
  <c r="AN18" i="37"/>
  <c r="F16" i="38"/>
  <c r="AN16" i="37"/>
  <c r="K19" i="48"/>
  <c r="K13" i="48"/>
  <c r="F17" i="36"/>
  <c r="AN18" i="35"/>
  <c r="AN16" i="35"/>
  <c r="F16" i="36"/>
  <c r="I10" i="42"/>
  <c r="G15" i="42"/>
  <c r="G11" i="42"/>
  <c r="I15" i="42"/>
  <c r="I16" i="42"/>
  <c r="K19" i="52"/>
  <c r="I11" i="42"/>
  <c r="I17" i="42"/>
  <c r="I15" i="46"/>
  <c r="G11" i="46"/>
  <c r="K11" i="46" s="1"/>
  <c r="M11" i="46" s="1"/>
  <c r="Q11" i="46" s="1"/>
  <c r="S11" i="46" s="1"/>
  <c r="I17" i="46"/>
  <c r="G16" i="46"/>
  <c r="G17" i="46"/>
  <c r="G15" i="46"/>
  <c r="G10" i="46"/>
  <c r="I16" i="46"/>
  <c r="I10" i="46"/>
  <c r="G17" i="44"/>
  <c r="I17" i="44"/>
  <c r="I16" i="44"/>
  <c r="G16" i="44"/>
  <c r="I10" i="44"/>
  <c r="K10" i="44" s="1"/>
  <c r="I15" i="44"/>
  <c r="I11" i="44"/>
  <c r="G15" i="44"/>
  <c r="G11" i="44"/>
  <c r="G16" i="42"/>
  <c r="G17" i="42"/>
  <c r="U2" i="40"/>
  <c r="H15" i="38"/>
  <c r="H15" i="36"/>
  <c r="L13" i="44"/>
  <c r="Q15" i="54"/>
  <c r="M19" i="54"/>
  <c r="Q15" i="52"/>
  <c r="M19" i="52"/>
  <c r="Q10" i="52"/>
  <c r="M13" i="52"/>
  <c r="Q10" i="50"/>
  <c r="M13" i="50"/>
  <c r="Q15" i="50"/>
  <c r="M19" i="50"/>
  <c r="Q15" i="48"/>
  <c r="M19" i="48"/>
  <c r="M13" i="48"/>
  <c r="L13" i="46"/>
  <c r="L19" i="46"/>
  <c r="L19" i="44"/>
  <c r="L13" i="42"/>
  <c r="L19" i="42"/>
  <c r="L10" i="40"/>
  <c r="J10" i="40"/>
  <c r="J15" i="40"/>
  <c r="L15" i="40"/>
  <c r="L11" i="40"/>
  <c r="J11" i="40"/>
  <c r="F15" i="38"/>
  <c r="F11" i="38"/>
  <c r="AN11" i="37"/>
  <c r="AN9" i="37"/>
  <c r="F10" i="38"/>
  <c r="AN11" i="35"/>
  <c r="F11" i="36"/>
  <c r="F15" i="36"/>
  <c r="AN9" i="35"/>
  <c r="F10" i="36"/>
  <c r="AI6" i="33"/>
  <c r="AJ5" i="33"/>
  <c r="AJ6" i="33" s="1"/>
  <c r="Y5" i="14"/>
  <c r="X6" i="14"/>
  <c r="Q10" i="54" l="1"/>
  <c r="Q13" i="54" s="1"/>
  <c r="K15" i="46"/>
  <c r="M15" i="46" s="1"/>
  <c r="G13" i="42"/>
  <c r="K10" i="46"/>
  <c r="M10" i="46" s="1"/>
  <c r="M13" i="46" s="1"/>
  <c r="K15" i="42"/>
  <c r="M15" i="42" s="1"/>
  <c r="K10" i="42"/>
  <c r="M10" i="42" s="1"/>
  <c r="I13" i="42"/>
  <c r="L17" i="38"/>
  <c r="J17" i="38"/>
  <c r="L16" i="38"/>
  <c r="J16" i="38"/>
  <c r="L16" i="36"/>
  <c r="J16" i="36"/>
  <c r="L17" i="36"/>
  <c r="J17" i="36"/>
  <c r="AM16" i="33"/>
  <c r="H16" i="34" s="1"/>
  <c r="AK14" i="33"/>
  <c r="AM18" i="33"/>
  <c r="H17" i="34" s="1"/>
  <c r="AM14" i="33"/>
  <c r="AK16" i="33"/>
  <c r="AK18" i="33"/>
  <c r="K16" i="42"/>
  <c r="M16" i="42" s="1"/>
  <c r="Q16" i="42" s="1"/>
  <c r="S16" i="42" s="1"/>
  <c r="K11" i="42"/>
  <c r="M11" i="42" s="1"/>
  <c r="Q11" i="42" s="1"/>
  <c r="S11" i="42" s="1"/>
  <c r="K17" i="42"/>
  <c r="M17" i="42" s="1"/>
  <c r="Q17" i="42" s="1"/>
  <c r="S17" i="42" s="1"/>
  <c r="K15" i="44"/>
  <c r="M15" i="44" s="1"/>
  <c r="K17" i="46"/>
  <c r="M17" i="46" s="1"/>
  <c r="Q17" i="46" s="1"/>
  <c r="S17" i="46" s="1"/>
  <c r="K16" i="46"/>
  <c r="M16" i="46" s="1"/>
  <c r="Q16" i="46" s="1"/>
  <c r="S16" i="46" s="1"/>
  <c r="G13" i="46"/>
  <c r="G19" i="46"/>
  <c r="I19" i="46"/>
  <c r="I13" i="46"/>
  <c r="K13" i="46"/>
  <c r="K16" i="44"/>
  <c r="M16" i="44" s="1"/>
  <c r="Q16" i="44" s="1"/>
  <c r="S16" i="44" s="1"/>
  <c r="K11" i="44"/>
  <c r="M11" i="44" s="1"/>
  <c r="Q11" i="44" s="1"/>
  <c r="S11" i="44" s="1"/>
  <c r="I19" i="44"/>
  <c r="K17" i="44"/>
  <c r="M17" i="44" s="1"/>
  <c r="Q17" i="44" s="1"/>
  <c r="S17" i="44" s="1"/>
  <c r="G19" i="44"/>
  <c r="I13" i="44"/>
  <c r="G13" i="44"/>
  <c r="I19" i="42"/>
  <c r="G19" i="42"/>
  <c r="G17" i="40"/>
  <c r="I17" i="40"/>
  <c r="G16" i="40"/>
  <c r="I16" i="40"/>
  <c r="I10" i="40"/>
  <c r="I11" i="40"/>
  <c r="I15" i="40"/>
  <c r="G15" i="40"/>
  <c r="G10" i="40"/>
  <c r="G11" i="40"/>
  <c r="U2" i="38"/>
  <c r="U2" i="36"/>
  <c r="Q19" i="54"/>
  <c r="S15" i="54"/>
  <c r="S19" i="54" s="1"/>
  <c r="Q13" i="52"/>
  <c r="S10" i="52"/>
  <c r="S13" i="52" s="1"/>
  <c r="Q19" i="52"/>
  <c r="S15" i="52"/>
  <c r="S19" i="52" s="1"/>
  <c r="Q19" i="50"/>
  <c r="S15" i="50"/>
  <c r="S19" i="50" s="1"/>
  <c r="Q13" i="50"/>
  <c r="S10" i="50"/>
  <c r="S13" i="50" s="1"/>
  <c r="Q13" i="48"/>
  <c r="S13" i="48"/>
  <c r="Q19" i="48"/>
  <c r="S15" i="48"/>
  <c r="S19" i="48" s="1"/>
  <c r="M10" i="44"/>
  <c r="L19" i="40"/>
  <c r="L13" i="40"/>
  <c r="L11" i="38"/>
  <c r="J11" i="38"/>
  <c r="L10" i="38"/>
  <c r="J10" i="38"/>
  <c r="J15" i="38"/>
  <c r="L15" i="38"/>
  <c r="L10" i="36"/>
  <c r="J10" i="36"/>
  <c r="J15" i="36"/>
  <c r="L15" i="36"/>
  <c r="L11" i="36"/>
  <c r="J11" i="36"/>
  <c r="AM11" i="33"/>
  <c r="AK11" i="33"/>
  <c r="AM9" i="33"/>
  <c r="H10" i="34" s="1"/>
  <c r="AK9" i="33"/>
  <c r="Z5" i="14"/>
  <c r="Y6" i="14"/>
  <c r="AN14" i="33" l="1"/>
  <c r="S10" i="54"/>
  <c r="S13" i="54" s="1"/>
  <c r="K13" i="42"/>
  <c r="AN18" i="33"/>
  <c r="F17" i="34"/>
  <c r="H11" i="34"/>
  <c r="AN16" i="33"/>
  <c r="F16" i="34"/>
  <c r="K19" i="46"/>
  <c r="K19" i="44"/>
  <c r="K13" i="44"/>
  <c r="M13" i="44"/>
  <c r="K19" i="42"/>
  <c r="K17" i="40"/>
  <c r="M17" i="40" s="1"/>
  <c r="Q17" i="40" s="1"/>
  <c r="S17" i="40" s="1"/>
  <c r="K15" i="40"/>
  <c r="M15" i="40" s="1"/>
  <c r="G13" i="40"/>
  <c r="G19" i="40"/>
  <c r="K10" i="40"/>
  <c r="M10" i="40" s="1"/>
  <c r="I19" i="40"/>
  <c r="I13" i="40"/>
  <c r="K11" i="40"/>
  <c r="M11" i="40" s="1"/>
  <c r="Q11" i="40" s="1"/>
  <c r="S11" i="40" s="1"/>
  <c r="K16" i="40"/>
  <c r="M16" i="40" s="1"/>
  <c r="Q16" i="40" s="1"/>
  <c r="S16" i="40" s="1"/>
  <c r="G11" i="38"/>
  <c r="G10" i="38"/>
  <c r="G15" i="38"/>
  <c r="I17" i="38"/>
  <c r="G17" i="38"/>
  <c r="I16" i="38"/>
  <c r="G16" i="38"/>
  <c r="I11" i="38"/>
  <c r="I10" i="38"/>
  <c r="I15" i="38"/>
  <c r="G17" i="36"/>
  <c r="I16" i="36"/>
  <c r="I17" i="36"/>
  <c r="G16" i="36"/>
  <c r="I11" i="36"/>
  <c r="I10" i="36"/>
  <c r="I15" i="36"/>
  <c r="G15" i="36"/>
  <c r="G10" i="36"/>
  <c r="G11" i="36"/>
  <c r="H15" i="34"/>
  <c r="AN11" i="33"/>
  <c r="F11" i="34"/>
  <c r="Q10" i="46"/>
  <c r="Q13" i="46" s="1"/>
  <c r="Q15" i="46"/>
  <c r="M19" i="46"/>
  <c r="Q15" i="44"/>
  <c r="M19" i="44"/>
  <c r="Q10" i="44"/>
  <c r="Q13" i="44" s="1"/>
  <c r="Q15" i="42"/>
  <c r="M19" i="42"/>
  <c r="Q10" i="42"/>
  <c r="M13" i="42"/>
  <c r="L19" i="38"/>
  <c r="L13" i="38"/>
  <c r="L19" i="36"/>
  <c r="L13" i="36"/>
  <c r="F15" i="34"/>
  <c r="F10" i="34"/>
  <c r="AN9" i="33"/>
  <c r="AA5" i="14"/>
  <c r="Z6" i="14"/>
  <c r="K16" i="36" l="1"/>
  <c r="M16" i="36" s="1"/>
  <c r="Q16" i="36" s="1"/>
  <c r="S16" i="36" s="1"/>
  <c r="L17" i="34"/>
  <c r="J17" i="34"/>
  <c r="L16" i="34"/>
  <c r="J16" i="34"/>
  <c r="K10" i="36"/>
  <c r="K11" i="38"/>
  <c r="M11" i="38" s="1"/>
  <c r="Q11" i="38" s="1"/>
  <c r="S11" i="38" s="1"/>
  <c r="G13" i="38"/>
  <c r="K13" i="40"/>
  <c r="K19" i="40"/>
  <c r="K10" i="38"/>
  <c r="M10" i="38" s="1"/>
  <c r="K15" i="38"/>
  <c r="M15" i="38" s="1"/>
  <c r="I19" i="38"/>
  <c r="G19" i="38"/>
  <c r="I13" i="38"/>
  <c r="K17" i="38"/>
  <c r="M17" i="38" s="1"/>
  <c r="Q17" i="38" s="1"/>
  <c r="S17" i="38" s="1"/>
  <c r="K16" i="38"/>
  <c r="M16" i="38" s="1"/>
  <c r="Q16" i="38" s="1"/>
  <c r="S16" i="38" s="1"/>
  <c r="G13" i="36"/>
  <c r="K15" i="36"/>
  <c r="M15" i="36" s="1"/>
  <c r="K11" i="36"/>
  <c r="M11" i="36" s="1"/>
  <c r="Q11" i="36" s="1"/>
  <c r="S11" i="36" s="1"/>
  <c r="I13" i="36"/>
  <c r="G19" i="36"/>
  <c r="K17" i="36"/>
  <c r="M17" i="36" s="1"/>
  <c r="Q17" i="36" s="1"/>
  <c r="S17" i="36" s="1"/>
  <c r="I19" i="36"/>
  <c r="U2" i="34"/>
  <c r="I10" i="34" s="1"/>
  <c r="L11" i="34"/>
  <c r="J11" i="34"/>
  <c r="Q19" i="46"/>
  <c r="S15" i="46"/>
  <c r="S19" i="46" s="1"/>
  <c r="S10" i="46"/>
  <c r="S13" i="46" s="1"/>
  <c r="S10" i="44"/>
  <c r="S13" i="44" s="1"/>
  <c r="Q19" i="44"/>
  <c r="S15" i="44"/>
  <c r="S19" i="44" s="1"/>
  <c r="Q13" i="42"/>
  <c r="S10" i="42"/>
  <c r="S13" i="42" s="1"/>
  <c r="Q19" i="42"/>
  <c r="S15" i="42"/>
  <c r="S19" i="42" s="1"/>
  <c r="Q15" i="40"/>
  <c r="M19" i="40"/>
  <c r="Q10" i="40"/>
  <c r="M13" i="40"/>
  <c r="M10" i="36"/>
  <c r="L15" i="34"/>
  <c r="J15" i="34"/>
  <c r="J10" i="34"/>
  <c r="L10" i="34"/>
  <c r="AB5" i="14"/>
  <c r="AA6" i="14"/>
  <c r="K13" i="38" l="1"/>
  <c r="G11" i="34"/>
  <c r="I15" i="34"/>
  <c r="G10" i="34"/>
  <c r="K10" i="34" s="1"/>
  <c r="G15" i="34"/>
  <c r="I16" i="34"/>
  <c r="K19" i="38"/>
  <c r="K19" i="36"/>
  <c r="K13" i="36"/>
  <c r="I17" i="34"/>
  <c r="G17" i="34"/>
  <c r="G16" i="34"/>
  <c r="I11" i="34"/>
  <c r="L13" i="34"/>
  <c r="L19" i="34"/>
  <c r="Q13" i="40"/>
  <c r="S10" i="40"/>
  <c r="S13" i="40" s="1"/>
  <c r="Q19" i="40"/>
  <c r="S15" i="40"/>
  <c r="S19" i="40" s="1"/>
  <c r="Q15" i="38"/>
  <c r="M19" i="38"/>
  <c r="Q10" i="38"/>
  <c r="M13" i="38"/>
  <c r="Q15" i="36"/>
  <c r="M19" i="36"/>
  <c r="Q10" i="36"/>
  <c r="M13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9" i="34"/>
  <c r="K17" i="34"/>
  <c r="M17" i="34" s="1"/>
  <c r="Q17" i="34" s="1"/>
  <c r="S17" i="34" s="1"/>
  <c r="I19" i="34"/>
  <c r="I13" i="34"/>
  <c r="Q13" i="38"/>
  <c r="S10" i="38"/>
  <c r="S13" i="38" s="1"/>
  <c r="Q19" i="38"/>
  <c r="S15" i="38"/>
  <c r="S19" i="38" s="1"/>
  <c r="Q13" i="36"/>
  <c r="S10" i="36"/>
  <c r="S13" i="36" s="1"/>
  <c r="Q19" i="36"/>
  <c r="S15" i="36"/>
  <c r="S19" i="36" s="1"/>
  <c r="M10" i="34"/>
  <c r="AC6" i="14"/>
  <c r="AD5" i="14"/>
  <c r="K13" i="34" l="1"/>
  <c r="M13" i="34"/>
  <c r="M19" i="34"/>
  <c r="K19" i="34"/>
  <c r="Q15" i="34"/>
  <c r="S15" i="34" s="1"/>
  <c r="S19" i="34" s="1"/>
  <c r="Q10" i="34"/>
  <c r="Q13" i="34" s="1"/>
  <c r="AD6" i="14"/>
  <c r="AE5" i="14"/>
  <c r="Q19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M18" i="14"/>
  <c r="H17" i="16" s="1"/>
  <c r="AK14" i="14"/>
  <c r="AK18" i="14"/>
  <c r="AK11" i="14"/>
  <c r="AM11" i="14"/>
  <c r="AK9" i="14"/>
  <c r="F10" i="16" s="1"/>
  <c r="AM9" i="14"/>
  <c r="H10" i="16" s="1"/>
  <c r="AN14" i="14" l="1"/>
  <c r="H11" i="16"/>
  <c r="F11" i="16"/>
  <c r="AN18" i="14"/>
  <c r="F17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7" i="16"/>
  <c r="J17" i="16"/>
  <c r="L16" i="16"/>
  <c r="J16" i="16"/>
  <c r="J15" i="16"/>
  <c r="U2" i="16"/>
  <c r="L19" i="16" l="1"/>
  <c r="G17" i="16"/>
  <c r="G11" i="16"/>
  <c r="G16" i="16"/>
  <c r="I16" i="16"/>
  <c r="I10" i="16"/>
  <c r="G10" i="16"/>
  <c r="I17" i="16"/>
  <c r="I11" i="16"/>
  <c r="I15" i="16"/>
  <c r="G15" i="16"/>
  <c r="I19" i="16" l="1"/>
  <c r="G13" i="16"/>
  <c r="K10" i="16"/>
  <c r="I13" i="16"/>
  <c r="K11" i="16"/>
  <c r="M11" i="16" s="1"/>
  <c r="Q11" i="16" s="1"/>
  <c r="S11" i="16" s="1"/>
  <c r="K15" i="16"/>
  <c r="G19" i="16"/>
  <c r="K17" i="16"/>
  <c r="M17" i="16" s="1"/>
  <c r="Q17" i="16" s="1"/>
  <c r="S17" i="16" s="1"/>
  <c r="K16" i="16"/>
  <c r="M16" i="16" s="1"/>
  <c r="Q16" i="16" s="1"/>
  <c r="S16" i="16" s="1"/>
  <c r="M10" i="16" l="1"/>
  <c r="K13" i="16"/>
  <c r="M15" i="16"/>
  <c r="K19" i="16"/>
  <c r="M19" i="16" l="1"/>
  <c r="Q15" i="16"/>
  <c r="M13" i="16"/>
  <c r="Q10" i="16"/>
  <c r="S10" i="16" l="1"/>
  <c r="S13" i="16" s="1"/>
  <c r="Q13" i="16"/>
  <c r="Q19" i="16"/>
  <c r="S15" i="16"/>
  <c r="S19" i="16" s="1"/>
</calcChain>
</file>

<file path=xl/sharedStrings.xml><?xml version="1.0" encoding="utf-8"?>
<sst xmlns="http://schemas.openxmlformats.org/spreadsheetml/2006/main" count="1194" uniqueCount="181">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</sst>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6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7"/>
  <sheetViews>
    <sheetView topLeftCell="A8" workbookViewId="0">
      <pane ySplit="3" topLeftCell="A11" activePane="bottomLeft" state="frozen"/>
      <selection activeCell="A8" sqref="A8"/>
      <selection pane="bottomLeft" activeCell="F17" sqref="F1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6" t="s">
        <v>35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</row>
    <row r="6" spans="1:26" ht="23.25" customHeight="1">
      <c r="A6" s="237" t="str">
        <f>"Tháng "&amp;'CC -5'!C4&amp;" năm 2011"</f>
        <v>Tháng  năm 2011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8" t="s">
        <v>19</v>
      </c>
      <c r="B8" s="238" t="s">
        <v>3</v>
      </c>
      <c r="C8" s="238" t="s">
        <v>1</v>
      </c>
      <c r="D8" s="238" t="s">
        <v>2</v>
      </c>
      <c r="E8" s="241" t="s">
        <v>56</v>
      </c>
      <c r="F8" s="241"/>
      <c r="G8" s="241" t="s">
        <v>36</v>
      </c>
      <c r="H8" s="241"/>
      <c r="I8" s="241" t="s">
        <v>24</v>
      </c>
      <c r="J8" s="241" t="s">
        <v>33</v>
      </c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39" t="s">
        <v>39</v>
      </c>
      <c r="W8" s="239" t="s">
        <v>23</v>
      </c>
      <c r="X8" s="239" t="s">
        <v>11</v>
      </c>
      <c r="Y8" s="107"/>
      <c r="Z8" s="107"/>
    </row>
    <row r="9" spans="1:26" s="1" customFormat="1" ht="20.25" customHeight="1">
      <c r="A9" s="238"/>
      <c r="B9" s="238"/>
      <c r="C9" s="238"/>
      <c r="D9" s="238"/>
      <c r="E9" s="172" t="s">
        <v>159</v>
      </c>
      <c r="F9" s="172">
        <v>2015</v>
      </c>
      <c r="G9" s="171" t="s">
        <v>57</v>
      </c>
      <c r="H9" s="171" t="s">
        <v>38</v>
      </c>
      <c r="I9" s="241"/>
      <c r="J9" s="171" t="s">
        <v>105</v>
      </c>
      <c r="K9" s="171" t="s">
        <v>106</v>
      </c>
      <c r="L9" s="171" t="s">
        <v>107</v>
      </c>
      <c r="M9" s="171" t="s">
        <v>108</v>
      </c>
      <c r="N9" s="171" t="s">
        <v>109</v>
      </c>
      <c r="O9" s="171" t="s">
        <v>110</v>
      </c>
      <c r="P9" s="171" t="s">
        <v>111</v>
      </c>
      <c r="Q9" s="171" t="s">
        <v>112</v>
      </c>
      <c r="R9" s="171" t="s">
        <v>113</v>
      </c>
      <c r="S9" s="171" t="s">
        <v>114</v>
      </c>
      <c r="T9" s="171" t="s">
        <v>115</v>
      </c>
      <c r="U9" s="171" t="s">
        <v>116</v>
      </c>
      <c r="V9" s="240"/>
      <c r="W9" s="240"/>
      <c r="X9" s="24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161</v>
      </c>
      <c r="C11" s="161" t="s">
        <v>166</v>
      </c>
      <c r="D11" s="157" t="s">
        <v>169</v>
      </c>
      <c r="E11" s="190">
        <v>3500000</v>
      </c>
      <c r="F11" s="152"/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18" si="0">IF(B12&lt;&gt;"",ROW()-10,"")</f>
        <v>2</v>
      </c>
      <c r="B12" s="157" t="s">
        <v>162</v>
      </c>
      <c r="C12" s="161" t="s">
        <v>167</v>
      </c>
      <c r="D12" s="157" t="s">
        <v>170</v>
      </c>
      <c r="E12" s="190">
        <v>2700000</v>
      </c>
      <c r="F12" s="152"/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0" customFormat="1" ht="21.75" customHeight="1">
      <c r="A13" s="157">
        <f t="shared" si="0"/>
        <v>3</v>
      </c>
      <c r="B13" s="157" t="s">
        <v>177</v>
      </c>
      <c r="C13" s="161" t="s">
        <v>168</v>
      </c>
      <c r="D13" s="157" t="s">
        <v>171</v>
      </c>
      <c r="E13" s="190">
        <v>2400000</v>
      </c>
      <c r="F13" s="152"/>
      <c r="G13" s="152">
        <v>390000</v>
      </c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8"/>
      <c r="Z13" s="159"/>
    </row>
    <row r="14" spans="1:26" s="169" customFormat="1" ht="21.75" customHeight="1">
      <c r="A14" s="163">
        <f t="shared" si="0"/>
        <v>4</v>
      </c>
      <c r="B14" s="164" t="s">
        <v>163</v>
      </c>
      <c r="C14" s="165" t="s">
        <v>172</v>
      </c>
      <c r="D14" s="163" t="s">
        <v>174</v>
      </c>
      <c r="E14" s="166">
        <v>2200000</v>
      </c>
      <c r="F14" s="166"/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164</v>
      </c>
      <c r="C15" s="165" t="s">
        <v>175</v>
      </c>
      <c r="D15" s="163" t="s">
        <v>176</v>
      </c>
      <c r="E15" s="166">
        <v>2200000</v>
      </c>
      <c r="F15" s="166"/>
      <c r="G15" s="166">
        <v>390000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165</v>
      </c>
      <c r="C16" s="165" t="s">
        <v>173</v>
      </c>
      <c r="D16" s="163" t="s">
        <v>88</v>
      </c>
      <c r="E16" s="166">
        <v>2000000</v>
      </c>
      <c r="F16" s="166"/>
      <c r="G16" s="166">
        <v>390000</v>
      </c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5" ht="21.75" customHeight="1">
      <c r="A17" s="157" t="str">
        <f t="shared" si="0"/>
        <v/>
      </c>
      <c r="B17" s="17"/>
      <c r="C17" s="53"/>
      <c r="D17" s="14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07"/>
    </row>
    <row r="18" spans="1:25" ht="21.75" customHeight="1">
      <c r="A18" s="157" t="str">
        <f t="shared" si="0"/>
        <v/>
      </c>
      <c r="B18" s="142"/>
      <c r="C18" s="149"/>
      <c r="D18" s="148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07"/>
    </row>
    <row r="19" spans="1:25" ht="21.75" customHeight="1">
      <c r="A19" s="230" t="s">
        <v>25</v>
      </c>
      <c r="B19" s="231"/>
      <c r="C19" s="231"/>
      <c r="D19" s="154" t="s">
        <v>135</v>
      </c>
      <c r="E19" s="151">
        <f>SUM(E11:E18)</f>
        <v>15000000</v>
      </c>
      <c r="F19" s="151">
        <f>SUM(F11:F18)</f>
        <v>0</v>
      </c>
      <c r="G19" s="151">
        <f>SUM(G11:G18)</f>
        <v>2340000</v>
      </c>
      <c r="H19" s="151">
        <f>SUM(H11:H18)</f>
        <v>0</v>
      </c>
      <c r="I19" s="151"/>
      <c r="J19" s="151">
        <f t="shared" ref="J19:U19" si="1">SUMIF(J$11:J$18,"x",$E$11:$E$18)</f>
        <v>0</v>
      </c>
      <c r="K19" s="151">
        <f t="shared" si="1"/>
        <v>0</v>
      </c>
      <c r="L19" s="151">
        <f t="shared" si="1"/>
        <v>0</v>
      </c>
      <c r="M19" s="151">
        <f t="shared" si="1"/>
        <v>0</v>
      </c>
      <c r="N19" s="151">
        <f t="shared" si="1"/>
        <v>0</v>
      </c>
      <c r="O19" s="151">
        <f t="shared" si="1"/>
        <v>0</v>
      </c>
      <c r="P19" s="151">
        <f t="shared" si="1"/>
        <v>0</v>
      </c>
      <c r="Q19" s="151">
        <f t="shared" si="1"/>
        <v>0</v>
      </c>
      <c r="R19" s="151">
        <f t="shared" si="1"/>
        <v>0</v>
      </c>
      <c r="S19" s="151">
        <f t="shared" si="1"/>
        <v>0</v>
      </c>
      <c r="T19" s="151">
        <f t="shared" si="1"/>
        <v>0</v>
      </c>
      <c r="U19" s="151">
        <f t="shared" si="1"/>
        <v>0</v>
      </c>
      <c r="V19" s="151"/>
      <c r="W19" s="151"/>
      <c r="X19" s="151"/>
      <c r="Y19" s="107"/>
    </row>
    <row r="20" spans="1:25" ht="21.75" customHeight="1">
      <c r="A20" s="232"/>
      <c r="B20" s="233"/>
      <c r="C20" s="233"/>
      <c r="D20" s="154" t="s">
        <v>136</v>
      </c>
      <c r="E20" s="151"/>
      <c r="F20" s="151"/>
      <c r="G20" s="151"/>
      <c r="H20" s="151"/>
      <c r="I20" s="151"/>
      <c r="J20" s="151">
        <f t="array" ref="J20">SUM((J$11:J$18="x")*1)</f>
        <v>0</v>
      </c>
      <c r="K20" s="151">
        <f t="array" ref="K20">SUM((K$11:K$18="x")*1)</f>
        <v>0</v>
      </c>
      <c r="L20" s="151">
        <f t="array" ref="L20">SUM((L$11:L$18="x")*1)</f>
        <v>0</v>
      </c>
      <c r="M20" s="151">
        <f t="array" ref="M20">SUM((M$11:M$18="x")*1)</f>
        <v>0</v>
      </c>
      <c r="N20" s="151">
        <f t="array" ref="N20">SUM((N$11:N$18="x")*1)</f>
        <v>0</v>
      </c>
      <c r="O20" s="151">
        <f t="array" ref="O20">SUM((O$11:O$18="x")*1)</f>
        <v>0</v>
      </c>
      <c r="P20" s="151">
        <f t="array" ref="P20">SUM((P$11:P$18="x")*1)</f>
        <v>0</v>
      </c>
      <c r="Q20" s="151">
        <f t="array" ref="Q20">SUM((Q$11:Q$18="x")*1)</f>
        <v>0</v>
      </c>
      <c r="R20" s="151">
        <f t="array" ref="R20">SUM((R$11:R$18="x")*1)</f>
        <v>0</v>
      </c>
      <c r="S20" s="151">
        <f t="array" ref="S20">SUM((S$11:S$18="x")*1)</f>
        <v>0</v>
      </c>
      <c r="T20" s="151">
        <f t="array" ref="T20">SUM((T$11:T$18="x")*1)</f>
        <v>0</v>
      </c>
      <c r="U20" s="151">
        <f t="array" ref="U20">SUM((U$11:U$18="x")*1)</f>
        <v>0</v>
      </c>
      <c r="V20" s="151"/>
      <c r="W20" s="151"/>
      <c r="X20" s="151"/>
      <c r="Y20" s="107"/>
    </row>
    <row r="21" spans="1:25" ht="21.75" customHeight="1">
      <c r="A21" s="234"/>
      <c r="B21" s="235"/>
      <c r="C21" s="235"/>
      <c r="D21" s="154" t="s">
        <v>137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5" ht="11.25" customHeight="1">
      <c r="A22" s="19"/>
      <c r="B22" s="1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25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08" t="s">
        <v>55</v>
      </c>
      <c r="X23" s="78"/>
    </row>
    <row r="24" spans="1:25" ht="16.5" customHeight="1">
      <c r="A24" s="19"/>
      <c r="B24" s="19"/>
      <c r="C24" s="20" t="s">
        <v>14</v>
      </c>
      <c r="D24" s="21"/>
      <c r="E24" s="22"/>
      <c r="F24" s="30"/>
      <c r="G24" s="30"/>
      <c r="H24" s="30"/>
      <c r="I24" s="23"/>
      <c r="J24" s="23">
        <v>8278</v>
      </c>
      <c r="K24" s="224">
        <f>E13/27/8</f>
        <v>11111.111111111111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9" t="s">
        <v>22</v>
      </c>
      <c r="X24" s="49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>
        <f>J24/K24</f>
        <v>0.74502000000000002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/>
      <c r="X25" s="49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5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5">
      <c r="A30" s="24"/>
      <c r="B30" s="24"/>
      <c r="C30" s="29" t="s">
        <v>21</v>
      </c>
      <c r="D30" s="21"/>
      <c r="E30" s="22"/>
      <c r="F30" s="30"/>
      <c r="G30" s="30"/>
      <c r="H30" s="30"/>
      <c r="I30" s="2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9"/>
      <c r="X30" s="50"/>
    </row>
    <row r="31" spans="1:25" ht="9" customHeight="1">
      <c r="C31" s="46"/>
      <c r="D31" s="46"/>
      <c r="E31" s="22"/>
      <c r="F31" s="51"/>
      <c r="G31" s="51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2"/>
      <c r="X31" s="52"/>
    </row>
    <row r="32" spans="1:25">
      <c r="E32" s="22"/>
    </row>
    <row r="33" spans="3:14">
      <c r="E33" s="22"/>
    </row>
    <row r="46" spans="3:14">
      <c r="C46" s="153"/>
      <c r="G46" s="165" t="s">
        <v>117</v>
      </c>
      <c r="J46" s="2" t="s">
        <v>61</v>
      </c>
      <c r="K46" s="2" t="s">
        <v>117</v>
      </c>
      <c r="M46" s="2" t="str">
        <f>VLOOKUP(K46,$G$46:$J$105,4,0)</f>
        <v>ALTP001</v>
      </c>
      <c r="N46" s="229" t="str">
        <f>M46</f>
        <v>ALTP001</v>
      </c>
    </row>
    <row r="47" spans="3:14">
      <c r="C47" s="153"/>
      <c r="G47" s="165" t="s">
        <v>118</v>
      </c>
      <c r="J47" s="2" t="s">
        <v>62</v>
      </c>
      <c r="K47" s="2" t="s">
        <v>118</v>
      </c>
      <c r="M47" s="2" t="str">
        <f t="shared" ref="M47:M76" si="2">VLOOKUP(K47,$G$46:$J$105,4,0)</f>
        <v>ALTP002</v>
      </c>
      <c r="N47" s="229"/>
    </row>
    <row r="48" spans="3:14">
      <c r="C48" s="153"/>
      <c r="G48" s="165" t="s">
        <v>119</v>
      </c>
      <c r="J48" s="2" t="s">
        <v>63</v>
      </c>
      <c r="K48" s="2" t="s">
        <v>119</v>
      </c>
      <c r="M48" s="2" t="str">
        <f t="shared" si="2"/>
        <v>ALTP003</v>
      </c>
      <c r="N48" s="229" t="str">
        <f>M47</f>
        <v>ALTP002</v>
      </c>
    </row>
    <row r="49" spans="3:14">
      <c r="C49" s="153"/>
      <c r="G49" s="165" t="s">
        <v>120</v>
      </c>
      <c r="J49" s="2" t="s">
        <v>64</v>
      </c>
      <c r="K49" s="2" t="s">
        <v>120</v>
      </c>
      <c r="M49" s="2" t="str">
        <f t="shared" si="2"/>
        <v>ALTP004</v>
      </c>
      <c r="N49" s="229"/>
    </row>
    <row r="50" spans="3:14">
      <c r="C50" s="153"/>
      <c r="G50" s="165" t="s">
        <v>121</v>
      </c>
      <c r="J50" s="2" t="s">
        <v>65</v>
      </c>
      <c r="K50" s="2" t="s">
        <v>121</v>
      </c>
      <c r="M50" s="2" t="str">
        <f t="shared" si="2"/>
        <v>ALTP005</v>
      </c>
      <c r="N50" s="229" t="str">
        <f>M48</f>
        <v>ALTP003</v>
      </c>
    </row>
    <row r="51" spans="3:14">
      <c r="C51" s="153"/>
      <c r="G51" s="165" t="s">
        <v>122</v>
      </c>
      <c r="J51" s="2" t="s">
        <v>66</v>
      </c>
      <c r="K51" s="2" t="s">
        <v>122</v>
      </c>
      <c r="M51" s="2" t="str">
        <f t="shared" si="2"/>
        <v>ALTP006</v>
      </c>
      <c r="N51" s="229"/>
    </row>
    <row r="52" spans="3:14">
      <c r="C52" s="153"/>
      <c r="G52" s="165" t="s">
        <v>123</v>
      </c>
      <c r="J52" s="2" t="s">
        <v>67</v>
      </c>
      <c r="K52" s="2" t="s">
        <v>123</v>
      </c>
      <c r="M52" s="2" t="str">
        <f t="shared" si="2"/>
        <v>ALTP007</v>
      </c>
      <c r="N52" s="229" t="str">
        <f>M49</f>
        <v>ALTP004</v>
      </c>
    </row>
    <row r="53" spans="3:14">
      <c r="C53" s="153"/>
      <c r="G53" s="165" t="s">
        <v>124</v>
      </c>
      <c r="J53" s="2" t="s">
        <v>68</v>
      </c>
      <c r="K53" s="2" t="s">
        <v>124</v>
      </c>
      <c r="M53" s="2" t="str">
        <f t="shared" si="2"/>
        <v>ALTP008</v>
      </c>
      <c r="N53" s="229"/>
    </row>
    <row r="54" spans="3:14">
      <c r="C54" s="153"/>
      <c r="G54" s="165" t="s">
        <v>125</v>
      </c>
      <c r="J54" s="2" t="s">
        <v>69</v>
      </c>
      <c r="K54" s="2" t="s">
        <v>125</v>
      </c>
      <c r="M54" s="2" t="str">
        <f t="shared" si="2"/>
        <v>ALTP009</v>
      </c>
      <c r="N54" s="229" t="str">
        <f>M50</f>
        <v>ALTP005</v>
      </c>
    </row>
    <row r="55" spans="3:14">
      <c r="C55" s="153"/>
      <c r="G55" s="165" t="s">
        <v>126</v>
      </c>
      <c r="J55" s="2" t="s">
        <v>70</v>
      </c>
      <c r="K55" s="2" t="s">
        <v>126</v>
      </c>
      <c r="M55" s="2" t="str">
        <f t="shared" si="2"/>
        <v>ALTP010</v>
      </c>
      <c r="N55" s="229"/>
    </row>
    <row r="56" spans="3:14">
      <c r="C56" s="153"/>
      <c r="G56" s="165" t="s">
        <v>127</v>
      </c>
      <c r="J56" s="2" t="s">
        <v>71</v>
      </c>
      <c r="K56" s="2" t="s">
        <v>127</v>
      </c>
      <c r="M56" s="2" t="str">
        <f t="shared" si="2"/>
        <v>ALTP011</v>
      </c>
      <c r="N56" s="229" t="str">
        <f>M51</f>
        <v>ALTP006</v>
      </c>
    </row>
    <row r="57" spans="3:14">
      <c r="C57" s="153"/>
      <c r="G57" s="165" t="s">
        <v>128</v>
      </c>
      <c r="J57" s="2" t="s">
        <v>72</v>
      </c>
      <c r="K57" s="2" t="s">
        <v>129</v>
      </c>
      <c r="M57" s="2" t="str">
        <f t="shared" si="2"/>
        <v>ALTP013</v>
      </c>
      <c r="N57" s="229"/>
    </row>
    <row r="58" spans="3:14">
      <c r="C58" s="153"/>
      <c r="G58" s="165" t="s">
        <v>129</v>
      </c>
      <c r="J58" s="2" t="s">
        <v>73</v>
      </c>
      <c r="K58" s="2" t="s">
        <v>130</v>
      </c>
      <c r="M58" s="2" t="str">
        <f t="shared" si="2"/>
        <v>ALTP014</v>
      </c>
      <c r="N58" s="229" t="str">
        <f>M52</f>
        <v>ALTP007</v>
      </c>
    </row>
    <row r="59" spans="3:14">
      <c r="C59" s="153"/>
      <c r="G59" s="165" t="s">
        <v>130</v>
      </c>
      <c r="J59" s="2" t="s">
        <v>74</v>
      </c>
      <c r="K59" s="2" t="s">
        <v>131</v>
      </c>
      <c r="M59" s="2" t="str">
        <f t="shared" si="2"/>
        <v>ALTP015</v>
      </c>
      <c r="N59" s="229"/>
    </row>
    <row r="60" spans="3:14">
      <c r="C60" s="153"/>
      <c r="G60" s="165" t="s">
        <v>131</v>
      </c>
      <c r="J60" s="2" t="s">
        <v>75</v>
      </c>
      <c r="K60" s="2" t="s">
        <v>132</v>
      </c>
      <c r="M60" s="2" t="str">
        <f t="shared" si="2"/>
        <v>ALTP016</v>
      </c>
      <c r="N60" s="229" t="str">
        <f>M53</f>
        <v>ALTP008</v>
      </c>
    </row>
    <row r="61" spans="3:14">
      <c r="C61" s="153"/>
      <c r="G61" s="165" t="s">
        <v>132</v>
      </c>
      <c r="J61" s="2" t="s">
        <v>76</v>
      </c>
      <c r="K61" s="2" t="s">
        <v>133</v>
      </c>
      <c r="M61" s="2" t="str">
        <f t="shared" si="2"/>
        <v>ALTP017</v>
      </c>
      <c r="N61" s="229"/>
    </row>
    <row r="62" spans="3:14">
      <c r="C62" s="153"/>
      <c r="G62" s="165" t="s">
        <v>133</v>
      </c>
      <c r="J62" s="2" t="s">
        <v>77</v>
      </c>
      <c r="K62" s="2" t="s">
        <v>134</v>
      </c>
      <c r="M62" s="2" t="str">
        <f t="shared" si="2"/>
        <v>ALTP018</v>
      </c>
      <c r="N62" s="229" t="str">
        <f>M54</f>
        <v>ALTP009</v>
      </c>
    </row>
    <row r="63" spans="3:14">
      <c r="C63" s="153"/>
      <c r="G63" s="165" t="s">
        <v>134</v>
      </c>
      <c r="J63" s="2" t="s">
        <v>78</v>
      </c>
      <c r="K63" s="2" t="s">
        <v>138</v>
      </c>
      <c r="M63" s="2" t="str">
        <f t="shared" si="2"/>
        <v>ALTP019</v>
      </c>
      <c r="N63" s="229"/>
    </row>
    <row r="64" spans="3:14">
      <c r="C64" s="153"/>
      <c r="G64" s="165" t="s">
        <v>138</v>
      </c>
      <c r="J64" s="2" t="s">
        <v>79</v>
      </c>
      <c r="K64" s="2" t="s">
        <v>140</v>
      </c>
      <c r="M64" s="2" t="str">
        <f t="shared" si="2"/>
        <v>ALTP020</v>
      </c>
      <c r="N64" s="229" t="str">
        <f>M55</f>
        <v>ALTP010</v>
      </c>
    </row>
    <row r="65" spans="3:14">
      <c r="C65" s="153"/>
      <c r="G65" s="165" t="s">
        <v>140</v>
      </c>
      <c r="J65" s="2" t="s">
        <v>80</v>
      </c>
      <c r="K65" s="2" t="s">
        <v>145</v>
      </c>
      <c r="M65" s="2" t="str">
        <f t="shared" si="2"/>
        <v>ALTP025</v>
      </c>
      <c r="N65" s="229"/>
    </row>
    <row r="66" spans="3:14">
      <c r="C66" s="153"/>
      <c r="G66" s="165" t="s">
        <v>141</v>
      </c>
      <c r="J66" s="2" t="s">
        <v>81</v>
      </c>
      <c r="K66" s="2" t="s">
        <v>152</v>
      </c>
      <c r="M66" s="2" t="str">
        <f t="shared" si="2"/>
        <v>ALTP027</v>
      </c>
      <c r="N66" s="229" t="str">
        <f>M56</f>
        <v>ALTP011</v>
      </c>
    </row>
    <row r="67" spans="3:14">
      <c r="C67" s="153"/>
      <c r="G67" s="165" t="s">
        <v>142</v>
      </c>
      <c r="J67" s="2" t="s">
        <v>82</v>
      </c>
      <c r="K67" s="2" t="s">
        <v>100</v>
      </c>
      <c r="M67" s="2" t="str">
        <f t="shared" si="2"/>
        <v>ALTN001</v>
      </c>
      <c r="N67" s="229"/>
    </row>
    <row r="68" spans="3:14">
      <c r="C68" s="153"/>
      <c r="G68" s="165" t="s">
        <v>152</v>
      </c>
      <c r="J68" s="2" t="s">
        <v>87</v>
      </c>
      <c r="K68" s="2" t="s">
        <v>101</v>
      </c>
      <c r="M68" s="2" t="str">
        <f t="shared" si="2"/>
        <v>ALTN002</v>
      </c>
      <c r="N68" s="229" t="str">
        <f>M57</f>
        <v>ALTP013</v>
      </c>
    </row>
    <row r="69" spans="3:14">
      <c r="C69" s="153"/>
      <c r="G69" s="2" t="s">
        <v>143</v>
      </c>
      <c r="J69" s="2" t="s">
        <v>83</v>
      </c>
      <c r="K69" s="2" t="s">
        <v>102</v>
      </c>
      <c r="M69" s="2" t="str">
        <f t="shared" si="2"/>
        <v>ALTN003</v>
      </c>
      <c r="N69" s="229"/>
    </row>
    <row r="70" spans="3:14">
      <c r="C70" s="153"/>
      <c r="G70" s="2" t="s">
        <v>144</v>
      </c>
      <c r="J70" s="2" t="s">
        <v>84</v>
      </c>
      <c r="K70" s="2" t="s">
        <v>151</v>
      </c>
      <c r="M70" s="2" t="str">
        <f t="shared" si="2"/>
        <v>ALTN004</v>
      </c>
      <c r="N70" s="229" t="str">
        <f>M58</f>
        <v>ALTP014</v>
      </c>
    </row>
    <row r="71" spans="3:14">
      <c r="C71" s="153"/>
      <c r="G71" s="2" t="s">
        <v>145</v>
      </c>
      <c r="J71" s="2" t="s">
        <v>85</v>
      </c>
      <c r="K71" s="2" t="s">
        <v>104</v>
      </c>
      <c r="M71" s="2" t="str">
        <f t="shared" si="2"/>
        <v>ALTN006</v>
      </c>
      <c r="N71" s="229"/>
    </row>
    <row r="72" spans="3:14">
      <c r="C72" s="153"/>
      <c r="G72" s="2" t="s">
        <v>150</v>
      </c>
      <c r="J72" s="2" t="s">
        <v>86</v>
      </c>
      <c r="K72" s="2" t="s">
        <v>139</v>
      </c>
      <c r="M72" s="2" t="str">
        <f t="shared" si="2"/>
        <v>ALTN007</v>
      </c>
      <c r="N72" s="229" t="str">
        <f>M59</f>
        <v>ALTP015</v>
      </c>
    </row>
    <row r="73" spans="3:14">
      <c r="C73" s="153"/>
      <c r="G73" s="2" t="s">
        <v>100</v>
      </c>
      <c r="J73" s="2" t="s">
        <v>89</v>
      </c>
      <c r="K73" s="2" t="s">
        <v>146</v>
      </c>
      <c r="M73" s="2" t="str">
        <f t="shared" si="2"/>
        <v>ALTN008</v>
      </c>
      <c r="N73" s="229"/>
    </row>
    <row r="74" spans="3:14">
      <c r="C74" s="153"/>
      <c r="G74" s="2" t="s">
        <v>101</v>
      </c>
      <c r="J74" s="2" t="s">
        <v>90</v>
      </c>
      <c r="K74" s="2" t="s">
        <v>147</v>
      </c>
      <c r="M74" s="2" t="str">
        <f t="shared" si="2"/>
        <v>ALTN009</v>
      </c>
      <c r="N74" s="229" t="str">
        <f>M60</f>
        <v>ALTP016</v>
      </c>
    </row>
    <row r="75" spans="3:14">
      <c r="C75" s="153"/>
      <c r="G75" s="2" t="s">
        <v>102</v>
      </c>
      <c r="J75" s="2" t="s">
        <v>91</v>
      </c>
      <c r="K75" s="2" t="s">
        <v>148</v>
      </c>
      <c r="M75" s="2" t="str">
        <f t="shared" si="2"/>
        <v>ALTN010</v>
      </c>
      <c r="N75" s="229"/>
    </row>
    <row r="76" spans="3:14">
      <c r="C76" s="153"/>
      <c r="G76" s="2" t="s">
        <v>151</v>
      </c>
      <c r="J76" s="2" t="s">
        <v>92</v>
      </c>
      <c r="K76" s="2" t="s">
        <v>149</v>
      </c>
      <c r="M76" s="2" t="str">
        <f t="shared" si="2"/>
        <v>ALTN011</v>
      </c>
      <c r="N76" s="229" t="str">
        <f>M61</f>
        <v>ALTP017</v>
      </c>
    </row>
    <row r="77" spans="3:14">
      <c r="C77" s="153"/>
      <c r="G77" s="2" t="s">
        <v>103</v>
      </c>
      <c r="J77" s="2" t="s">
        <v>93</v>
      </c>
      <c r="N77" s="229"/>
    </row>
    <row r="78" spans="3:14">
      <c r="C78" s="153"/>
      <c r="G78" s="31" t="s">
        <v>104</v>
      </c>
      <c r="J78" s="2" t="s">
        <v>94</v>
      </c>
      <c r="N78" s="229" t="str">
        <f>M62</f>
        <v>ALTP018</v>
      </c>
    </row>
    <row r="79" spans="3:14">
      <c r="C79" s="153"/>
      <c r="G79" s="31" t="s">
        <v>139</v>
      </c>
      <c r="J79" s="2" t="s">
        <v>95</v>
      </c>
      <c r="N79" s="229"/>
    </row>
    <row r="80" spans="3:14">
      <c r="C80" s="153"/>
      <c r="G80" s="31" t="s">
        <v>146</v>
      </c>
      <c r="J80" s="2" t="s">
        <v>96</v>
      </c>
      <c r="N80" s="229" t="str">
        <f>M63</f>
        <v>ALTP019</v>
      </c>
    </row>
    <row r="81" spans="3:14">
      <c r="C81" s="153"/>
      <c r="G81" s="31" t="s">
        <v>147</v>
      </c>
      <c r="J81" s="2" t="s">
        <v>97</v>
      </c>
      <c r="N81" s="229"/>
    </row>
    <row r="82" spans="3:14">
      <c r="C82" s="153"/>
      <c r="G82" s="31" t="s">
        <v>148</v>
      </c>
      <c r="J82" s="2" t="s">
        <v>98</v>
      </c>
      <c r="N82" s="229" t="str">
        <f>M64</f>
        <v>ALTP020</v>
      </c>
    </row>
    <row r="83" spans="3:14">
      <c r="C83" s="153"/>
      <c r="G83" s="31" t="s">
        <v>149</v>
      </c>
      <c r="J83" s="2" t="s">
        <v>99</v>
      </c>
      <c r="N83" s="229"/>
    </row>
    <row r="84" spans="3:14">
      <c r="C84" s="153"/>
      <c r="N84" s="229" t="str">
        <f>M65</f>
        <v>ALTP025</v>
      </c>
    </row>
    <row r="85" spans="3:14">
      <c r="C85" s="153"/>
      <c r="N85" s="229"/>
    </row>
    <row r="86" spans="3:14">
      <c r="C86" s="153"/>
      <c r="N86" s="229" t="str">
        <f>M66</f>
        <v>ALTP027</v>
      </c>
    </row>
    <row r="87" spans="3:14">
      <c r="C87" s="153"/>
      <c r="N87" s="229"/>
    </row>
    <row r="88" spans="3:14">
      <c r="C88" s="153"/>
      <c r="N88" s="229" t="str">
        <f>M67</f>
        <v>ALTN001</v>
      </c>
    </row>
    <row r="89" spans="3:14">
      <c r="C89" s="153"/>
      <c r="N89" s="229"/>
    </row>
    <row r="90" spans="3:14">
      <c r="C90" s="153"/>
      <c r="N90" s="229" t="str">
        <f>M68</f>
        <v>ALTN002</v>
      </c>
    </row>
    <row r="91" spans="3:14">
      <c r="C91" s="153"/>
      <c r="N91" s="229"/>
    </row>
    <row r="92" spans="3:14">
      <c r="C92" s="153"/>
      <c r="N92" s="229" t="str">
        <f>M69</f>
        <v>ALTN003</v>
      </c>
    </row>
    <row r="93" spans="3:14">
      <c r="C93" s="153"/>
      <c r="N93" s="229"/>
    </row>
    <row r="94" spans="3:14">
      <c r="C94" s="153"/>
      <c r="N94" s="229" t="str">
        <f>M70</f>
        <v>ALTN004</v>
      </c>
    </row>
    <row r="95" spans="3:14">
      <c r="C95" s="153"/>
      <c r="N95" s="229"/>
    </row>
    <row r="96" spans="3:14">
      <c r="C96" s="153"/>
      <c r="N96" s="229" t="str">
        <f>M71</f>
        <v>ALTN006</v>
      </c>
    </row>
    <row r="97" spans="3:14">
      <c r="C97" s="153"/>
      <c r="N97" s="229"/>
    </row>
    <row r="98" spans="3:14">
      <c r="C98" s="153"/>
      <c r="N98" s="229" t="str">
        <f>M72</f>
        <v>ALTN007</v>
      </c>
    </row>
    <row r="99" spans="3:14">
      <c r="C99" s="153"/>
      <c r="N99" s="229"/>
    </row>
    <row r="100" spans="3:14">
      <c r="C100" s="153"/>
      <c r="N100" s="229" t="str">
        <f>M73</f>
        <v>ALTN008</v>
      </c>
    </row>
    <row r="101" spans="3:14">
      <c r="C101" s="153"/>
      <c r="N101" s="229"/>
    </row>
    <row r="102" spans="3:14">
      <c r="C102" s="153"/>
      <c r="N102" s="229" t="str">
        <f>M74</f>
        <v>ALTN009</v>
      </c>
    </row>
    <row r="103" spans="3:14">
      <c r="C103" s="153"/>
      <c r="N103" s="229"/>
    </row>
    <row r="104" spans="3:14">
      <c r="C104" s="153"/>
      <c r="N104" s="229" t="str">
        <f>M75</f>
        <v>ALTN010</v>
      </c>
    </row>
    <row r="105" spans="3:14">
      <c r="C105" s="153"/>
      <c r="N105" s="229"/>
    </row>
    <row r="106" spans="3:14">
      <c r="C106" s="153"/>
      <c r="N106" s="229" t="str">
        <f>M76</f>
        <v>ALTN011</v>
      </c>
    </row>
    <row r="107" spans="3:14">
      <c r="C107" s="153"/>
      <c r="N107" s="229"/>
    </row>
  </sheetData>
  <protectedRanges>
    <protectedRange password="CC78" sqref="E34:E65335 B8:D9 W8:W9 B22:B65335 C31:D65335 F31:JG45 F97:M97 Y8:JG12 F46 H46:J46 L46:JG46 L47:L73 F84:L96 N47:JG97 M47:M76 F98:JG65335 K74:L83 F47:J67 F69:J83 F68 H68:J68 F8:H8 J17:JG21 C17:H21 B10:X10 A8:A16 J11:X12 J13:JG13 A17:A65335 E11:H16 V14:JG16" name="Range1"/>
    <protectedRange password="CC78" sqref="C24:C29 E31:E33 W24:JG29 D24:H30" name="Range1_1_1"/>
    <protectedRange password="CC78" sqref="C30 W30:JG30" name="Range1_3_1"/>
    <protectedRange password="CC78" sqref="A5:JG7" name="Range1_2"/>
    <protectedRange password="CC78" sqref="I8:V9 I11:I21" name="Range1_3"/>
    <protectedRange password="CC78" sqref="B17:B21" name="Range1_1"/>
    <protectedRange password="CC78" sqref="E8:E9 F9" name="Range1_4"/>
    <protectedRange password="CC78" sqref="B14:B16" name="Range1_6"/>
    <protectedRange password="CC78" sqref="D14:D16" name="Range1_7"/>
    <protectedRange password="CC78" sqref="J11:U16" name="Range1_11"/>
  </protectedRanges>
  <autoFilter ref="A10:Z16"/>
  <mergeCells count="45">
    <mergeCell ref="N102:N103"/>
    <mergeCell ref="N104:N105"/>
    <mergeCell ref="N106:N107"/>
    <mergeCell ref="J8:U8"/>
    <mergeCell ref="V8:V9"/>
    <mergeCell ref="N74:N75"/>
    <mergeCell ref="N76:N77"/>
    <mergeCell ref="N78:N79"/>
    <mergeCell ref="N80:N81"/>
    <mergeCell ref="N82:N83"/>
    <mergeCell ref="N84:N85"/>
    <mergeCell ref="N98:N99"/>
    <mergeCell ref="N100:N101"/>
    <mergeCell ref="N96:N97"/>
    <mergeCell ref="N86:N87"/>
    <mergeCell ref="N88:N89"/>
    <mergeCell ref="N62:N63"/>
    <mergeCell ref="N64:N65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0:N91"/>
    <mergeCell ref="N92:N93"/>
    <mergeCell ref="N94:N95"/>
    <mergeCell ref="A19:C21"/>
    <mergeCell ref="N66:N67"/>
    <mergeCell ref="N68:N69"/>
    <mergeCell ref="N70:N71"/>
    <mergeCell ref="N72:N73"/>
    <mergeCell ref="N46:N47"/>
    <mergeCell ref="N48:N49"/>
    <mergeCell ref="N50:N51"/>
    <mergeCell ref="N52:N53"/>
    <mergeCell ref="N54:N55"/>
    <mergeCell ref="N56:N57"/>
    <mergeCell ref="N58:N59"/>
    <mergeCell ref="N60:N61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42370</v>
      </c>
      <c r="G5" s="118">
        <f t="shared" ref="G5:AJ5" si="0">F5+1</f>
        <v>42371</v>
      </c>
      <c r="H5" s="118">
        <f t="shared" si="0"/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60">
        <f t="shared" ref="AK9" si="2">((SUM(F9:AJ9))/8)-(SUMIF($F$6:$AJ$6,"C.Nhật",F9:AJ9)/8)</f>
        <v>21</v>
      </c>
      <c r="AL9" s="260">
        <f t="shared" ref="AL9" si="3">SUM(F10:AJ10)/8*1.5</f>
        <v>0</v>
      </c>
      <c r="AM9" s="262">
        <f t="shared" ref="AM9:AM11" si="4">SUMIF($F$6:$AJ$6,"C.Nhật",$F9:$AJ10)/8*2</f>
        <v>10</v>
      </c>
      <c r="AN9" s="264">
        <f t="shared" ref="AN9" si="5">SUM(AK9:AM10)</f>
        <v>31</v>
      </c>
      <c r="AO9" s="266">
        <v>0</v>
      </c>
      <c r="AP9" s="264"/>
      <c r="AQ9" s="264"/>
      <c r="AR9" s="264"/>
      <c r="AS9" s="26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6">((SUM(F11:AJ11))/8)-(SUMIF($F$6:$AJ$6,"C.Nhật",F11:AJ11)/8)</f>
        <v>21</v>
      </c>
      <c r="AL11" s="260">
        <f t="shared" ref="AL11" si="7">SUM(F12:AJ12)/8*1.5</f>
        <v>0</v>
      </c>
      <c r="AM11" s="262">
        <f t="shared" si="4"/>
        <v>10</v>
      </c>
      <c r="AN11" s="264">
        <f t="shared" ref="AN11" si="8">SUM(AK11:AM12)</f>
        <v>31</v>
      </c>
      <c r="AO11" s="266">
        <v>0</v>
      </c>
      <c r="AP11" s="264"/>
      <c r="AQ11" s="264"/>
      <c r="AR11" s="264"/>
      <c r="AS11" s="268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9">((SUM(F14:AJ14))/8)-(SUMIF($F$6:$AJ$6,"C.Nhật",F14:AJ14)/8)</f>
        <v>21</v>
      </c>
      <c r="AL14" s="260">
        <f t="shared" ref="AL14" si="10">SUM(F15:AJ15)/8*1.5</f>
        <v>0</v>
      </c>
      <c r="AM14" s="262">
        <f>SUMIF($F$6:$AJ$6,"C.Nhật",$F14:$AJ15)/8*2</f>
        <v>10</v>
      </c>
      <c r="AN14" s="264">
        <f>SUM(AK14:AM15)</f>
        <v>31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11">((SUM(F16:AJ16))/8)-(SUMIF($F$6:$AJ$6,"C.Nhật",F16:AJ16)/8)</f>
        <v>21</v>
      </c>
      <c r="AL16" s="260">
        <f t="shared" ref="AL16" si="12">SUM(F17:AJ17)/8*1.5</f>
        <v>0</v>
      </c>
      <c r="AM16" s="262">
        <f>SUMIF($F$6:$AJ$6,"C.Nhật",$F16:$AJ17)/8*2</f>
        <v>10</v>
      </c>
      <c r="AN16" s="264">
        <f t="shared" ref="AN16" si="13">SUM(AK16:AM17)</f>
        <v>31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 t="shared" ref="A18" si="14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5">((SUM(F18:AJ18))/8)-(SUMIF($F$6:$AJ$6,"C.Nhật",F18:AJ18)/8)</f>
        <v>21</v>
      </c>
      <c r="AL18" s="260">
        <f t="shared" ref="AL18" si="16">SUM(F19:AJ19)/8*1.5</f>
        <v>0</v>
      </c>
      <c r="AM18" s="262">
        <f>SUMIF($F$6:$AJ$6,"C.Nhật",$F18:$AJ19)/8*2</f>
        <v>10</v>
      </c>
      <c r="AN18" s="264">
        <f t="shared" ref="AN18" si="17">SUM(AK18:AM19)</f>
        <v>31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R16:AR17"/>
    <mergeCell ref="AP18:AP19"/>
    <mergeCell ref="AQ18:AQ19"/>
    <mergeCell ref="AR18:AR19"/>
    <mergeCell ref="AS18:AS19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16:A17"/>
    <mergeCell ref="B16:B17"/>
    <mergeCell ref="C16:C17"/>
    <mergeCell ref="D16:D17"/>
    <mergeCell ref="AK16:AK17"/>
    <mergeCell ref="AR11:AR12"/>
    <mergeCell ref="AP14:AP15"/>
    <mergeCell ref="AQ14:AQ15"/>
    <mergeCell ref="AR14:AR15"/>
    <mergeCell ref="AS14:AS15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1 H9:AJ12">
    <cfRule type="expression" dxfId="68" priority="23" stopIfTrue="1">
      <formula>IF(WEEKDAY(F$5)=1,TRUE,FALSE)</formula>
    </cfRule>
  </conditionalFormatting>
  <conditionalFormatting sqref="G9 G11 H9:AJ12">
    <cfRule type="expression" dxfId="67" priority="22" stopIfTrue="1">
      <formula>IF(WEEKDAY(G$5)=1,TRUE,FALSE)</formula>
    </cfRule>
  </conditionalFormatting>
  <conditionalFormatting sqref="F10:G10 F9 F12:G12 F11">
    <cfRule type="expression" dxfId="66" priority="20" stopIfTrue="1">
      <formula>IF(WEEKDAY(F$5)=1,TRUE,FALSE)</formula>
    </cfRule>
  </conditionalFormatting>
  <conditionalFormatting sqref="F10:G10 F9 F12:G12 F11">
    <cfRule type="expression" dxfId="65" priority="19" stopIfTrue="1">
      <formula>IF(WEEKDAY(F$5)=1,TRUE,FALSE)</formula>
    </cfRule>
  </conditionalFormatting>
  <conditionalFormatting sqref="G14 G16 G18 H14:AJ19">
    <cfRule type="expression" dxfId="64" priority="4" stopIfTrue="1">
      <formula>IF(WEEKDAY(G$5)=1,TRUE,FALSE)</formula>
    </cfRule>
  </conditionalFormatting>
  <conditionalFormatting sqref="G14 G16 G18 H14:AJ19">
    <cfRule type="expression" dxfId="63" priority="3" stopIfTrue="1">
      <formula>IF(WEEKDAY(G$5)=1,TRUE,FALSE)</formula>
    </cfRule>
  </conditionalFormatting>
  <conditionalFormatting sqref="F15:G15 F14 F17:G17 F16 F19:G19 F18">
    <cfRule type="expression" dxfId="62" priority="2" stopIfTrue="1">
      <formula>IF(WEEKDAY(F$5)=1,TRUE,FALSE)</formula>
    </cfRule>
  </conditionalFormatting>
  <conditionalFormatting sqref="F15:G15 F14 F17:G17 F16 F19:G19 F18">
    <cfRule type="expression" dxfId="6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01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42370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-1'!$B$9:$AS$20,36,0)</f>
        <v>21</v>
      </c>
      <c r="G10" s="145">
        <f t="shared" ref="G10:G11" si="3">ROUND(E10/$U$2*F10,0)</f>
        <v>2700000</v>
      </c>
      <c r="H10" s="92">
        <f>(VLOOKUP(B10,'CC -1'!$B$9:$AS$20,37,0)+VLOOKUP(B10,'CC -1'!$B$9:$AS$20,38,0))</f>
        <v>10</v>
      </c>
      <c r="I10" s="145">
        <f t="shared" ref="I10:I11" si="4">ROUND(E10/$U$2*H10,0)</f>
        <v>1285714</v>
      </c>
      <c r="J10" s="93">
        <f t="shared" ref="J10:K11" si="5">F10+H10</f>
        <v>31</v>
      </c>
      <c r="K10" s="39">
        <f t="shared" si="5"/>
        <v>3985714</v>
      </c>
      <c r="L10" s="90">
        <f t="shared" ref="L10:L11" si="6">+F10*15000</f>
        <v>315000</v>
      </c>
      <c r="M10" s="40">
        <f t="shared" ref="M10:M11" si="7">K10+L10</f>
        <v>4300714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4300714</v>
      </c>
      <c r="R10" s="39">
        <f>VLOOKUP(B10,DS,23,0)</f>
        <v>0</v>
      </c>
      <c r="S10" s="45">
        <f t="shared" ref="S10:S11" si="9">Q10-R10</f>
        <v>4300714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-1'!$B$9:$AS$20,36,0)</f>
        <v>21</v>
      </c>
      <c r="G11" s="145">
        <f t="shared" si="3"/>
        <v>2400000</v>
      </c>
      <c r="H11" s="92">
        <f>(VLOOKUP(B11,'CC -1'!$B$9:$AS$20,37,0)+VLOOKUP(B11,'CC -1'!$B$9:$AS$20,38,0))</f>
        <v>10</v>
      </c>
      <c r="I11" s="145">
        <f t="shared" si="4"/>
        <v>1142857</v>
      </c>
      <c r="J11" s="93">
        <f t="shared" si="5"/>
        <v>31</v>
      </c>
      <c r="K11" s="39">
        <f t="shared" si="5"/>
        <v>3542857</v>
      </c>
      <c r="L11" s="90">
        <f t="shared" si="6"/>
        <v>315000</v>
      </c>
      <c r="M11" s="40">
        <f t="shared" si="7"/>
        <v>3857857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3857857</v>
      </c>
      <c r="R11" s="39">
        <f>VLOOKUP(B11,DS,23,0)</f>
        <v>0</v>
      </c>
      <c r="S11" s="45">
        <f t="shared" si="9"/>
        <v>3857857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2428571</v>
      </c>
      <c r="J13" s="140"/>
      <c r="K13" s="140">
        <f t="shared" ref="K13:S13" si="10">SUM(K9:K11)</f>
        <v>7528571</v>
      </c>
      <c r="L13" s="140">
        <f t="shared" si="10"/>
        <v>630000</v>
      </c>
      <c r="M13" s="140">
        <f t="shared" si="10"/>
        <v>8158571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8158571</v>
      </c>
      <c r="R13" s="140">
        <f t="shared" si="10"/>
        <v>0</v>
      </c>
      <c r="S13" s="140">
        <f t="shared" si="10"/>
        <v>8158571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2200000</v>
      </c>
      <c r="F15" s="92">
        <f>VLOOKUP(B15,'CC -1'!$B$9:$AS$20,36,0)</f>
        <v>21</v>
      </c>
      <c r="G15" s="145">
        <f t="shared" ref="G15:G17" si="14">ROUND(E15/$U$2*F15,0)</f>
        <v>2200000</v>
      </c>
      <c r="H15" s="92">
        <f>(VLOOKUP(B15,'CC -1'!$B$9:$AS$20,37,0)+VLOOKUP(B15,'CC -1'!$B$9:$AS$20,38,0))</f>
        <v>10</v>
      </c>
      <c r="I15" s="145">
        <f t="shared" ref="I15:I17" si="15">ROUND(E15/$U$2*H15,0)</f>
        <v>1047619</v>
      </c>
      <c r="J15" s="146">
        <f t="shared" ref="J15:K17" si="16">F15+H15</f>
        <v>31</v>
      </c>
      <c r="K15" s="39">
        <f t="shared" si="16"/>
        <v>3247619</v>
      </c>
      <c r="L15" s="90">
        <f t="shared" ref="L15:L17" si="17">+F15*15000</f>
        <v>315000</v>
      </c>
      <c r="M15" s="40">
        <f t="shared" ref="M15:M17" si="18">K15+L15</f>
        <v>3562619</v>
      </c>
      <c r="N15" s="40">
        <f>IF(VLOOKUP(B15,DS,9,0)="x",'L - 1'!E15*$N$4,0)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3562619</v>
      </c>
      <c r="R15" s="39">
        <f t="shared" ref="R15:R17" si="21">VLOOKUP(B15,DS,23,0)</f>
        <v>0</v>
      </c>
      <c r="S15" s="45">
        <f>Q15-R15</f>
        <v>3562619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2200000</v>
      </c>
      <c r="F16" s="92">
        <f>VLOOKUP(B16,'CC -1'!$B$9:$AS$20,36,0)</f>
        <v>21</v>
      </c>
      <c r="G16" s="145">
        <f t="shared" si="14"/>
        <v>2200000</v>
      </c>
      <c r="H16" s="92">
        <f>(VLOOKUP(B16,'CC -1'!$B$9:$AS$20,37,0)+VLOOKUP(B16,'CC -1'!$B$9:$AS$20,38,0))</f>
        <v>10</v>
      </c>
      <c r="I16" s="145">
        <f t="shared" si="15"/>
        <v>1047619</v>
      </c>
      <c r="J16" s="146">
        <f t="shared" si="16"/>
        <v>31</v>
      </c>
      <c r="K16" s="39">
        <f t="shared" si="16"/>
        <v>3247619</v>
      </c>
      <c r="L16" s="90">
        <f t="shared" si="17"/>
        <v>315000</v>
      </c>
      <c r="M16" s="40">
        <f t="shared" si="18"/>
        <v>3562619</v>
      </c>
      <c r="N16" s="40">
        <f>IF(VLOOKUP(B16,DS,9,0)="x",'L - 1'!E16*$N$4,0)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3562619</v>
      </c>
      <c r="R16" s="39">
        <f t="shared" si="21"/>
        <v>0</v>
      </c>
      <c r="S16" s="45">
        <f t="shared" ref="S16:S17" si="23">Q16-R16</f>
        <v>3562619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2000000</v>
      </c>
      <c r="F17" s="92">
        <f>VLOOKUP(B17,'CC -1'!$B$9:$AS$20,36,0)</f>
        <v>21</v>
      </c>
      <c r="G17" s="145">
        <f t="shared" si="14"/>
        <v>2000000</v>
      </c>
      <c r="H17" s="92">
        <f>(VLOOKUP(B17,'CC -1'!$B$9:$AS$20,37,0)+VLOOKUP(B17,'CC -1'!$B$9:$AS$20,38,0))</f>
        <v>10</v>
      </c>
      <c r="I17" s="145">
        <f t="shared" si="15"/>
        <v>952381</v>
      </c>
      <c r="J17" s="146">
        <f t="shared" si="16"/>
        <v>31</v>
      </c>
      <c r="K17" s="39">
        <f t="shared" si="16"/>
        <v>2952381</v>
      </c>
      <c r="L17" s="90">
        <f t="shared" si="17"/>
        <v>315000</v>
      </c>
      <c r="M17" s="40">
        <f t="shared" si="18"/>
        <v>3267381</v>
      </c>
      <c r="N17" s="40">
        <f>IF(VLOOKUP(B17,DS,9,0)="x",'L - 1'!E17*$N$4,0)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3267381</v>
      </c>
      <c r="R17" s="39">
        <f t="shared" si="21"/>
        <v>0</v>
      </c>
      <c r="S17" s="45">
        <f t="shared" si="23"/>
        <v>3267381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3047619</v>
      </c>
      <c r="J19" s="140"/>
      <c r="K19" s="140">
        <f t="shared" ref="K19:S19" si="24">SUM(K14:K18)</f>
        <v>9447619</v>
      </c>
      <c r="L19" s="140">
        <f t="shared" si="24"/>
        <v>945000</v>
      </c>
      <c r="M19" s="140">
        <f t="shared" si="24"/>
        <v>10392619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10392619</v>
      </c>
      <c r="R19" s="140">
        <f t="shared" si="24"/>
        <v>0</v>
      </c>
      <c r="S19" s="140">
        <f t="shared" si="24"/>
        <v>10392619</v>
      </c>
      <c r="T19" s="26"/>
      <c r="U19" s="225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01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N5:P6 L5 L22 J6:K7 L7 A25:T58 U31:U58 N18:S18 V25:IK58 W10:W12 J18:L18 A59:IK65326 Q10:S12 AF14:IK14 V13:IK13 A10:B13 D13:T13 D19:T19 AF5:IK12" name="Range1"/>
    <protectedRange password="CC78" sqref="F7:H7" name="Range1_4"/>
    <protectedRange password="CC78" sqref="V22:IK23 S22:T23 N22:Q23 E22:I23" name="Range1_1_1"/>
    <protectedRange password="CC78" sqref="U1 W1:IK3 V4:IK4 B4:T4 X10:AE12 R2:S3 B1:Q3 U18:U30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15:B17 Q15:S17 AF15:IK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</protectedRanges>
  <autoFilter ref="A7:AE9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4" sqref="E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4" width="3.42578125" style="124" hidden="1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42" t="s">
        <v>179</v>
      </c>
      <c r="AL1" s="243"/>
      <c r="AM1" s="243"/>
      <c r="AN1" s="243"/>
      <c r="AO1" s="243"/>
      <c r="AP1" s="243"/>
      <c r="AQ1" s="244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248" t="s">
        <v>15</v>
      </c>
      <c r="AJ5" s="249"/>
      <c r="AK5" s="250"/>
      <c r="AL5" s="251" t="s">
        <v>45</v>
      </c>
      <c r="AM5" s="251" t="s">
        <v>41</v>
      </c>
      <c r="AN5" s="251" t="s">
        <v>42</v>
      </c>
      <c r="AO5" s="251" t="s">
        <v>43</v>
      </c>
      <c r="AP5" s="251" t="s">
        <v>44</v>
      </c>
      <c r="AQ5" s="247" t="s">
        <v>0</v>
      </c>
      <c r="AR5" s="253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T.Hai</v>
      </c>
      <c r="G6" s="174" t="str">
        <f t="shared" ref="G6:AH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5" t="s">
        <v>16</v>
      </c>
      <c r="AJ6" s="175" t="s">
        <v>31</v>
      </c>
      <c r="AK6" s="176" t="s">
        <v>17</v>
      </c>
      <c r="AL6" s="252"/>
      <c r="AM6" s="252"/>
      <c r="AN6" s="252"/>
      <c r="AO6" s="252"/>
      <c r="AP6" s="252"/>
      <c r="AQ6" s="246"/>
      <c r="AR6" s="253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2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/>
      <c r="X9" s="143"/>
      <c r="Y9" s="143"/>
      <c r="Z9" s="143"/>
      <c r="AA9" s="143"/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260">
        <f>((SUM(F9:AH9))/8)-(SUMIF($F$6:$AH$6,"C.Nhật",F9:AH9)/8)</f>
        <v>16</v>
      </c>
      <c r="AJ9" s="260">
        <f>SUM(F10:AH10)/8*1.5</f>
        <v>0</v>
      </c>
      <c r="AK9" s="262">
        <f>SUMIF($F$6:$AH$6,"C.Nhật",$F9:$AH10)/8*2</f>
        <v>6</v>
      </c>
      <c r="AL9" s="264">
        <f>SUM(AI9:AK10)</f>
        <v>22</v>
      </c>
      <c r="AM9" s="266">
        <v>0</v>
      </c>
      <c r="AN9" s="264"/>
      <c r="AO9" s="264"/>
      <c r="AP9" s="264"/>
      <c r="AQ9" s="268"/>
      <c r="AR9" s="22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61"/>
      <c r="AJ10" s="261"/>
      <c r="AK10" s="263"/>
      <c r="AL10" s="265"/>
      <c r="AM10" s="267"/>
      <c r="AN10" s="265"/>
      <c r="AO10" s="265"/>
      <c r="AP10" s="265"/>
      <c r="AQ10" s="269"/>
      <c r="AR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/>
      <c r="X11" s="143"/>
      <c r="Y11" s="143"/>
      <c r="Z11" s="143"/>
      <c r="AA11" s="143"/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260">
        <f>((SUM(F11:AH11))/8)-(SUMIF($F$6:$AH$6,"C.Nhật",F11:AH11)/8)</f>
        <v>16</v>
      </c>
      <c r="AJ11" s="260">
        <f>SUM(F12:AH12)/8*1.5</f>
        <v>0</v>
      </c>
      <c r="AK11" s="262">
        <f>SUMIF($F$6:$AH$6,"C.Nhật",$F11:$AH12)/8*2</f>
        <v>6</v>
      </c>
      <c r="AL11" s="264">
        <f t="shared" ref="AL11" si="2">SUM(AI11:AK12)</f>
        <v>22</v>
      </c>
      <c r="AM11" s="266">
        <v>0</v>
      </c>
      <c r="AN11" s="264"/>
      <c r="AO11" s="264"/>
      <c r="AP11" s="264"/>
      <c r="AQ11" s="268"/>
      <c r="AR11" s="22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61"/>
      <c r="AJ12" s="261"/>
      <c r="AK12" s="263"/>
      <c r="AL12" s="265"/>
      <c r="AM12" s="267"/>
      <c r="AN12" s="265"/>
      <c r="AO12" s="265"/>
      <c r="AP12" s="265"/>
      <c r="AQ12" s="269"/>
      <c r="AR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3"/>
      <c r="AR13" s="179"/>
    </row>
    <row r="14" spans="1:89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/>
      <c r="X14" s="143"/>
      <c r="Y14" s="143"/>
      <c r="Z14" s="143"/>
      <c r="AA14" s="143"/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260">
        <f>((SUM(F14:AH14))/8)-(SUMIF($F$6:$AH$6,"C.Nhật",F14:AH14)/8)</f>
        <v>16</v>
      </c>
      <c r="AJ14" s="260">
        <f>SUM(F15:AH15)/8*1.5</f>
        <v>0</v>
      </c>
      <c r="AK14" s="262">
        <f>SUMIF($F$6:$AH$6,"C.Nhật",$F14:$AH15)/8*2</f>
        <v>6</v>
      </c>
      <c r="AL14" s="264">
        <f>SUM(AI14:AK15)</f>
        <v>22</v>
      </c>
      <c r="AM14" s="266">
        <v>0</v>
      </c>
      <c r="AN14" s="264"/>
      <c r="AO14" s="264"/>
      <c r="AP14" s="264"/>
      <c r="AQ14" s="268"/>
      <c r="AR14" s="221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261"/>
      <c r="AJ15" s="261"/>
      <c r="AK15" s="263"/>
      <c r="AL15" s="265"/>
      <c r="AM15" s="267"/>
      <c r="AN15" s="265"/>
      <c r="AO15" s="265"/>
      <c r="AP15" s="265"/>
      <c r="AQ15" s="269"/>
      <c r="AR15" s="221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/>
      <c r="X16" s="143"/>
      <c r="Y16" s="143"/>
      <c r="Z16" s="143"/>
      <c r="AA16" s="143"/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260">
        <f>((SUM(F16:AH16))/8)-(SUMIF($F$6:$AH$6,"C.Nhật",F16:AH16)/8)</f>
        <v>16</v>
      </c>
      <c r="AJ16" s="260">
        <f>SUM(F17:AH17)/8*1.5</f>
        <v>0</v>
      </c>
      <c r="AK16" s="262">
        <f>SUMIF($F$6:$AH$6,"C.Nhật",$F16:$AH17)/8*2</f>
        <v>6</v>
      </c>
      <c r="AL16" s="264">
        <f t="shared" ref="AL16" si="3">SUM(AI16:AK17)</f>
        <v>22</v>
      </c>
      <c r="AM16" s="266">
        <v>0</v>
      </c>
      <c r="AN16" s="264"/>
      <c r="AO16" s="264"/>
      <c r="AP16" s="264"/>
      <c r="AQ16" s="268"/>
      <c r="AR16" s="221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61"/>
      <c r="AJ17" s="261"/>
      <c r="AK17" s="263"/>
      <c r="AL17" s="265"/>
      <c r="AM17" s="267"/>
      <c r="AN17" s="265"/>
      <c r="AO17" s="265"/>
      <c r="AP17" s="265"/>
      <c r="AQ17" s="269"/>
      <c r="AR17" s="221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/>
      <c r="X18" s="143"/>
      <c r="Y18" s="143"/>
      <c r="Z18" s="143"/>
      <c r="AA18" s="143"/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260">
        <f>((SUM(F18:AH18))/8)-(SUMIF($F$6:$AH$6,"C.Nhật",F18:AH18)/8)</f>
        <v>16</v>
      </c>
      <c r="AJ18" s="260">
        <f>SUM(F19:AH19)/8*1.5</f>
        <v>0</v>
      </c>
      <c r="AK18" s="262">
        <f>SUMIF($F$6:$AH$6,"C.Nhật",$F18:$AH19)/8*2</f>
        <v>6</v>
      </c>
      <c r="AL18" s="264">
        <f>SUM(AI18:AK19)</f>
        <v>22</v>
      </c>
      <c r="AM18" s="266">
        <v>0</v>
      </c>
      <c r="AN18" s="264"/>
      <c r="AO18" s="264"/>
      <c r="AP18" s="264"/>
      <c r="AQ18" s="268"/>
      <c r="AR18" s="221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61"/>
      <c r="AJ19" s="261"/>
      <c r="AK19" s="263"/>
      <c r="AL19" s="265"/>
      <c r="AM19" s="267"/>
      <c r="AN19" s="265"/>
      <c r="AO19" s="265"/>
      <c r="AP19" s="265"/>
      <c r="AQ19" s="269"/>
      <c r="AR19" s="221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4"/>
      <c r="AJ20" s="4"/>
      <c r="AK20" s="98"/>
      <c r="AL20" s="74"/>
      <c r="AM20" s="74"/>
      <c r="AN20" s="74"/>
      <c r="AO20" s="74"/>
      <c r="AP20" s="74"/>
      <c r="AQ20" s="4"/>
      <c r="AR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4"/>
      <c r="AJ21" s="4"/>
      <c r="AK21" s="98"/>
      <c r="AL21" s="74"/>
      <c r="AM21" s="74"/>
      <c r="AN21" s="74"/>
      <c r="AO21" s="74"/>
      <c r="AP21" s="74"/>
      <c r="AQ21" s="4"/>
      <c r="AR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4"/>
      <c r="AJ22" s="4"/>
      <c r="AK22" s="98"/>
      <c r="AL22" s="76"/>
      <c r="AM22" s="76"/>
      <c r="AN22" s="76"/>
      <c r="AO22" s="76"/>
      <c r="AP22" s="76"/>
      <c r="AQ22" s="4"/>
      <c r="AR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4"/>
      <c r="AJ23" s="4"/>
      <c r="AK23" s="98"/>
      <c r="AL23" s="76"/>
      <c r="AM23" s="76"/>
      <c r="AN23" s="76"/>
      <c r="AO23" s="76"/>
      <c r="AP23" s="76"/>
      <c r="AQ23" s="4"/>
      <c r="AR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4"/>
      <c r="AJ24" s="4"/>
      <c r="AK24" s="98"/>
      <c r="AL24" s="76"/>
      <c r="AM24" s="76"/>
      <c r="AN24" s="76"/>
      <c r="AO24" s="76"/>
      <c r="AP24" s="76"/>
      <c r="AQ24" s="4"/>
      <c r="AR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4"/>
      <c r="AJ25" s="4"/>
      <c r="AK25" s="98"/>
      <c r="AL25" s="76"/>
      <c r="AM25" s="76"/>
      <c r="AN25" s="76"/>
      <c r="AO25" s="76"/>
      <c r="AP25" s="76"/>
      <c r="AQ25" s="4"/>
      <c r="AR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77"/>
      <c r="AK26" s="99"/>
      <c r="AL26" s="10"/>
      <c r="AM26" s="10"/>
      <c r="AN26" s="10"/>
      <c r="AO26" s="10"/>
      <c r="AP26" s="10"/>
      <c r="AQ26" s="14"/>
      <c r="AR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2"/>
      <c r="AJ27" s="2"/>
      <c r="AK27" s="100"/>
      <c r="AL27" s="2"/>
      <c r="AM27" s="2"/>
      <c r="AN27" s="2"/>
      <c r="AO27" s="2"/>
      <c r="AP27" s="2"/>
      <c r="AQ27" s="2"/>
      <c r="AR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2"/>
      <c r="AJ28" s="2"/>
      <c r="AK28" s="100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2"/>
      <c r="AJ31" s="2"/>
      <c r="AK31" s="100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2"/>
      <c r="AJ32" s="2"/>
      <c r="AK32" s="100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2"/>
      <c r="AJ33" s="2"/>
      <c r="AK33" s="100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  <c r="AK34" s="100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J18:AJ19"/>
    <mergeCell ref="AQ18:AQ19"/>
    <mergeCell ref="AK18:AK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I18:AI19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J11:AJ12"/>
    <mergeCell ref="AK11:AK12"/>
    <mergeCell ref="AL11:AL12"/>
    <mergeCell ref="AM11:AM12"/>
    <mergeCell ref="AK9:AK10"/>
    <mergeCell ref="AL9:AL10"/>
    <mergeCell ref="AM9:AM10"/>
    <mergeCell ref="A11:A12"/>
    <mergeCell ref="B11:B12"/>
    <mergeCell ref="C11:C12"/>
    <mergeCell ref="D11:D12"/>
    <mergeCell ref="AI11:AI12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14:AH17 F9:AH12 F14:AG19">
    <cfRule type="expression" dxfId="60" priority="11" stopIfTrue="1">
      <formula>IF(WEEKDAY(F$5)=1,TRUE,FALSE)</formula>
    </cfRule>
  </conditionalFormatting>
  <conditionalFormatting sqref="F14:G19">
    <cfRule type="expression" dxfId="59" priority="9" stopIfTrue="1">
      <formula>IF(WEEKDAY(F$5)=1,TRUE,FALSE)</formula>
    </cfRule>
  </conditionalFormatting>
  <conditionalFormatting sqref="AH18:AH19">
    <cfRule type="expression" dxfId="58" priority="2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02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16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42401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-2'!$B$8:$AQ$19,34,0)</f>
        <v>16</v>
      </c>
      <c r="G10" s="145">
        <f t="shared" ref="G10:G11" si="3">ROUND(E10/$U$2*F10,0)</f>
        <v>2700000</v>
      </c>
      <c r="H10" s="92">
        <f>(VLOOKUP(B10,'CC -2'!$B$8:$AQ$19,35,0)+VLOOKUP(B10,'CC -2'!$B$8:$AQ$19,36,0))</f>
        <v>6</v>
      </c>
      <c r="I10" s="145">
        <f t="shared" ref="I10:I11" si="4">ROUND(E10/$U$2*H10,0)</f>
        <v>1012500</v>
      </c>
      <c r="J10" s="93">
        <f t="shared" ref="J10:K11" si="5">F10+H10</f>
        <v>22</v>
      </c>
      <c r="K10" s="39">
        <f>G10+I10</f>
        <v>3712500</v>
      </c>
      <c r="L10" s="90">
        <f t="shared" ref="L10:L11" si="6">+F10*15000</f>
        <v>240000</v>
      </c>
      <c r="M10" s="40">
        <f t="shared" ref="M10:M11" si="7">K10+L10</f>
        <v>3952500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3952500</v>
      </c>
      <c r="R10" s="39">
        <f>VLOOKUP(B10,DS,23,0)</f>
        <v>0</v>
      </c>
      <c r="S10" s="45">
        <f t="shared" ref="S10:S11" si="9">Q10-R10</f>
        <v>3952500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-2'!$B$8:$AQ$19,34,0)</f>
        <v>16</v>
      </c>
      <c r="G11" s="145">
        <f t="shared" si="3"/>
        <v>2400000</v>
      </c>
      <c r="H11" s="92">
        <f>(VLOOKUP(B11,'CC -2'!$B$8:$AQ$19,35,0)+VLOOKUP(B11,'CC -2'!$B$8:$AQ$19,36,0))</f>
        <v>6</v>
      </c>
      <c r="I11" s="145">
        <f t="shared" si="4"/>
        <v>900000</v>
      </c>
      <c r="J11" s="93">
        <f t="shared" si="5"/>
        <v>22</v>
      </c>
      <c r="K11" s="39">
        <f t="shared" si="5"/>
        <v>3300000</v>
      </c>
      <c r="L11" s="90">
        <f t="shared" si="6"/>
        <v>240000</v>
      </c>
      <c r="M11" s="40">
        <f t="shared" si="7"/>
        <v>3540000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3540000</v>
      </c>
      <c r="R11" s="39">
        <f>VLOOKUP(B11,DS,23,0)</f>
        <v>0</v>
      </c>
      <c r="S11" s="45">
        <f t="shared" si="9"/>
        <v>3540000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1912500</v>
      </c>
      <c r="J13" s="140"/>
      <c r="K13" s="140">
        <f t="shared" ref="K13:S13" si="10">SUM(K9:K11)</f>
        <v>7012500</v>
      </c>
      <c r="L13" s="140">
        <f t="shared" si="10"/>
        <v>480000</v>
      </c>
      <c r="M13" s="140">
        <f t="shared" si="10"/>
        <v>7492500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7492500</v>
      </c>
      <c r="R13" s="140">
        <f t="shared" si="10"/>
        <v>0</v>
      </c>
      <c r="S13" s="140">
        <f t="shared" si="10"/>
        <v>7492500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-2'!$B$8:$AQ$19,34,0)</f>
        <v>16</v>
      </c>
      <c r="G15" s="145">
        <f t="shared" ref="G15" si="14">ROUND(E15/$U$2*F15,0)</f>
        <v>2200000</v>
      </c>
      <c r="H15" s="92">
        <f>(VLOOKUP(B15,'CC -2'!$B$8:$AQ$19,35,0)+VLOOKUP(B15,'CC -2'!$B$8:$AQ$19,36,0))</f>
        <v>6</v>
      </c>
      <c r="I15" s="145">
        <f t="shared" ref="I15" si="15">ROUND(E15/$U$2*H15,0)</f>
        <v>825000</v>
      </c>
      <c r="J15" s="146">
        <f t="shared" ref="J15:K15" si="16">F15+H15</f>
        <v>22</v>
      </c>
      <c r="K15" s="39">
        <f t="shared" si="16"/>
        <v>3025000</v>
      </c>
      <c r="L15" s="90">
        <f t="shared" ref="L15" si="17">+F15*15000</f>
        <v>240000</v>
      </c>
      <c r="M15" s="40">
        <f t="shared" ref="M15" si="18">K15+L15</f>
        <v>3265000</v>
      </c>
      <c r="N15" s="40">
        <f>IF(VLOOKUP(B15,DS,9,0)="x",'L - 2'!E15*$N$4,0)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3265000</v>
      </c>
      <c r="R15" s="39">
        <f t="shared" ref="R15" si="21">VLOOKUP(B15,DS,23,0)</f>
        <v>0</v>
      </c>
      <c r="S15" s="45">
        <f>Q15-R15</f>
        <v>3265000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-2'!$B$8:$AQ$19,34,0)</f>
        <v>16</v>
      </c>
      <c r="G16" s="145">
        <f t="shared" ref="G16:G17" si="25">ROUND(E16/$U$2*F16,0)</f>
        <v>2200000</v>
      </c>
      <c r="H16" s="92">
        <f>(VLOOKUP(B16,'CC -2'!$B$8:$AQ$19,35,0)+VLOOKUP(B16,'CC -2'!$B$8:$AQ$19,36,0))</f>
        <v>6</v>
      </c>
      <c r="I16" s="145">
        <f t="shared" ref="I16:I17" si="26">ROUND(E16/$U$2*H16,0)</f>
        <v>825000</v>
      </c>
      <c r="J16" s="146">
        <f t="shared" ref="J16:J17" si="27">F16+H16</f>
        <v>22</v>
      </c>
      <c r="K16" s="39">
        <f t="shared" ref="K16:K17" si="28">G16+I16</f>
        <v>3025000</v>
      </c>
      <c r="L16" s="90">
        <f t="shared" ref="L16:L17" si="29">+F16*15000</f>
        <v>240000</v>
      </c>
      <c r="M16" s="40">
        <f t="shared" ref="M16:M17" si="30">K16+L16</f>
        <v>3265000</v>
      </c>
      <c r="N16" s="40">
        <f>IF(VLOOKUP(B16,DS,9,0)="x",'L - 2'!E16*$N$4,0)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3265000</v>
      </c>
      <c r="R16" s="39">
        <f t="shared" ref="R16:R17" si="34">VLOOKUP(B16,DS,23,0)</f>
        <v>0</v>
      </c>
      <c r="S16" s="45">
        <f t="shared" ref="S16:S17" si="35">Q16-R16</f>
        <v>3265000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-2'!$B$8:$AQ$19,34,0)</f>
        <v>16</v>
      </c>
      <c r="G17" s="145">
        <f t="shared" si="25"/>
        <v>2000000</v>
      </c>
      <c r="H17" s="92">
        <f>(VLOOKUP(B17,'CC -2'!$B$8:$AQ$19,35,0)+VLOOKUP(B17,'CC -2'!$B$8:$AQ$19,36,0))</f>
        <v>6</v>
      </c>
      <c r="I17" s="145">
        <f t="shared" si="26"/>
        <v>750000</v>
      </c>
      <c r="J17" s="146">
        <f t="shared" si="27"/>
        <v>22</v>
      </c>
      <c r="K17" s="39">
        <f t="shared" si="28"/>
        <v>2750000</v>
      </c>
      <c r="L17" s="90">
        <f t="shared" si="29"/>
        <v>240000</v>
      </c>
      <c r="M17" s="40">
        <f t="shared" si="30"/>
        <v>2990000</v>
      </c>
      <c r="N17" s="40">
        <f>IF(VLOOKUP(B17,DS,9,0)="x",'L - 2'!E17*$N$4,0)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2990000</v>
      </c>
      <c r="R17" s="39">
        <f t="shared" si="34"/>
        <v>0</v>
      </c>
      <c r="S17" s="45">
        <f t="shared" si="35"/>
        <v>2990000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2400000</v>
      </c>
      <c r="J19" s="140"/>
      <c r="K19" s="140">
        <f t="shared" ref="K19:S19" si="36">SUM(K14:K18)</f>
        <v>8800000</v>
      </c>
      <c r="L19" s="140">
        <f t="shared" si="36"/>
        <v>720000</v>
      </c>
      <c r="M19" s="140">
        <f t="shared" si="36"/>
        <v>9520000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9520000</v>
      </c>
      <c r="R19" s="140">
        <f t="shared" si="36"/>
        <v>0</v>
      </c>
      <c r="S19" s="140">
        <f t="shared" si="36"/>
        <v>9520000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02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42430</v>
      </c>
      <c r="G5" s="118">
        <f t="shared" ref="G5:AJ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 t="shared" si="0"/>
        <v>42459</v>
      </c>
      <c r="AJ5" s="118">
        <f t="shared" si="0"/>
        <v>42460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60">
        <f>((SUM(F9:AJ9))/8)-(SUMIF($F$6:$AJ$6,"C.Nhật",F9:AJ9)/8)</f>
        <v>22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30</v>
      </c>
      <c r="AO9" s="266">
        <v>0</v>
      </c>
      <c r="AP9" s="264"/>
      <c r="AQ9" s="264"/>
      <c r="AR9" s="264"/>
      <c r="AS9" s="26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60">
        <f t="shared" ref="AK11" si="2">((SUM(F11:AJ11))/8)-(SUMIF($F$6:$AJ$6,"C.Nhật",F11:AJ11)/8)</f>
        <v>22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30</v>
      </c>
      <c r="AO11" s="266">
        <v>0</v>
      </c>
      <c r="AP11" s="264"/>
      <c r="AQ11" s="264"/>
      <c r="AR11" s="264"/>
      <c r="AS11" s="268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60">
        <f t="shared" ref="AK14" si="6">((SUM(F14:AJ14))/8)-(SUMIF($F$6:$AJ$6,"C.Nhật",F14:AJ14)/8)</f>
        <v>22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30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60">
        <f t="shared" ref="AK16" si="8">((SUM(F16:AJ16))/8)-(SUMIF($F$6:$AJ$6,"C.Nhật",F16:AJ16)/8)</f>
        <v>22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30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f t="shared" ref="A18" si="11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60">
        <f t="shared" ref="AK18" si="12">((SUM(F18:AJ18))/8)-(SUMIF($F$6:$AJ$6,"C.Nhật",F18:AJ18)/8)</f>
        <v>22</v>
      </c>
      <c r="AL18" s="260">
        <f t="shared" ref="AL18" si="13">SUM(F19:AJ19)/8*1.5</f>
        <v>0</v>
      </c>
      <c r="AM18" s="262">
        <f>SUMIF($F$6:$AJ$6,"C.Nhật",$F18:$AJ19)/8*2</f>
        <v>8</v>
      </c>
      <c r="AN18" s="264">
        <f t="shared" ref="AN18" si="14">SUM(AK18:AM19)</f>
        <v>30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P16:AP17"/>
    <mergeCell ref="AQ16:AQ17"/>
    <mergeCell ref="AR16:AR17"/>
    <mergeCell ref="AS16:AS17"/>
    <mergeCell ref="AS18:AS19"/>
    <mergeCell ref="AR18:AR19"/>
    <mergeCell ref="AM18:AM19"/>
    <mergeCell ref="AN18:AN19"/>
    <mergeCell ref="AO18:AO19"/>
    <mergeCell ref="AP18:AP19"/>
    <mergeCell ref="AQ18:AQ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18:A19"/>
    <mergeCell ref="B18:B19"/>
    <mergeCell ref="C18:C19"/>
    <mergeCell ref="D18:D19"/>
    <mergeCell ref="AK18:AK19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B11:B12"/>
    <mergeCell ref="C11:C12"/>
    <mergeCell ref="D11:D12"/>
    <mergeCell ref="AK11:AK12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57" priority="21" stopIfTrue="1">
      <formula>IF(WEEKDAY(F$5)=1,TRUE,FALSE)</formula>
    </cfRule>
  </conditionalFormatting>
  <conditionalFormatting sqref="F9:AJ12">
    <cfRule type="expression" dxfId="56" priority="20" stopIfTrue="1">
      <formula>IF(WEEKDAY(F$5)=1,TRUE,FALSE)</formula>
    </cfRule>
  </conditionalFormatting>
  <conditionalFormatting sqref="F14:AJ19">
    <cfRule type="expression" dxfId="55" priority="2" stopIfTrue="1">
      <formula>IF(WEEKDAY(F$5)=1,TRUE,FALSE)</formula>
    </cfRule>
  </conditionalFormatting>
  <conditionalFormatting sqref="F14:AJ19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03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22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42430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-3'!$B$8:$AS$19,36,0)</f>
        <v>22</v>
      </c>
      <c r="G10" s="145">
        <f t="shared" ref="G10:G11" si="3">ROUND(E10/$U$2*F10,0)</f>
        <v>2700000</v>
      </c>
      <c r="H10" s="92">
        <f>(VLOOKUP(B10,'CC -3'!$B$8:$AS$19,37,0)+VLOOKUP(B10,'CC -3'!$B$8:$AS$19,38,0))</f>
        <v>8</v>
      </c>
      <c r="I10" s="145">
        <f t="shared" ref="I10:I11" si="4">ROUND(E10/$U$2*H10,0)</f>
        <v>981818</v>
      </c>
      <c r="J10" s="93">
        <f t="shared" ref="J10:K11" si="5">F10+H10</f>
        <v>30</v>
      </c>
      <c r="K10" s="39">
        <f>G10+I10</f>
        <v>3681818</v>
      </c>
      <c r="L10" s="90">
        <f t="shared" ref="L10:L11" si="6">+F10*15000</f>
        <v>330000</v>
      </c>
      <c r="M10" s="40">
        <f t="shared" ref="M10:M11" si="7">K10+L10</f>
        <v>4011818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4011818</v>
      </c>
      <c r="R10" s="39">
        <f>VLOOKUP(B10,DS,23,0)</f>
        <v>0</v>
      </c>
      <c r="S10" s="45">
        <f t="shared" ref="S10:S11" si="9">Q10-R10</f>
        <v>4011818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-3'!$B$8:$AS$19,36,0)</f>
        <v>22</v>
      </c>
      <c r="G11" s="145">
        <f t="shared" si="3"/>
        <v>2400000</v>
      </c>
      <c r="H11" s="92">
        <f>(VLOOKUP(B11,'CC -3'!$B$8:$AS$19,37,0)+VLOOKUP(B11,'CC -3'!$B$8:$AS$19,38,0))</f>
        <v>8</v>
      </c>
      <c r="I11" s="145">
        <f t="shared" si="4"/>
        <v>872727</v>
      </c>
      <c r="J11" s="93">
        <f t="shared" si="5"/>
        <v>30</v>
      </c>
      <c r="K11" s="39">
        <f t="shared" si="5"/>
        <v>3272727</v>
      </c>
      <c r="L11" s="90">
        <f t="shared" si="6"/>
        <v>330000</v>
      </c>
      <c r="M11" s="40">
        <f t="shared" si="7"/>
        <v>3602727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3602727</v>
      </c>
      <c r="R11" s="39">
        <f>VLOOKUP(B11,DS,23,0)</f>
        <v>0</v>
      </c>
      <c r="S11" s="45">
        <f t="shared" si="9"/>
        <v>3602727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1854545</v>
      </c>
      <c r="J13" s="140"/>
      <c r="K13" s="140">
        <f t="shared" ref="K13:S13" si="10">SUM(K9:K11)</f>
        <v>6954545</v>
      </c>
      <c r="L13" s="140">
        <f t="shared" si="10"/>
        <v>660000</v>
      </c>
      <c r="M13" s="140">
        <f t="shared" si="10"/>
        <v>7614545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7614545</v>
      </c>
      <c r="R13" s="140">
        <f t="shared" si="10"/>
        <v>0</v>
      </c>
      <c r="S13" s="140">
        <f t="shared" si="10"/>
        <v>7614545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-3'!$B$8:$AS$19,36,0)</f>
        <v>22</v>
      </c>
      <c r="G15" s="145">
        <f t="shared" ref="G15" si="14">ROUND(E15/$U$2*F15,0)</f>
        <v>2200000</v>
      </c>
      <c r="H15" s="92">
        <f>(VLOOKUP(B15,'CC -3'!$B$8:$AS$19,37,0)+VLOOKUP(B15,'CC -3'!$B$8:$AS$19,38,0))</f>
        <v>8</v>
      </c>
      <c r="I15" s="145">
        <f t="shared" ref="I15" si="15">ROUND(E15/$U$2*H15,0)</f>
        <v>800000</v>
      </c>
      <c r="J15" s="146">
        <f t="shared" ref="J15:K15" si="16">F15+H15</f>
        <v>30</v>
      </c>
      <c r="K15" s="39">
        <f t="shared" si="16"/>
        <v>3000000</v>
      </c>
      <c r="L15" s="90">
        <f t="shared" ref="L15" si="17">+F15*15000</f>
        <v>330000</v>
      </c>
      <c r="M15" s="40">
        <f t="shared" ref="M15" si="18">K15+L15</f>
        <v>3330000</v>
      </c>
      <c r="N15" s="40">
        <f>IF(VLOOKUP(B15,DS,9,0)="x",'L - 3'!E15*$N$4,0)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3330000</v>
      </c>
      <c r="R15" s="39">
        <f t="shared" ref="R15" si="21">VLOOKUP(B15,DS,23,0)</f>
        <v>0</v>
      </c>
      <c r="S15" s="45">
        <f>Q15-R15</f>
        <v>3330000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-3'!$B$8:$AS$19,36,0)</f>
        <v>22</v>
      </c>
      <c r="G16" s="145">
        <f t="shared" ref="G16:G17" si="25">ROUND(E16/$U$2*F16,0)</f>
        <v>2200000</v>
      </c>
      <c r="H16" s="92">
        <f>(VLOOKUP(B16,'CC -3'!$B$8:$AS$19,37,0)+VLOOKUP(B16,'CC -3'!$B$8:$AS$19,38,0))</f>
        <v>8</v>
      </c>
      <c r="I16" s="145">
        <f t="shared" ref="I16:I17" si="26">ROUND(E16/$U$2*H16,0)</f>
        <v>800000</v>
      </c>
      <c r="J16" s="146">
        <f t="shared" ref="J16:J17" si="27">F16+H16</f>
        <v>30</v>
      </c>
      <c r="K16" s="39">
        <f t="shared" ref="K16:K17" si="28">G16+I16</f>
        <v>3000000</v>
      </c>
      <c r="L16" s="90">
        <f t="shared" ref="L16:L17" si="29">+F16*15000</f>
        <v>330000</v>
      </c>
      <c r="M16" s="40">
        <f t="shared" ref="M16:M17" si="30">K16+L16</f>
        <v>3330000</v>
      </c>
      <c r="N16" s="40">
        <f>IF(VLOOKUP(B16,DS,9,0)="x",'L - 3'!E16*$N$4,0)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3330000</v>
      </c>
      <c r="R16" s="39">
        <f t="shared" ref="R16:R17" si="34">VLOOKUP(B16,DS,23,0)</f>
        <v>0</v>
      </c>
      <c r="S16" s="45">
        <f t="shared" ref="S16:S17" si="35">Q16-R16</f>
        <v>3330000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-3'!$B$8:$AS$19,36,0)</f>
        <v>22</v>
      </c>
      <c r="G17" s="145">
        <f t="shared" si="25"/>
        <v>2000000</v>
      </c>
      <c r="H17" s="92">
        <f>(VLOOKUP(B17,'CC -3'!$B$8:$AS$19,37,0)+VLOOKUP(B17,'CC -3'!$B$8:$AS$19,38,0))</f>
        <v>8</v>
      </c>
      <c r="I17" s="145">
        <f t="shared" si="26"/>
        <v>727273</v>
      </c>
      <c r="J17" s="146">
        <f t="shared" si="27"/>
        <v>30</v>
      </c>
      <c r="K17" s="39">
        <f t="shared" si="28"/>
        <v>2727273</v>
      </c>
      <c r="L17" s="90">
        <f t="shared" si="29"/>
        <v>330000</v>
      </c>
      <c r="M17" s="40">
        <f t="shared" si="30"/>
        <v>3057273</v>
      </c>
      <c r="N17" s="40">
        <f>IF(VLOOKUP(B17,DS,9,0)="x",'L - 3'!E17*$N$4,0)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3057273</v>
      </c>
      <c r="R17" s="39">
        <f t="shared" si="34"/>
        <v>0</v>
      </c>
      <c r="S17" s="45">
        <f t="shared" si="35"/>
        <v>3057273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2327273</v>
      </c>
      <c r="J19" s="140"/>
      <c r="K19" s="140">
        <f t="shared" ref="K19:S19" si="36">SUM(K14:K18)</f>
        <v>8727273</v>
      </c>
      <c r="L19" s="140">
        <f t="shared" si="36"/>
        <v>990000</v>
      </c>
      <c r="M19" s="140">
        <f t="shared" si="36"/>
        <v>9717273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9717273</v>
      </c>
      <c r="R19" s="140">
        <f t="shared" si="36"/>
        <v>0</v>
      </c>
      <c r="S19" s="140">
        <f t="shared" si="36"/>
        <v>9717273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03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42" t="s">
        <v>179</v>
      </c>
      <c r="AM1" s="243"/>
      <c r="AN1" s="243"/>
      <c r="AO1" s="243"/>
      <c r="AP1" s="243"/>
      <c r="AQ1" s="243"/>
      <c r="AR1" s="244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42461</v>
      </c>
      <c r="G5" s="118">
        <f t="shared" ref="G5:AI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 t="shared" si="0"/>
        <v>42490</v>
      </c>
      <c r="AJ5" s="248" t="s">
        <v>15</v>
      </c>
      <c r="AK5" s="249"/>
      <c r="AL5" s="250"/>
      <c r="AM5" s="251" t="s">
        <v>45</v>
      </c>
      <c r="AN5" s="251" t="s">
        <v>41</v>
      </c>
      <c r="AO5" s="251" t="s">
        <v>42</v>
      </c>
      <c r="AP5" s="251" t="s">
        <v>43</v>
      </c>
      <c r="AQ5" s="251" t="s">
        <v>44</v>
      </c>
      <c r="AR5" s="247" t="s">
        <v>0</v>
      </c>
      <c r="AS5" s="253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I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5" t="s">
        <v>16</v>
      </c>
      <c r="AK6" s="175" t="s">
        <v>31</v>
      </c>
      <c r="AL6" s="176" t="s">
        <v>17</v>
      </c>
      <c r="AM6" s="252"/>
      <c r="AN6" s="252"/>
      <c r="AO6" s="252"/>
      <c r="AP6" s="252"/>
      <c r="AQ6" s="252"/>
      <c r="AR6" s="246"/>
      <c r="AS6" s="253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2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/>
      <c r="AJ9" s="260">
        <f>((SUM(F9:AI9))/8)-(SUMIF($F$6:$AI$6,"C.Nhật",F9:AI9)/8)</f>
        <v>21</v>
      </c>
      <c r="AK9" s="260">
        <f>SUM(F10:AI10)/8*1.5</f>
        <v>0</v>
      </c>
      <c r="AL9" s="262">
        <f>SUMIF($F$6:$AI$6,"C.Nhật",$F9:$AI10)/8*2</f>
        <v>8</v>
      </c>
      <c r="AM9" s="264">
        <f>SUM(AJ9:AL10)</f>
        <v>29</v>
      </c>
      <c r="AN9" s="266">
        <v>0</v>
      </c>
      <c r="AO9" s="264"/>
      <c r="AP9" s="264"/>
      <c r="AQ9" s="264"/>
      <c r="AR9" s="268"/>
      <c r="AS9" s="22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61"/>
      <c r="AK10" s="261"/>
      <c r="AL10" s="263"/>
      <c r="AM10" s="265"/>
      <c r="AN10" s="267"/>
      <c r="AO10" s="265"/>
      <c r="AP10" s="265"/>
      <c r="AQ10" s="265"/>
      <c r="AR10" s="269"/>
      <c r="AS10" s="22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/>
      <c r="AJ11" s="260">
        <f>((SUM(F11:AI11))/8)-(SUMIF($F$6:$AI$6,"C.Nhật",F11:AI11)/8)</f>
        <v>21</v>
      </c>
      <c r="AK11" s="260">
        <f>SUM(F12:AI12)/8*1.5</f>
        <v>0</v>
      </c>
      <c r="AL11" s="262">
        <f>SUMIF($F$6:$AI$6,"C.Nhật",$F11:$AI12)/8*2</f>
        <v>8</v>
      </c>
      <c r="AM11" s="264">
        <f t="shared" ref="AM11" si="2">SUM(AJ11:AL12)</f>
        <v>29</v>
      </c>
      <c r="AN11" s="266">
        <v>0</v>
      </c>
      <c r="AO11" s="264"/>
      <c r="AP11" s="264"/>
      <c r="AQ11" s="264"/>
      <c r="AR11" s="268"/>
      <c r="AS11" s="22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61"/>
      <c r="AK12" s="261"/>
      <c r="AL12" s="263"/>
      <c r="AM12" s="265"/>
      <c r="AN12" s="267"/>
      <c r="AO12" s="265"/>
      <c r="AP12" s="265"/>
      <c r="AQ12" s="265"/>
      <c r="AR12" s="269"/>
      <c r="AS12" s="22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3"/>
      <c r="AS13" s="179"/>
    </row>
    <row r="14" spans="1:90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/>
      <c r="AJ14" s="260">
        <f>((SUM(F14:AI14))/8)-(SUMIF($F$6:$AI$6,"C.Nhật",F14:AI14)/8)</f>
        <v>21</v>
      </c>
      <c r="AK14" s="260">
        <f>SUM(F15:AI15)/8*1.5</f>
        <v>0</v>
      </c>
      <c r="AL14" s="262">
        <f>SUMIF($F$6:$AI$6,"C.Nhật",$F14:$AI15)/8*2</f>
        <v>8</v>
      </c>
      <c r="AM14" s="264">
        <f>SUM(AJ14:AL15)</f>
        <v>29</v>
      </c>
      <c r="AN14" s="266">
        <v>0</v>
      </c>
      <c r="AO14" s="264"/>
      <c r="AP14" s="264"/>
      <c r="AQ14" s="264"/>
      <c r="AR14" s="268"/>
      <c r="AS14" s="22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61"/>
      <c r="AK15" s="261"/>
      <c r="AL15" s="263"/>
      <c r="AM15" s="265"/>
      <c r="AN15" s="267"/>
      <c r="AO15" s="265"/>
      <c r="AP15" s="265"/>
      <c r="AQ15" s="265"/>
      <c r="AR15" s="26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7" customFormat="1" ht="18" customHeight="1">
      <c r="A16" s="254">
        <f>A14+1</f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/>
      <c r="AJ16" s="260">
        <f>((SUM(F16:AI16))/8)-(SUMIF($F$6:$AI$6,"C.Nhật",F16:AI16)/8)</f>
        <v>21</v>
      </c>
      <c r="AK16" s="260">
        <f>SUM(F17:AI17)/8*1.5</f>
        <v>0</v>
      </c>
      <c r="AL16" s="262">
        <f>SUMIF($F$6:$AI$6,"C.Nhật",$F16:$AI17)/8*2</f>
        <v>8</v>
      </c>
      <c r="AM16" s="264">
        <f t="shared" ref="AM16" si="3">SUM(AJ16:AL17)</f>
        <v>29</v>
      </c>
      <c r="AN16" s="266">
        <v>0</v>
      </c>
      <c r="AO16" s="264"/>
      <c r="AP16" s="264"/>
      <c r="AQ16" s="264"/>
      <c r="AR16" s="268"/>
      <c r="AS16" s="22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61"/>
      <c r="AK17" s="261"/>
      <c r="AL17" s="263"/>
      <c r="AM17" s="265"/>
      <c r="AN17" s="267"/>
      <c r="AO17" s="265"/>
      <c r="AP17" s="265"/>
      <c r="AQ17" s="265"/>
      <c r="AR17" s="26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8" customHeight="1">
      <c r="A18" s="254">
        <f t="shared" ref="A18" si="4">A16+1</f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/>
      <c r="AJ18" s="260">
        <f>((SUM(F18:AI18))/8)-(SUMIF($F$6:$AI$6,"C.Nhật",F18:AI18)/8)</f>
        <v>21</v>
      </c>
      <c r="AK18" s="260">
        <f>SUM(F19:AI19)/8*1.5</f>
        <v>0</v>
      </c>
      <c r="AL18" s="262">
        <f>SUMIF($F$6:$AI$6,"C.Nhật",$F18:$AI19)/8*2</f>
        <v>8</v>
      </c>
      <c r="AM18" s="264">
        <f t="shared" ref="AM18" si="5">SUM(AJ18:AL19)</f>
        <v>29</v>
      </c>
      <c r="AN18" s="266">
        <v>0</v>
      </c>
      <c r="AO18" s="264"/>
      <c r="AP18" s="264"/>
      <c r="AQ18" s="264"/>
      <c r="AR18" s="268"/>
      <c r="AS18" s="221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61"/>
      <c r="AK19" s="261"/>
      <c r="AL19" s="263"/>
      <c r="AM19" s="265"/>
      <c r="AN19" s="267"/>
      <c r="AO19" s="265"/>
      <c r="AP19" s="265"/>
      <c r="AQ19" s="265"/>
      <c r="AR19" s="26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4"/>
      <c r="AK20" s="4"/>
      <c r="AL20" s="98"/>
      <c r="AM20" s="74"/>
      <c r="AN20" s="74"/>
      <c r="AO20" s="74"/>
      <c r="AP20" s="74"/>
      <c r="AQ20" s="74"/>
      <c r="AR20" s="4"/>
      <c r="AS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4"/>
      <c r="AK21" s="4"/>
      <c r="AL21" s="98"/>
      <c r="AM21" s="74"/>
      <c r="AN21" s="74"/>
      <c r="AO21" s="74"/>
      <c r="AP21" s="74"/>
      <c r="AQ21" s="74"/>
      <c r="AR21" s="4"/>
      <c r="AS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4"/>
      <c r="AK22" s="4"/>
      <c r="AL22" s="98"/>
      <c r="AM22" s="76"/>
      <c r="AN22" s="76"/>
      <c r="AO22" s="76"/>
      <c r="AP22" s="76"/>
      <c r="AQ22" s="76"/>
      <c r="AR22" s="4"/>
      <c r="AS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4"/>
      <c r="AK23" s="4"/>
      <c r="AL23" s="98"/>
      <c r="AM23" s="76"/>
      <c r="AN23" s="76"/>
      <c r="AO23" s="76"/>
      <c r="AP23" s="76"/>
      <c r="AQ23" s="76"/>
      <c r="AR23" s="4"/>
      <c r="AS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4"/>
      <c r="AK24" s="4"/>
      <c r="AL24" s="98"/>
      <c r="AM24" s="76"/>
      <c r="AN24" s="76"/>
      <c r="AO24" s="76"/>
      <c r="AP24" s="76"/>
      <c r="AQ24" s="76"/>
      <c r="AR24" s="4"/>
      <c r="AS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4"/>
      <c r="AK25" s="4"/>
      <c r="AL25" s="98"/>
      <c r="AM25" s="76"/>
      <c r="AN25" s="76"/>
      <c r="AO25" s="76"/>
      <c r="AP25" s="76"/>
      <c r="AQ25" s="76"/>
      <c r="AR25" s="4"/>
      <c r="AS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77"/>
      <c r="AL26" s="99"/>
      <c r="AM26" s="10"/>
      <c r="AN26" s="10"/>
      <c r="AO26" s="10"/>
      <c r="AP26" s="10"/>
      <c r="AQ26" s="10"/>
      <c r="AR26" s="14"/>
      <c r="AS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2"/>
      <c r="AK27" s="2"/>
      <c r="AL27" s="100"/>
      <c r="AM27" s="2"/>
      <c r="AN27" s="2"/>
      <c r="AO27" s="2"/>
      <c r="AP27" s="2"/>
      <c r="AQ27" s="2"/>
      <c r="AR27" s="2"/>
      <c r="AS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2"/>
      <c r="AK28" s="2"/>
      <c r="AL28" s="100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2"/>
      <c r="AK31" s="2"/>
      <c r="AL31" s="10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2"/>
      <c r="AK32" s="2"/>
      <c r="AL32" s="10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2"/>
      <c r="AK33" s="2"/>
      <c r="AL33" s="10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2"/>
      <c r="AK34" s="2"/>
      <c r="AL34" s="10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O16:AO17"/>
    <mergeCell ref="AP16:AP17"/>
    <mergeCell ref="AQ16:AQ17"/>
    <mergeCell ref="AR16:AR17"/>
    <mergeCell ref="AR18:AR19"/>
    <mergeCell ref="AQ18:AQ19"/>
    <mergeCell ref="AL18:AL19"/>
    <mergeCell ref="AM18:AM19"/>
    <mergeCell ref="AN18:AN19"/>
    <mergeCell ref="AO18:AO19"/>
    <mergeCell ref="AP18:AP19"/>
    <mergeCell ref="AK18:AK19"/>
    <mergeCell ref="AR14:AR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AJ18:AJ19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B11:B12"/>
    <mergeCell ref="C11:C12"/>
    <mergeCell ref="D11:D12"/>
    <mergeCell ref="AJ11:AJ12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1:AO12"/>
    <mergeCell ref="AP11:AP12"/>
    <mergeCell ref="AQ11:AQ12"/>
    <mergeCell ref="A9:A10"/>
    <mergeCell ref="B9:B10"/>
    <mergeCell ref="C9:C10"/>
    <mergeCell ref="D9:D10"/>
    <mergeCell ref="AJ9:AJ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2">
    <cfRule type="expression" dxfId="53" priority="14" stopIfTrue="1">
      <formula>IF(WEEKDAY(F$5)=1,TRUE,FALSE)</formula>
    </cfRule>
  </conditionalFormatting>
  <conditionalFormatting sqref="F14:AI19">
    <cfRule type="expression" dxfId="5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0" t="str">
        <f>"BẢNG THANH TOÁN LƯƠNG THÁNG"&amp;" "&amp;TEXT($E$4,"mm")&amp;" / "&amp;TEXT($E$4,"yyyy")</f>
        <v>BẢNG THANH TOÁN LƯƠNG THÁNG 04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42461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22" t="s">
        <v>40</v>
      </c>
      <c r="G7" s="220" t="s">
        <v>18</v>
      </c>
      <c r="H7" s="222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-4'!$B$8:$AR$19,35,0)</f>
        <v>21</v>
      </c>
      <c r="G10" s="145">
        <f t="shared" ref="G10" si="3">ROUND(E10/$U$2*F10,0)</f>
        <v>2700000</v>
      </c>
      <c r="H10" s="92">
        <f>(VLOOKUP(B10,'CC -4'!$B$8:$AR$19,36,0)+VLOOKUP(B10,'CC -4'!$B$8:$AR$19,37,0))</f>
        <v>8</v>
      </c>
      <c r="I10" s="145">
        <f t="shared" ref="I10" si="4">ROUND(E10/$U$2*H10,0)</f>
        <v>1028571</v>
      </c>
      <c r="J10" s="93">
        <f t="shared" ref="J10:K11" si="5">F10+H10</f>
        <v>29</v>
      </c>
      <c r="K10" s="39">
        <f>G10+I10</f>
        <v>3728571</v>
      </c>
      <c r="L10" s="90">
        <f t="shared" ref="L10:L11" si="6">+F10*15000</f>
        <v>315000</v>
      </c>
      <c r="M10" s="40">
        <f t="shared" ref="M10:M11" si="7">K10+L10</f>
        <v>4043571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4043571</v>
      </c>
      <c r="R10" s="39">
        <f>VLOOKUP(B10,DS,23,0)</f>
        <v>0</v>
      </c>
      <c r="S10" s="45">
        <f t="shared" ref="S10:S11" si="9">Q10-R10</f>
        <v>4043571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-4'!$B$8:$AR$19,35,0)</f>
        <v>21</v>
      </c>
      <c r="G11" s="145">
        <f t="shared" ref="G11" si="10">ROUND(E11/$U$2*F11,0)</f>
        <v>2400000</v>
      </c>
      <c r="H11" s="92">
        <f>(VLOOKUP(B11,'CC -4'!$B$8:$AR$19,36,0)+VLOOKUP(B11,'CC -4'!$B$8:$AR$19,37,0))</f>
        <v>8</v>
      </c>
      <c r="I11" s="145">
        <f t="shared" ref="I11" si="11">ROUND(E11/$U$2*H11,0)</f>
        <v>914286</v>
      </c>
      <c r="J11" s="93">
        <f t="shared" si="5"/>
        <v>29</v>
      </c>
      <c r="K11" s="39">
        <f t="shared" si="5"/>
        <v>3314286</v>
      </c>
      <c r="L11" s="90">
        <f t="shared" si="6"/>
        <v>315000</v>
      </c>
      <c r="M11" s="40">
        <f t="shared" si="7"/>
        <v>3629286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3629286</v>
      </c>
      <c r="R11" s="39">
        <f>VLOOKUP(B11,DS,23,0)</f>
        <v>0</v>
      </c>
      <c r="S11" s="45">
        <f t="shared" si="9"/>
        <v>3629286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1942857</v>
      </c>
      <c r="J13" s="140"/>
      <c r="K13" s="140">
        <f t="shared" ref="K13:S13" si="12">SUM(K9:K11)</f>
        <v>7042857</v>
      </c>
      <c r="L13" s="140">
        <f t="shared" si="12"/>
        <v>630000</v>
      </c>
      <c r="M13" s="140">
        <f t="shared" si="12"/>
        <v>7672857</v>
      </c>
      <c r="N13" s="140">
        <f t="shared" si="12"/>
        <v>0</v>
      </c>
      <c r="O13" s="140">
        <f t="shared" si="12"/>
        <v>0</v>
      </c>
      <c r="P13" s="140">
        <f t="shared" si="12"/>
        <v>0</v>
      </c>
      <c r="Q13" s="140">
        <f t="shared" si="12"/>
        <v>7672857</v>
      </c>
      <c r="R13" s="140">
        <f t="shared" si="12"/>
        <v>0</v>
      </c>
      <c r="S13" s="140">
        <f t="shared" si="12"/>
        <v>7672857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3">VLOOKUP(B15,DS,2,0)</f>
        <v>Nguyễn Trường Giang</v>
      </c>
      <c r="D15" s="116" t="str">
        <f t="shared" ref="D15" si="14">VLOOKUP(B15,DS,3,0)</f>
        <v>Thợ in</v>
      </c>
      <c r="E15" s="90">
        <f t="shared" ref="E15" si="15">VLOOKUP(B15,DS,4,0)</f>
        <v>2200000</v>
      </c>
      <c r="F15" s="92">
        <f>VLOOKUP(B15,'CC -4'!$B$8:$AR$19,35,0)</f>
        <v>21</v>
      </c>
      <c r="G15" s="145">
        <f t="shared" ref="G15" si="16">ROUND(E15/$U$2*F15,0)</f>
        <v>2200000</v>
      </c>
      <c r="H15" s="92">
        <f>(VLOOKUP(B15,'CC -4'!$B$8:$AR$19,36,0)+VLOOKUP(B15,'CC -4'!$B$8:$AR$19,37,0))</f>
        <v>8</v>
      </c>
      <c r="I15" s="145">
        <f t="shared" ref="I15" si="17">ROUND(E15/$U$2*H15,0)</f>
        <v>838095</v>
      </c>
      <c r="J15" s="146">
        <f t="shared" ref="J15:K15" si="18">F15+H15</f>
        <v>29</v>
      </c>
      <c r="K15" s="39">
        <f t="shared" si="18"/>
        <v>3038095</v>
      </c>
      <c r="L15" s="90">
        <f t="shared" ref="L15" si="19">+F15*15000</f>
        <v>315000</v>
      </c>
      <c r="M15" s="40">
        <f t="shared" ref="M15" si="20">K15+L15</f>
        <v>3353095</v>
      </c>
      <c r="N15" s="40">
        <f>IF(VLOOKUP(B15,DS,9,0)="x",'L - 4'!E15*$N$4,0)</f>
        <v>0</v>
      </c>
      <c r="O15" s="40">
        <f t="shared" ref="O15" si="21">IF(VLOOKUP(B15,DS,9,0)="x",E15*0.015,0)</f>
        <v>0</v>
      </c>
      <c r="P15" s="40">
        <f t="shared" ref="P15" si="22">IF(VLOOKUP(B15,DS,9,0)="x",E15*0.01,0)</f>
        <v>0</v>
      </c>
      <c r="Q15" s="39">
        <f>M15-SUM(N15:P15)</f>
        <v>3353095</v>
      </c>
      <c r="R15" s="39">
        <f t="shared" ref="R15" si="23">VLOOKUP(B15,DS,23,0)</f>
        <v>0</v>
      </c>
      <c r="S15" s="45">
        <f>Q15-R15</f>
        <v>3353095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4">VLOOKUP(B16,DS,2,0)</f>
        <v>Đoàn Hồng Phong</v>
      </c>
      <c r="D16" s="116" t="str">
        <f t="shared" ref="D16:D17" si="25">VLOOKUP(B16,DS,3,0)</f>
        <v>Thợ đóng - xả</v>
      </c>
      <c r="E16" s="90">
        <f t="shared" ref="E16:E17" si="26">VLOOKUP(B16,DS,4,0)</f>
        <v>2200000</v>
      </c>
      <c r="F16" s="92">
        <f>VLOOKUP(B16,'CC -4'!$B$8:$AR$19,35,0)</f>
        <v>21</v>
      </c>
      <c r="G16" s="145">
        <f t="shared" ref="G16:G17" si="27">ROUND(E16/$U$2*F16,0)</f>
        <v>2200000</v>
      </c>
      <c r="H16" s="92">
        <f>(VLOOKUP(B16,'CC -4'!$B$8:$AR$19,36,0)+VLOOKUP(B16,'CC -4'!$B$8:$AR$19,37,0))</f>
        <v>8</v>
      </c>
      <c r="I16" s="145">
        <f t="shared" ref="I16:I17" si="28">ROUND(E16/$U$2*H16,0)</f>
        <v>838095</v>
      </c>
      <c r="J16" s="146">
        <f t="shared" ref="J16:J17" si="29">F16+H16</f>
        <v>29</v>
      </c>
      <c r="K16" s="39">
        <f t="shared" ref="K16:K17" si="30">G16+I16</f>
        <v>3038095</v>
      </c>
      <c r="L16" s="90">
        <f t="shared" ref="L16:L17" si="31">+F16*15000</f>
        <v>315000</v>
      </c>
      <c r="M16" s="40">
        <f t="shared" ref="M16:M17" si="32">K16+L16</f>
        <v>3353095</v>
      </c>
      <c r="N16" s="40">
        <f>IF(VLOOKUP(B16,DS,9,0)="x",'L - 4'!E16*$N$4,0)</f>
        <v>0</v>
      </c>
      <c r="O16" s="40">
        <f t="shared" ref="O16:O17" si="33">IF(VLOOKUP(B16,DS,9,0)="x",E16*0.015,0)</f>
        <v>0</v>
      </c>
      <c r="P16" s="40">
        <f t="shared" ref="P16:P17" si="34">IF(VLOOKUP(B16,DS,9,0)="x",E16*0.01,0)</f>
        <v>0</v>
      </c>
      <c r="Q16" s="39">
        <f t="shared" ref="Q16:Q17" si="35">M16-SUM(N16:P16)</f>
        <v>3353095</v>
      </c>
      <c r="R16" s="39">
        <f t="shared" ref="R16:R17" si="36">VLOOKUP(B16,DS,23,0)</f>
        <v>0</v>
      </c>
      <c r="S16" s="45">
        <f t="shared" ref="S16:S17" si="37">Q16-R16</f>
        <v>3353095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4"/>
        <v>Trần Hữu Tình</v>
      </c>
      <c r="D17" s="116" t="str">
        <f t="shared" si="25"/>
        <v>Công nhân</v>
      </c>
      <c r="E17" s="90">
        <f t="shared" si="26"/>
        <v>2000000</v>
      </c>
      <c r="F17" s="92">
        <f>VLOOKUP(B17,'CC -4'!$B$8:$AR$19,35,0)</f>
        <v>21</v>
      </c>
      <c r="G17" s="145">
        <f t="shared" si="27"/>
        <v>2000000</v>
      </c>
      <c r="H17" s="92">
        <f>(VLOOKUP(B17,'CC -4'!$B$8:$AR$19,36,0)+VLOOKUP(B17,'CC -4'!$B$8:$AR$19,37,0))</f>
        <v>8</v>
      </c>
      <c r="I17" s="145">
        <f t="shared" si="28"/>
        <v>761905</v>
      </c>
      <c r="J17" s="146">
        <f t="shared" si="29"/>
        <v>29</v>
      </c>
      <c r="K17" s="39">
        <f t="shared" si="30"/>
        <v>2761905</v>
      </c>
      <c r="L17" s="90">
        <f t="shared" si="31"/>
        <v>315000</v>
      </c>
      <c r="M17" s="40">
        <f t="shared" si="32"/>
        <v>3076905</v>
      </c>
      <c r="N17" s="40">
        <f>IF(VLOOKUP(B17,DS,9,0)="x",'L - 4'!E17*$N$4,0)</f>
        <v>0</v>
      </c>
      <c r="O17" s="40">
        <f t="shared" si="33"/>
        <v>0</v>
      </c>
      <c r="P17" s="40">
        <f t="shared" si="34"/>
        <v>0</v>
      </c>
      <c r="Q17" s="39">
        <f t="shared" si="35"/>
        <v>3076905</v>
      </c>
      <c r="R17" s="39">
        <f t="shared" si="36"/>
        <v>0</v>
      </c>
      <c r="S17" s="45">
        <f t="shared" si="37"/>
        <v>3076905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2438095</v>
      </c>
      <c r="J19" s="140"/>
      <c r="K19" s="140">
        <f t="shared" ref="K19:S19" si="38">SUM(K14:K18)</f>
        <v>8838095</v>
      </c>
      <c r="L19" s="140">
        <f t="shared" si="38"/>
        <v>945000</v>
      </c>
      <c r="M19" s="140">
        <f t="shared" si="38"/>
        <v>9783095</v>
      </c>
      <c r="N19" s="140">
        <f t="shared" si="38"/>
        <v>0</v>
      </c>
      <c r="O19" s="140">
        <f t="shared" si="38"/>
        <v>0</v>
      </c>
      <c r="P19" s="140">
        <f t="shared" si="38"/>
        <v>0</v>
      </c>
      <c r="Q19" s="140">
        <f t="shared" si="38"/>
        <v>9783095</v>
      </c>
      <c r="R19" s="140">
        <f t="shared" si="38"/>
        <v>0</v>
      </c>
      <c r="S19" s="140">
        <f t="shared" si="38"/>
        <v>9783095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04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42491</v>
      </c>
      <c r="G5" s="118">
        <f t="shared" ref="G5:AJ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 t="shared" si="0"/>
        <v>42520</v>
      </c>
      <c r="AJ5" s="118">
        <f t="shared" si="0"/>
        <v>42521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60">
        <f>((SUM(F9:AJ9))/8)-(SUMIF($F$6:$AJ$6,"C.Nhật",F9:AJ9)/8)</f>
        <v>21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29</v>
      </c>
      <c r="AO9" s="266">
        <v>0</v>
      </c>
      <c r="AP9" s="264"/>
      <c r="AQ9" s="264"/>
      <c r="AR9" s="264"/>
      <c r="AS9" s="268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60">
        <f t="shared" ref="AK11" si="2">((SUM(F11:AJ11))/8)-(SUMIF($F$6:$AJ$6,"C.Nhật",F11:AJ11)/8)</f>
        <v>21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29</v>
      </c>
      <c r="AO11" s="266">
        <v>0</v>
      </c>
      <c r="AP11" s="264"/>
      <c r="AQ11" s="264"/>
      <c r="AR11" s="264"/>
      <c r="AS11" s="268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60">
        <f t="shared" ref="AK14" si="6">((SUM(F14:AJ14))/8)-(SUMIF($F$6:$AJ$6,"C.Nhật",F14:AJ14)/8)</f>
        <v>21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29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60">
        <f t="shared" ref="AK16" si="8">((SUM(F16:AJ16))/8)-(SUMIF($F$6:$AJ$6,"C.Nhật",F16:AJ16)/8)</f>
        <v>21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29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60">
        <f t="shared" ref="AK18" si="11">((SUM(F18:AJ18))/8)-(SUMIF($F$6:$AJ$6,"C.Nhật",F18:AJ18)/8)</f>
        <v>21</v>
      </c>
      <c r="AL18" s="260">
        <f t="shared" ref="AL18" si="12">SUM(F19:AJ19)/8*1.5</f>
        <v>0</v>
      </c>
      <c r="AM18" s="262">
        <f>SUMIF($F$6:$AJ$6,"C.Nhật",$F18:$AJ19)/8*2</f>
        <v>8</v>
      </c>
      <c r="AN18" s="264">
        <f t="shared" ref="AN18" si="13">SUM(AK18:AM19)</f>
        <v>29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S18:AS19"/>
    <mergeCell ref="AL18:AL19"/>
    <mergeCell ref="AM18:AM19"/>
    <mergeCell ref="AN18:AN19"/>
    <mergeCell ref="AO18:AO19"/>
    <mergeCell ref="AP18:AP19"/>
    <mergeCell ref="A14:A15"/>
    <mergeCell ref="B14:B15"/>
    <mergeCell ref="C14:C15"/>
    <mergeCell ref="AQ18:AQ19"/>
    <mergeCell ref="AR18:AR19"/>
    <mergeCell ref="A18:A19"/>
    <mergeCell ref="B18:B19"/>
    <mergeCell ref="C18:C19"/>
    <mergeCell ref="D18:D19"/>
    <mergeCell ref="AK18:AK19"/>
    <mergeCell ref="AQ16:AQ17"/>
    <mergeCell ref="AR16:AR17"/>
    <mergeCell ref="A16:A17"/>
    <mergeCell ref="B16:B17"/>
    <mergeCell ref="C16:C17"/>
    <mergeCell ref="D16:D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K16:AK17"/>
    <mergeCell ref="D14:D15"/>
    <mergeCell ref="AK14:AK15"/>
    <mergeCell ref="AQ14:AQ15"/>
    <mergeCell ref="AR14:AR15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2">
    <cfRule type="expression" dxfId="51" priority="39" stopIfTrue="1">
      <formula>IF(WEEKDAY(F$5)=1,TRUE,FALSE)</formula>
    </cfRule>
  </conditionalFormatting>
  <conditionalFormatting sqref="F9:AJ12">
    <cfRule type="expression" dxfId="50" priority="36" stopIfTrue="1">
      <formula>IF(WEEKDAY(F$5)=1,TRUE,FALSE)</formula>
    </cfRule>
  </conditionalFormatting>
  <conditionalFormatting sqref="F14:AJ19">
    <cfRule type="expression" dxfId="49" priority="2" stopIfTrue="1">
      <formula>IF(WEEKDAY(F$5)=1,TRUE,FALSE)</formula>
    </cfRule>
  </conditionalFormatting>
  <conditionalFormatting sqref="F14:AJ19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0" t="str">
        <f>"BẢNG THANH TOÁN LƯƠNG THÁNG"&amp;" "&amp;TEXT($E$4,"mm")&amp;" / "&amp;TEXT($E$4,"yyyy")</f>
        <v>BẢNG THANH TOÁN LƯƠNG THÁNG 05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42491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34" t="s">
        <v>40</v>
      </c>
      <c r="G7" s="35" t="s">
        <v>18</v>
      </c>
      <c r="H7" s="170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-5'!$B$8:$AS$19,36,0)</f>
        <v>21</v>
      </c>
      <c r="G10" s="145">
        <f t="shared" ref="G10" si="3">ROUND(E10/$U$2*F10,0)</f>
        <v>2700000</v>
      </c>
      <c r="H10" s="92">
        <f>(VLOOKUP(B10,'CC -5'!$B$8:$AS$19,37,0)+VLOOKUP(B10,'CC -5'!$B$8:$AS$19,38,0))</f>
        <v>8</v>
      </c>
      <c r="I10" s="145">
        <f t="shared" ref="I10" si="4">ROUND(E10/$U$2*H10,0)</f>
        <v>1028571</v>
      </c>
      <c r="J10" s="93">
        <f t="shared" ref="J10" si="5">F10+H10</f>
        <v>29</v>
      </c>
      <c r="K10" s="39">
        <f>G10+I10</f>
        <v>3728571</v>
      </c>
      <c r="L10" s="90">
        <f t="shared" ref="L10" si="6">+F10*15000</f>
        <v>315000</v>
      </c>
      <c r="M10" s="40">
        <f t="shared" ref="M10" si="7">K10+L10</f>
        <v>4043571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4043571</v>
      </c>
      <c r="R10" s="39">
        <f>VLOOKUP(B10,DS,23,0)</f>
        <v>0</v>
      </c>
      <c r="S10" s="45">
        <f t="shared" ref="S10" si="9">Q10-R10</f>
        <v>4043571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-5'!$B$8:$AS$19,36,0)</f>
        <v>21</v>
      </c>
      <c r="G11" s="145">
        <f t="shared" ref="G11" si="13">ROUND(E11/$U$2*F11,0)</f>
        <v>2400000</v>
      </c>
      <c r="H11" s="92">
        <f>(VLOOKUP(B11,'CC -5'!$B$8:$AS$19,37,0)+VLOOKUP(B11,'CC -5'!$B$8:$AS$19,38,0))</f>
        <v>8</v>
      </c>
      <c r="I11" s="145">
        <f t="shared" ref="I11" si="14">ROUND(E11/$U$2*H11,0)</f>
        <v>914286</v>
      </c>
      <c r="J11" s="93">
        <f t="shared" ref="J11" si="15">F11+H11</f>
        <v>29</v>
      </c>
      <c r="K11" s="39">
        <f t="shared" ref="K11" si="16">G11+I11</f>
        <v>3314286</v>
      </c>
      <c r="L11" s="90">
        <f t="shared" ref="L11" si="17">+F11*15000</f>
        <v>315000</v>
      </c>
      <c r="M11" s="40">
        <f t="shared" ref="M11" si="18">K11+L11</f>
        <v>3629286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3629286</v>
      </c>
      <c r="R11" s="39">
        <f>VLOOKUP(B11,DS,23,0)</f>
        <v>0</v>
      </c>
      <c r="S11" s="45">
        <f t="shared" ref="S11" si="20">Q11-R11</f>
        <v>3629286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1942857</v>
      </c>
      <c r="J13" s="140"/>
      <c r="K13" s="140">
        <f t="shared" ref="K13:S13" si="21">SUM(K9:K11)</f>
        <v>7042857</v>
      </c>
      <c r="L13" s="140">
        <f t="shared" si="21"/>
        <v>630000</v>
      </c>
      <c r="M13" s="140">
        <f t="shared" si="21"/>
        <v>7672857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7672857</v>
      </c>
      <c r="R13" s="140">
        <f t="shared" si="21"/>
        <v>0</v>
      </c>
      <c r="S13" s="140">
        <f t="shared" si="21"/>
        <v>7672857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-5'!$B$8:$AS$19,36,0)</f>
        <v>21</v>
      </c>
      <c r="G15" s="145">
        <f t="shared" ref="G15" si="25">ROUND(E15/$U$2*F15,0)</f>
        <v>2200000</v>
      </c>
      <c r="H15" s="92">
        <f>(VLOOKUP(B15,'CC -5'!$B$8:$AS$19,37,0)+VLOOKUP(B15,'CC -5'!$B$8:$AS$19,38,0))</f>
        <v>8</v>
      </c>
      <c r="I15" s="145">
        <f t="shared" ref="I15" si="26">ROUND(E15/$U$2*H15,0)</f>
        <v>838095</v>
      </c>
      <c r="J15" s="146">
        <f t="shared" ref="J15" si="27">F15+H15</f>
        <v>29</v>
      </c>
      <c r="K15" s="39">
        <f t="shared" ref="K15" si="28">G15+I15</f>
        <v>3038095</v>
      </c>
      <c r="L15" s="90">
        <f t="shared" ref="L15" si="29">+F15*15000</f>
        <v>315000</v>
      </c>
      <c r="M15" s="40">
        <f t="shared" ref="M15" si="30">K15+L15</f>
        <v>3353095</v>
      </c>
      <c r="N15" s="40">
        <f>IF(VLOOKUP(B15,DS,9,0)="x",'L - 5'!E15*$N$4,0)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>M15-SUM(N15:P15)</f>
        <v>3353095</v>
      </c>
      <c r="R15" s="39">
        <f t="shared" ref="R15" si="33">VLOOKUP(B15,DS,23,0)</f>
        <v>0</v>
      </c>
      <c r="S15" s="45">
        <f>Q15-R15</f>
        <v>3353095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4">VLOOKUP(B16,DS,2,0)</f>
        <v>Đoàn Hồng Phong</v>
      </c>
      <c r="D16" s="116" t="str">
        <f t="shared" ref="D16:D17" si="35">VLOOKUP(B16,DS,3,0)</f>
        <v>Thợ đóng - xả</v>
      </c>
      <c r="E16" s="90">
        <f t="shared" ref="E16:E17" si="36">VLOOKUP(B16,DS,4,0)</f>
        <v>2200000</v>
      </c>
      <c r="F16" s="92">
        <f>VLOOKUP(B16,'CC -5'!$B$8:$AS$19,36,0)</f>
        <v>21</v>
      </c>
      <c r="G16" s="145">
        <f t="shared" ref="G16:G17" si="37">ROUND(E16/$U$2*F16,0)</f>
        <v>2200000</v>
      </c>
      <c r="H16" s="92">
        <f>(VLOOKUP(B16,'CC -5'!$B$8:$AS$19,37,0)+VLOOKUP(B16,'CC -5'!$B$8:$AS$19,38,0))</f>
        <v>8</v>
      </c>
      <c r="I16" s="145">
        <f t="shared" ref="I16:I17" si="38">ROUND(E16/$U$2*H16,0)</f>
        <v>838095</v>
      </c>
      <c r="J16" s="146">
        <f t="shared" ref="J16:J17" si="39">F16+H16</f>
        <v>29</v>
      </c>
      <c r="K16" s="39">
        <f t="shared" ref="K16:K17" si="40">G16+I16</f>
        <v>3038095</v>
      </c>
      <c r="L16" s="90">
        <f t="shared" ref="L16:L17" si="41">+F16*15000</f>
        <v>315000</v>
      </c>
      <c r="M16" s="40">
        <f t="shared" ref="M16:M17" si="42">K16+L16</f>
        <v>3353095</v>
      </c>
      <c r="N16" s="40">
        <f>IF(VLOOKUP(B16,DS,9,0)="x",'L - 5'!E16*$N$4,0)</f>
        <v>0</v>
      </c>
      <c r="O16" s="40">
        <f t="shared" ref="O16:O17" si="43">IF(VLOOKUP(B16,DS,9,0)="x",E16*0.015,0)</f>
        <v>0</v>
      </c>
      <c r="P16" s="40">
        <f t="shared" ref="P16:P17" si="44">IF(VLOOKUP(B16,DS,9,0)="x",E16*0.01,0)</f>
        <v>0</v>
      </c>
      <c r="Q16" s="39">
        <f t="shared" ref="Q16:Q17" si="45">M16-SUM(N16:P16)</f>
        <v>3353095</v>
      </c>
      <c r="R16" s="39">
        <f t="shared" ref="R16:R17" si="46">VLOOKUP(B16,DS,23,0)</f>
        <v>0</v>
      </c>
      <c r="S16" s="45">
        <f t="shared" ref="S16:S17" si="47">Q16-R16</f>
        <v>3353095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4"/>
        <v>Trần Hữu Tình</v>
      </c>
      <c r="D17" s="116" t="str">
        <f t="shared" si="35"/>
        <v>Công nhân</v>
      </c>
      <c r="E17" s="90">
        <f t="shared" si="36"/>
        <v>2000000</v>
      </c>
      <c r="F17" s="92">
        <f>VLOOKUP(B17,'CC -5'!$B$8:$AS$19,36,0)</f>
        <v>21</v>
      </c>
      <c r="G17" s="145">
        <f t="shared" si="37"/>
        <v>2000000</v>
      </c>
      <c r="H17" s="92">
        <f>(VLOOKUP(B17,'CC -5'!$B$8:$AS$19,37,0)+VLOOKUP(B17,'CC -5'!$B$8:$AS$19,38,0))</f>
        <v>8</v>
      </c>
      <c r="I17" s="145">
        <f t="shared" si="38"/>
        <v>761905</v>
      </c>
      <c r="J17" s="146">
        <f t="shared" si="39"/>
        <v>29</v>
      </c>
      <c r="K17" s="39">
        <f t="shared" si="40"/>
        <v>2761905</v>
      </c>
      <c r="L17" s="90">
        <f t="shared" si="41"/>
        <v>315000</v>
      </c>
      <c r="M17" s="40">
        <f t="shared" si="42"/>
        <v>3076905</v>
      </c>
      <c r="N17" s="40">
        <f>IF(VLOOKUP(B17,DS,9,0)="x",'L - 5'!E17*$N$4,0)</f>
        <v>0</v>
      </c>
      <c r="O17" s="40">
        <f t="shared" si="43"/>
        <v>0</v>
      </c>
      <c r="P17" s="40">
        <f t="shared" si="44"/>
        <v>0</v>
      </c>
      <c r="Q17" s="39">
        <f t="shared" si="45"/>
        <v>3076905</v>
      </c>
      <c r="R17" s="39">
        <f t="shared" si="46"/>
        <v>0</v>
      </c>
      <c r="S17" s="45">
        <f t="shared" si="47"/>
        <v>3076905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2438095</v>
      </c>
      <c r="J19" s="140"/>
      <c r="K19" s="140">
        <f t="shared" ref="K19:S19" si="48">SUM(K14:K18)</f>
        <v>8838095</v>
      </c>
      <c r="L19" s="140">
        <f t="shared" si="48"/>
        <v>945000</v>
      </c>
      <c r="M19" s="140">
        <f t="shared" si="48"/>
        <v>9783095</v>
      </c>
      <c r="N19" s="140">
        <f t="shared" si="48"/>
        <v>0</v>
      </c>
      <c r="O19" s="140">
        <f t="shared" si="48"/>
        <v>0</v>
      </c>
      <c r="P19" s="140">
        <f t="shared" si="48"/>
        <v>0</v>
      </c>
      <c r="Q19" s="140">
        <f t="shared" si="48"/>
        <v>9783095</v>
      </c>
      <c r="R19" s="140">
        <f t="shared" si="48"/>
        <v>0</v>
      </c>
      <c r="S19" s="140">
        <f t="shared" si="48"/>
        <v>9783095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05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3:D13"/>
    <mergeCell ref="A19:D19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42522</v>
      </c>
      <c r="G5" s="118">
        <f t="shared" ref="G5:AJ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 t="shared" si="0"/>
        <v>42551</v>
      </c>
      <c r="AJ5" s="118">
        <f t="shared" si="0"/>
        <v>42552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/>
      <c r="AK9" s="260">
        <f>((SUM(F9:AJ9))/8)-(SUMIF($F$6:$AJ$6,"C.Nhật",F9:AJ9)/8)</f>
        <v>22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30</v>
      </c>
      <c r="AO9" s="266">
        <v>0</v>
      </c>
      <c r="AP9" s="264"/>
      <c r="AQ9" s="264"/>
      <c r="AR9" s="264"/>
      <c r="AS9" s="268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/>
      <c r="AK11" s="260">
        <f t="shared" ref="AK11" si="2">((SUM(F11:AJ11))/8)-(SUMIF($F$6:$AJ$6,"C.Nhật",F11:AJ11)/8)</f>
        <v>22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30</v>
      </c>
      <c r="AO11" s="266">
        <v>0</v>
      </c>
      <c r="AP11" s="264"/>
      <c r="AQ11" s="264"/>
      <c r="AR11" s="264"/>
      <c r="AS11" s="268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/>
      <c r="AK14" s="260">
        <f t="shared" ref="AK14" si="6">((SUM(F14:AJ14))/8)-(SUMIF($F$6:$AJ$6,"C.Nhật",F14:AJ14)/8)</f>
        <v>22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30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/>
      <c r="AK16" s="260">
        <f t="shared" ref="AK16" si="8">((SUM(F16:AJ16))/8)-(SUMIF($F$6:$AJ$6,"C.Nhật",F16:AJ16)/8)</f>
        <v>22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30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/>
      <c r="AK18" s="260">
        <f t="shared" ref="AK18" si="11">((SUM(F18:AJ18))/8)-(SUMIF($F$6:$AJ$6,"C.Nhật",F18:AJ18)/8)</f>
        <v>22</v>
      </c>
      <c r="AL18" s="260">
        <f t="shared" ref="AL18" si="12">SUM(F19:AJ19)/8*1.5</f>
        <v>0</v>
      </c>
      <c r="AM18" s="262">
        <f>SUMIF($F$6:$AJ$6,"C.Nhật",$F18:$AJ19)/8*2</f>
        <v>8</v>
      </c>
      <c r="AN18" s="264">
        <f t="shared" ref="AN18" si="13">SUM(AK18:AM19)</f>
        <v>30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1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1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Q14:AQ15"/>
    <mergeCell ref="AR14:AR15"/>
    <mergeCell ref="AM11:AM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C11:C12"/>
    <mergeCell ref="D11:D12"/>
    <mergeCell ref="AK11:AK12"/>
    <mergeCell ref="AL11:AL12"/>
    <mergeCell ref="D14:D15"/>
    <mergeCell ref="AK14:AK15"/>
    <mergeCell ref="AS14:AS15"/>
    <mergeCell ref="A14:A15"/>
    <mergeCell ref="B14:B15"/>
    <mergeCell ref="C14:C15"/>
    <mergeCell ref="AS11:AS12"/>
    <mergeCell ref="A11:A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B11:B12"/>
    <mergeCell ref="AN11:AN12"/>
    <mergeCell ref="AO11:AO12"/>
  </mergeCells>
  <conditionalFormatting sqref="F5:AJ6 F9:AJ10 F11:AI12">
    <cfRule type="expression" dxfId="47" priority="31" stopIfTrue="1">
      <formula>IF(WEEKDAY(F$5)=1,TRUE,FALSE)</formula>
    </cfRule>
  </conditionalFormatting>
  <conditionalFormatting sqref="F9:AJ10 F11:AI12">
    <cfRule type="expression" dxfId="46" priority="30" stopIfTrue="1">
      <formula>IF(WEEKDAY(F$5)=1,TRUE,FALSE)</formula>
    </cfRule>
  </conditionalFormatting>
  <conditionalFormatting sqref="AJ11:AJ12">
    <cfRule type="expression" dxfId="45" priority="21" stopIfTrue="1">
      <formula>IF(WEEKDAY(AJ$5)=1,TRUE,FALSE)</formula>
    </cfRule>
  </conditionalFormatting>
  <conditionalFormatting sqref="AJ11:AJ12">
    <cfRule type="expression" dxfId="44" priority="20" stopIfTrue="1">
      <formula>IF(WEEKDAY(AJ$5)=1,TRUE,FALSE)</formula>
    </cfRule>
  </conditionalFormatting>
  <conditionalFormatting sqref="AJ14:AJ19">
    <cfRule type="expression" dxfId="43" priority="19" stopIfTrue="1">
      <formula>IF(WEEKDAY(AJ$5)=1,TRUE,FALSE)</formula>
    </cfRule>
  </conditionalFormatting>
  <conditionalFormatting sqref="AJ14:AJ19">
    <cfRule type="expression" dxfId="42" priority="18" stopIfTrue="1">
      <formula>IF(WEEKDAY(AJ$5)=1,TRUE,FALSE)</formula>
    </cfRule>
  </conditionalFormatting>
  <conditionalFormatting sqref="AJ14:AJ19">
    <cfRule type="expression" dxfId="41" priority="17" stopIfTrue="1">
      <formula>IF(WEEKDAY(AJ$5)=1,TRUE,FALSE)</formula>
    </cfRule>
  </conditionalFormatting>
  <conditionalFormatting sqref="AJ14:AJ19">
    <cfRule type="expression" dxfId="40" priority="15" stopIfTrue="1">
      <formula>IF(WEEKDAY(AJ$5)=1,TRUE,FALSE)</formula>
    </cfRule>
  </conditionalFormatting>
  <conditionalFormatting sqref="AJ14:AJ19">
    <cfRule type="expression" dxfId="39" priority="13" stopIfTrue="1">
      <formula>IF(WEEKDAY(AJ$5)=1,TRUE,FALSE)</formula>
    </cfRule>
  </conditionalFormatting>
  <conditionalFormatting sqref="AJ14:AJ19">
    <cfRule type="expression" dxfId="38" priority="12" stopIfTrue="1">
      <formula>IF(WEEKDAY(AJ$5)=1,TRUE,FALSE)</formula>
    </cfRule>
  </conditionalFormatting>
  <conditionalFormatting sqref="AJ14:AJ19">
    <cfRule type="expression" dxfId="37" priority="11" stopIfTrue="1">
      <formula>IF(WEEKDAY(AJ$5)=1,TRUE,FALSE)</formula>
    </cfRule>
  </conditionalFormatting>
  <conditionalFormatting sqref="F14:AI19">
    <cfRule type="expression" dxfId="36" priority="2" stopIfTrue="1">
      <formula>IF(WEEKDAY(F$5)=1,TRUE,FALSE)</formula>
    </cfRule>
  </conditionalFormatting>
  <conditionalFormatting sqref="F14:AI19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0" t="str">
        <f>"BẢNG THANH TOÁN LƯƠNG THÁNG"&amp;" "&amp;TEXT($E$4,"mm")&amp;" / "&amp;TEXT($E$4,"yyyy")</f>
        <v>BẢNG THANH TOÁN LƯƠNG THÁNG 06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MAX(F10:F19)</f>
        <v>22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42522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195" t="s">
        <v>40</v>
      </c>
      <c r="G7" s="192" t="s">
        <v>18</v>
      </c>
      <c r="H7" s="195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-6'!$B$8:$AS$19,36,0)</f>
        <v>22</v>
      </c>
      <c r="G10" s="145">
        <f t="shared" ref="G10" si="3">ROUND(E10/$U$2*F10,0)</f>
        <v>2700000</v>
      </c>
      <c r="H10" s="92">
        <f>(VLOOKUP(B10,'CC -6'!$B$8:$AS$19,37,0)+VLOOKUP(B10,'CC -6'!$B$8:$AS$19,38,0))</f>
        <v>8</v>
      </c>
      <c r="I10" s="145">
        <f t="shared" ref="I10" si="4">ROUND(E10/$U$2*H10,0)</f>
        <v>981818</v>
      </c>
      <c r="J10" s="93">
        <f t="shared" ref="J10" si="5">F10+H10</f>
        <v>30</v>
      </c>
      <c r="K10" s="39">
        <f>G10+I10</f>
        <v>3681818</v>
      </c>
      <c r="L10" s="90">
        <f t="shared" ref="L10" si="6">+F10*15000</f>
        <v>330000</v>
      </c>
      <c r="M10" s="40">
        <f t="shared" ref="M10" si="7">K10+L10</f>
        <v>4011818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4011818</v>
      </c>
      <c r="R10" s="39">
        <f>VLOOKUP(B10,DS,23,0)</f>
        <v>0</v>
      </c>
      <c r="S10" s="45">
        <f t="shared" ref="S10" si="9">Q10-R10</f>
        <v>4011818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-6'!$B$8:$AS$19,36,0)</f>
        <v>22</v>
      </c>
      <c r="G11" s="145">
        <f t="shared" ref="G11" si="13">ROUND(E11/$U$2*F11,0)</f>
        <v>2400000</v>
      </c>
      <c r="H11" s="92">
        <f>(VLOOKUP(B11,'CC -6'!$B$8:$AS$19,37,0)+VLOOKUP(B11,'CC -6'!$B$8:$AS$19,38,0))</f>
        <v>8</v>
      </c>
      <c r="I11" s="145">
        <f t="shared" ref="I11" si="14">ROUND(E11/$U$2*H11,0)</f>
        <v>872727</v>
      </c>
      <c r="J11" s="93">
        <f t="shared" ref="J11" si="15">F11+H11</f>
        <v>30</v>
      </c>
      <c r="K11" s="39">
        <f t="shared" ref="K11" si="16">G11+I11</f>
        <v>3272727</v>
      </c>
      <c r="L11" s="90">
        <f t="shared" ref="L11" si="17">+F11*15000</f>
        <v>330000</v>
      </c>
      <c r="M11" s="40">
        <f t="shared" ref="M11" si="18">K11+L11</f>
        <v>3602727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3602727</v>
      </c>
      <c r="R11" s="39">
        <f>VLOOKUP(B11,DS,23,0)</f>
        <v>0</v>
      </c>
      <c r="S11" s="45">
        <f t="shared" ref="S11" si="20">Q11-R11</f>
        <v>3602727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1854545</v>
      </c>
      <c r="J13" s="140"/>
      <c r="K13" s="140">
        <f t="shared" ref="K13:S13" si="21">SUM(K9:K11)</f>
        <v>6954545</v>
      </c>
      <c r="L13" s="140">
        <f t="shared" si="21"/>
        <v>660000</v>
      </c>
      <c r="M13" s="140">
        <f t="shared" si="21"/>
        <v>7614545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7614545</v>
      </c>
      <c r="R13" s="140">
        <f t="shared" si="21"/>
        <v>0</v>
      </c>
      <c r="S13" s="140">
        <f t="shared" si="21"/>
        <v>7614545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-6'!$B$8:$AS$19,36,0)</f>
        <v>22</v>
      </c>
      <c r="G15" s="145">
        <f t="shared" ref="G15" si="25">ROUND(E15/$U$2*F15,0)</f>
        <v>2200000</v>
      </c>
      <c r="H15" s="92">
        <f>(VLOOKUP(B15,'CC -6'!$B$8:$AS$19,37,0)+VLOOKUP(B15,'CC -6'!$B$8:$AS$19,38,0))</f>
        <v>8</v>
      </c>
      <c r="I15" s="145">
        <f t="shared" ref="I15" si="26">ROUND(E15/$U$2*H15,0)</f>
        <v>800000</v>
      </c>
      <c r="J15" s="146">
        <f t="shared" ref="J15:K15" si="27">F15+H15</f>
        <v>30</v>
      </c>
      <c r="K15" s="39">
        <f t="shared" si="27"/>
        <v>3000000</v>
      </c>
      <c r="L15" s="90">
        <f t="shared" ref="L15" si="28">+F15*15000</f>
        <v>330000</v>
      </c>
      <c r="M15" s="40">
        <f t="shared" ref="M15" si="29">K15+L15</f>
        <v>3330000</v>
      </c>
      <c r="N15" s="40">
        <f>IF(VLOOKUP(B15,DS,9,0)="x",'L - 6'!E15*$N$4,0)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3330000</v>
      </c>
      <c r="R15" s="39">
        <f t="shared" ref="R15" si="32">VLOOKUP(B15,DS,23,0)</f>
        <v>0</v>
      </c>
      <c r="S15" s="45">
        <f>Q15-R15</f>
        <v>3330000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3">VLOOKUP(B16,DS,2,0)</f>
        <v>Đoàn Hồng Phong</v>
      </c>
      <c r="D16" s="116" t="str">
        <f t="shared" ref="D16:D17" si="34">VLOOKUP(B16,DS,3,0)</f>
        <v>Thợ đóng - xả</v>
      </c>
      <c r="E16" s="90">
        <f t="shared" ref="E16:E17" si="35">VLOOKUP(B16,DS,4,0)</f>
        <v>2200000</v>
      </c>
      <c r="F16" s="92">
        <f>VLOOKUP(B16,'CC -6'!$B$8:$AS$19,36,0)</f>
        <v>22</v>
      </c>
      <c r="G16" s="145">
        <f t="shared" ref="G16:G17" si="36">ROUND(E16/$U$2*F16,0)</f>
        <v>2200000</v>
      </c>
      <c r="H16" s="92">
        <f>(VLOOKUP(B16,'CC -6'!$B$8:$AS$19,37,0)+VLOOKUP(B16,'CC -6'!$B$8:$AS$19,38,0))</f>
        <v>8</v>
      </c>
      <c r="I16" s="145">
        <f t="shared" ref="I16:I17" si="37">ROUND(E16/$U$2*H16,0)</f>
        <v>800000</v>
      </c>
      <c r="J16" s="146">
        <f t="shared" ref="J16:J17" si="38">F16+H16</f>
        <v>30</v>
      </c>
      <c r="K16" s="39">
        <f t="shared" ref="K16:K17" si="39">G16+I16</f>
        <v>3000000</v>
      </c>
      <c r="L16" s="90">
        <f t="shared" ref="L16:L17" si="40">+F16*15000</f>
        <v>330000</v>
      </c>
      <c r="M16" s="40">
        <f t="shared" ref="M16:M17" si="41">K16+L16</f>
        <v>3330000</v>
      </c>
      <c r="N16" s="40">
        <f>IF(VLOOKUP(B16,DS,9,0)="x",'L - 6'!E16*$N$4,0)</f>
        <v>0</v>
      </c>
      <c r="O16" s="40">
        <f t="shared" ref="O16:O17" si="42">IF(VLOOKUP(B16,DS,9,0)="x",E16*0.015,0)</f>
        <v>0</v>
      </c>
      <c r="P16" s="40">
        <f t="shared" ref="P16:P17" si="43">IF(VLOOKUP(B16,DS,9,0)="x",E16*0.01,0)</f>
        <v>0</v>
      </c>
      <c r="Q16" s="39">
        <f t="shared" ref="Q16:Q17" si="44">M16-SUM(N16:P16)</f>
        <v>3330000</v>
      </c>
      <c r="R16" s="39">
        <f t="shared" ref="R16:R17" si="45">VLOOKUP(B16,DS,23,0)</f>
        <v>0</v>
      </c>
      <c r="S16" s="45">
        <f t="shared" ref="S16:S17" si="46">Q16-R16</f>
        <v>3330000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3"/>
        <v>Trần Hữu Tình</v>
      </c>
      <c r="D17" s="116" t="str">
        <f t="shared" si="34"/>
        <v>Công nhân</v>
      </c>
      <c r="E17" s="90">
        <f t="shared" si="35"/>
        <v>2000000</v>
      </c>
      <c r="F17" s="92">
        <f>VLOOKUP(B17,'CC -6'!$B$8:$AS$19,36,0)</f>
        <v>22</v>
      </c>
      <c r="G17" s="145">
        <f t="shared" si="36"/>
        <v>2000000</v>
      </c>
      <c r="H17" s="92">
        <f>(VLOOKUP(B17,'CC -6'!$B$8:$AS$19,37,0)+VLOOKUP(B17,'CC -6'!$B$8:$AS$19,38,0))</f>
        <v>8</v>
      </c>
      <c r="I17" s="145">
        <f t="shared" si="37"/>
        <v>727273</v>
      </c>
      <c r="J17" s="146">
        <f t="shared" si="38"/>
        <v>30</v>
      </c>
      <c r="K17" s="39">
        <f t="shared" si="39"/>
        <v>2727273</v>
      </c>
      <c r="L17" s="90">
        <f t="shared" si="40"/>
        <v>330000</v>
      </c>
      <c r="M17" s="40">
        <f t="shared" si="41"/>
        <v>3057273</v>
      </c>
      <c r="N17" s="40">
        <f>IF(VLOOKUP(B17,DS,9,0)="x",'L - 6'!E17*$N$4,0)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3057273</v>
      </c>
      <c r="R17" s="39">
        <f t="shared" si="45"/>
        <v>0</v>
      </c>
      <c r="S17" s="45">
        <f t="shared" si="46"/>
        <v>3057273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2327273</v>
      </c>
      <c r="J19" s="140"/>
      <c r="K19" s="140">
        <f t="shared" ref="K19:S19" si="47">SUM(K14:K18)</f>
        <v>8727273</v>
      </c>
      <c r="L19" s="140">
        <f t="shared" si="47"/>
        <v>990000</v>
      </c>
      <c r="M19" s="140">
        <f t="shared" si="47"/>
        <v>9717273</v>
      </c>
      <c r="N19" s="140">
        <f t="shared" si="47"/>
        <v>0</v>
      </c>
      <c r="O19" s="140">
        <f t="shared" si="47"/>
        <v>0</v>
      </c>
      <c r="P19" s="140">
        <f t="shared" si="47"/>
        <v>0</v>
      </c>
      <c r="Q19" s="140">
        <f t="shared" si="47"/>
        <v>9717273</v>
      </c>
      <c r="R19" s="140">
        <f t="shared" si="47"/>
        <v>0</v>
      </c>
      <c r="S19" s="140">
        <f t="shared" si="47"/>
        <v>9717273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06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9:D1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3:D13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42552</v>
      </c>
      <c r="G5" s="118">
        <f t="shared" ref="G5:AJ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 t="shared" si="0"/>
        <v>42581</v>
      </c>
      <c r="AJ5" s="118">
        <f t="shared" si="0"/>
        <v>42582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22</v>
      </c>
      <c r="AL9" s="260">
        <f>SUM(F10:AJ10)/8*1.5</f>
        <v>0</v>
      </c>
      <c r="AM9" s="262">
        <f>SUMIF($F$6:$AJ$6,"C.Nhật",$F9:$AJ10)/8*2</f>
        <v>10</v>
      </c>
      <c r="AN9" s="264">
        <f>SUM(AK9:AM10)</f>
        <v>32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22</v>
      </c>
      <c r="AL11" s="260">
        <f t="shared" ref="AL11" si="3">SUM(F12:AJ12)/8*1.5</f>
        <v>0</v>
      </c>
      <c r="AM11" s="262">
        <f t="shared" ref="AM11" si="4">SUMIF($F$6:$AJ$6,"C.Nhật",$F11:$AJ12)/8*2</f>
        <v>10</v>
      </c>
      <c r="AN11" s="264">
        <f t="shared" ref="AN11" si="5">SUM(AK11:AM12)</f>
        <v>32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22</v>
      </c>
      <c r="AL14" s="260">
        <f t="shared" ref="AL14" si="7">SUM(F15:AJ15)/8*1.5</f>
        <v>0</v>
      </c>
      <c r="AM14" s="262">
        <f>SUMIF($F$6:$AJ$6,"C.Nhật",$F14:$AJ15)/8*2</f>
        <v>10</v>
      </c>
      <c r="AN14" s="264">
        <f>SUM(AK14:AM15)</f>
        <v>32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22</v>
      </c>
      <c r="AL16" s="260">
        <f t="shared" ref="AL16" si="9">SUM(F17:AJ17)/8*1.5</f>
        <v>0</v>
      </c>
      <c r="AM16" s="262">
        <f>SUMIF($F$6:$AJ$6,"C.Nhật",$F16:$AJ17)/8*2</f>
        <v>10</v>
      </c>
      <c r="AN16" s="264">
        <f t="shared" ref="AN16" si="10">SUM(AK16:AM17)</f>
        <v>32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22</v>
      </c>
      <c r="AL18" s="260">
        <f t="shared" ref="AL18" si="12">SUM(F19:AJ19)/8*1.5</f>
        <v>0</v>
      </c>
      <c r="AM18" s="262">
        <f>SUMIF($F$6:$AJ$6,"C.Nhật",$F18:$AJ19)/8*2</f>
        <v>10</v>
      </c>
      <c r="AN18" s="264">
        <f t="shared" ref="AN18" si="13">SUM(AK18:AM19)</f>
        <v>32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O16:AO17"/>
    <mergeCell ref="AP16:AP17"/>
    <mergeCell ref="A16:A17"/>
    <mergeCell ref="B16:B17"/>
    <mergeCell ref="C16:C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O14:AO15"/>
    <mergeCell ref="AP14:AP15"/>
    <mergeCell ref="AQ14:AQ15"/>
    <mergeCell ref="AR14:AR15"/>
    <mergeCell ref="AS14:AS15"/>
    <mergeCell ref="AL14:AL15"/>
    <mergeCell ref="AM14:AM15"/>
    <mergeCell ref="AN14:AN15"/>
    <mergeCell ref="D16:D17"/>
    <mergeCell ref="AK16:AK17"/>
    <mergeCell ref="AL16:AL17"/>
    <mergeCell ref="AM16:AM17"/>
    <mergeCell ref="AN16:AN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4" priority="32" stopIfTrue="1">
      <formula>IF(WEEKDAY(F$5)=1,TRUE,FALSE)</formula>
    </cfRule>
  </conditionalFormatting>
  <conditionalFormatting sqref="F9:AJ12">
    <cfRule type="expression" dxfId="33" priority="31" stopIfTrue="1">
      <formula>IF(WEEKDAY(F$5)=1,TRUE,FALSE)</formula>
    </cfRule>
  </conditionalFormatting>
  <conditionalFormatting sqref="F14:AJ19">
    <cfRule type="expression" dxfId="32" priority="2" stopIfTrue="1">
      <formula>IF(WEEKDAY(F$5)=1,TRUE,FALSE)</formula>
    </cfRule>
  </conditionalFormatting>
  <conditionalFormatting sqref="F14:AJ19">
    <cfRule type="expression" dxfId="3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07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22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42552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-7'!$B$8:$AS$19,36,0)</f>
        <v>22</v>
      </c>
      <c r="G10" s="145">
        <f t="shared" ref="G10:G11" si="3">ROUND(E10/$U$2*F10,0)</f>
        <v>2700000</v>
      </c>
      <c r="H10" s="92">
        <f>(VLOOKUP(B10,'CC -7'!$B$8:$AS$19,37,0)+VLOOKUP(B10,'CC -7'!$B$8:$AS$19,38,0))</f>
        <v>10</v>
      </c>
      <c r="I10" s="145">
        <f t="shared" ref="I10:I11" si="4">ROUND(E10/$U$2*H10,0)</f>
        <v>1227273</v>
      </c>
      <c r="J10" s="93">
        <f t="shared" ref="J10:K11" si="5">F10+H10</f>
        <v>32</v>
      </c>
      <c r="K10" s="39">
        <f>G10+I10</f>
        <v>3927273</v>
      </c>
      <c r="L10" s="90">
        <f t="shared" ref="L10:L11" si="6">+F10*15000</f>
        <v>330000</v>
      </c>
      <c r="M10" s="40">
        <f t="shared" ref="M10:M11" si="7">K10+L10</f>
        <v>4257273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4257273</v>
      </c>
      <c r="R10" s="39">
        <f>VLOOKUP(B10,DS,23,0)</f>
        <v>0</v>
      </c>
      <c r="S10" s="45">
        <f t="shared" ref="S10:S11" si="9">Q10-R10</f>
        <v>4257273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-7'!$B$8:$AS$19,36,0)</f>
        <v>22</v>
      </c>
      <c r="G11" s="145">
        <f t="shared" si="3"/>
        <v>2400000</v>
      </c>
      <c r="H11" s="92">
        <f>(VLOOKUP(B11,'CC -7'!$B$8:$AS$19,37,0)+VLOOKUP(B11,'CC -7'!$B$8:$AS$19,38,0))</f>
        <v>10</v>
      </c>
      <c r="I11" s="145">
        <f t="shared" si="4"/>
        <v>1090909</v>
      </c>
      <c r="J11" s="93">
        <f t="shared" si="5"/>
        <v>32</v>
      </c>
      <c r="K11" s="39">
        <f t="shared" si="5"/>
        <v>3490909</v>
      </c>
      <c r="L11" s="90">
        <f t="shared" si="6"/>
        <v>330000</v>
      </c>
      <c r="M11" s="40">
        <f t="shared" si="7"/>
        <v>3820909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3820909</v>
      </c>
      <c r="R11" s="39">
        <f>VLOOKUP(B11,DS,23,0)</f>
        <v>0</v>
      </c>
      <c r="S11" s="45">
        <f t="shared" si="9"/>
        <v>3820909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2318182</v>
      </c>
      <c r="J13" s="140"/>
      <c r="K13" s="140">
        <f t="shared" ref="K13:S13" si="10">SUM(K9:K11)</f>
        <v>7418182</v>
      </c>
      <c r="L13" s="140">
        <f t="shared" si="10"/>
        <v>660000</v>
      </c>
      <c r="M13" s="140">
        <f t="shared" si="10"/>
        <v>8078182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8078182</v>
      </c>
      <c r="R13" s="140">
        <f t="shared" si="10"/>
        <v>0</v>
      </c>
      <c r="S13" s="140">
        <f t="shared" si="10"/>
        <v>8078182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-7'!$B$8:$AS$19,36,0)</f>
        <v>22</v>
      </c>
      <c r="G15" s="145">
        <f t="shared" ref="G15" si="14">ROUND(E15/$U$2*F15,0)</f>
        <v>2200000</v>
      </c>
      <c r="H15" s="92">
        <f>(VLOOKUP(B15,'CC -7'!$B$8:$AS$19,37,0)+VLOOKUP(B15,'CC -7'!$B$8:$AS$19,38,0))</f>
        <v>10</v>
      </c>
      <c r="I15" s="145">
        <f t="shared" ref="I15" si="15">ROUND(E15/$U$2*H15,0)</f>
        <v>1000000</v>
      </c>
      <c r="J15" s="146">
        <f t="shared" ref="J15:K15" si="16">F15+H15</f>
        <v>32</v>
      </c>
      <c r="K15" s="39">
        <f t="shared" si="16"/>
        <v>3200000</v>
      </c>
      <c r="L15" s="90">
        <f t="shared" ref="L15" si="17">+F15*15000</f>
        <v>330000</v>
      </c>
      <c r="M15" s="40">
        <f t="shared" ref="M15" si="18">K15+L15</f>
        <v>3530000</v>
      </c>
      <c r="N15" s="40">
        <f>IF(VLOOKUP(B15,DS,9,0)="x",'L - 7'!E15*$N$4,0)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3530000</v>
      </c>
      <c r="R15" s="39">
        <f t="shared" ref="R15" si="21">VLOOKUP(B15,DS,23,0)</f>
        <v>0</v>
      </c>
      <c r="S15" s="45">
        <f>Q15-R15</f>
        <v>3530000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-7'!$B$8:$AS$19,36,0)</f>
        <v>22</v>
      </c>
      <c r="G16" s="145">
        <f t="shared" ref="G16:G17" si="25">ROUND(E16/$U$2*F16,0)</f>
        <v>2200000</v>
      </c>
      <c r="H16" s="92">
        <f>(VLOOKUP(B16,'CC -7'!$B$8:$AS$19,37,0)+VLOOKUP(B16,'CC -7'!$B$8:$AS$19,38,0))</f>
        <v>10</v>
      </c>
      <c r="I16" s="145">
        <f t="shared" ref="I16:I17" si="26">ROUND(E16/$U$2*H16,0)</f>
        <v>1000000</v>
      </c>
      <c r="J16" s="146">
        <f t="shared" ref="J16:J17" si="27">F16+H16</f>
        <v>32</v>
      </c>
      <c r="K16" s="39">
        <f t="shared" ref="K16:K17" si="28">G16+I16</f>
        <v>3200000</v>
      </c>
      <c r="L16" s="90">
        <f t="shared" ref="L16:L17" si="29">+F16*15000</f>
        <v>330000</v>
      </c>
      <c r="M16" s="40">
        <f t="shared" ref="M16:M17" si="30">K16+L16</f>
        <v>3530000</v>
      </c>
      <c r="N16" s="40">
        <f>IF(VLOOKUP(B16,DS,9,0)="x",'L - 7'!E16*$N$4,0)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3530000</v>
      </c>
      <c r="R16" s="39">
        <f t="shared" ref="R16:R17" si="34">VLOOKUP(B16,DS,23,0)</f>
        <v>0</v>
      </c>
      <c r="S16" s="45">
        <f t="shared" ref="S16:S17" si="35">Q16-R16</f>
        <v>3530000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-7'!$B$8:$AS$19,36,0)</f>
        <v>22</v>
      </c>
      <c r="G17" s="145">
        <f t="shared" si="25"/>
        <v>2000000</v>
      </c>
      <c r="H17" s="92">
        <f>(VLOOKUP(B17,'CC -7'!$B$8:$AS$19,37,0)+VLOOKUP(B17,'CC -7'!$B$8:$AS$19,38,0))</f>
        <v>10</v>
      </c>
      <c r="I17" s="145">
        <f t="shared" si="26"/>
        <v>909091</v>
      </c>
      <c r="J17" s="146">
        <f t="shared" si="27"/>
        <v>32</v>
      </c>
      <c r="K17" s="39">
        <f t="shared" si="28"/>
        <v>2909091</v>
      </c>
      <c r="L17" s="90">
        <f t="shared" si="29"/>
        <v>330000</v>
      </c>
      <c r="M17" s="40">
        <f t="shared" si="30"/>
        <v>3239091</v>
      </c>
      <c r="N17" s="40">
        <f>IF(VLOOKUP(B17,DS,9,0)="x",'L - 7'!E17*$N$4,0)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3239091</v>
      </c>
      <c r="R17" s="39">
        <f t="shared" si="34"/>
        <v>0</v>
      </c>
      <c r="S17" s="45">
        <f t="shared" si="35"/>
        <v>3239091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2909091</v>
      </c>
      <c r="J19" s="140"/>
      <c r="K19" s="140">
        <f t="shared" ref="K19:S19" si="36">SUM(K14:K18)</f>
        <v>9309091</v>
      </c>
      <c r="L19" s="140">
        <f t="shared" si="36"/>
        <v>990000</v>
      </c>
      <c r="M19" s="140">
        <f t="shared" si="36"/>
        <v>10299091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10299091</v>
      </c>
      <c r="R19" s="140">
        <f t="shared" si="36"/>
        <v>0</v>
      </c>
      <c r="S19" s="140">
        <f t="shared" si="36"/>
        <v>10299091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07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42583</v>
      </c>
      <c r="G5" s="118">
        <f t="shared" ref="G5:AJ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 t="shared" si="0"/>
        <v>42612</v>
      </c>
      <c r="AJ5" s="118">
        <f t="shared" si="0"/>
        <v>42613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60">
        <f>((SUM(F9:AJ9))/8)-(SUMIF($F$6:$AJ$6,"C.Nhật",F9:AJ9)/8)</f>
        <v>22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30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60">
        <f t="shared" ref="AK11" si="2">((SUM(F11:AJ11))/8)-(SUMIF($F$6:$AJ$6,"C.Nhật",F11:AJ11)/8)</f>
        <v>22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30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>
        <v>8</v>
      </c>
      <c r="AK14" s="260">
        <f t="shared" ref="AK14" si="6">((SUM(F14:AJ14))/8)-(SUMIF($F$6:$AJ$6,"C.Nhật",F14:AJ14)/8)</f>
        <v>22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30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60">
        <f t="shared" ref="AK16" si="8">((SUM(F16:AJ16))/8)-(SUMIF($F$6:$AJ$6,"C.Nhật",F16:AJ16)/8)</f>
        <v>22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30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60">
        <f t="shared" ref="AK18" si="11">((SUM(F18:AJ18))/8)-(SUMIF($F$6:$AJ$6,"C.Nhật",F18:AJ18)/8)</f>
        <v>22</v>
      </c>
      <c r="AL18" s="260">
        <f t="shared" ref="AL18" si="12">SUM(F19:AJ19)/8*1.5</f>
        <v>0</v>
      </c>
      <c r="AM18" s="262">
        <f>SUMIF($F$6:$AJ$6,"C.Nhật",$F18:$AJ19)/8*2</f>
        <v>8</v>
      </c>
      <c r="AN18" s="264">
        <f t="shared" ref="AN18" si="13">SUM(AK18:AM19)</f>
        <v>30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L18:AL19"/>
    <mergeCell ref="AM18:AM19"/>
    <mergeCell ref="AN18:AN19"/>
    <mergeCell ref="AO18:AO19"/>
    <mergeCell ref="AP18:AP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4:AL15"/>
    <mergeCell ref="AM14:AM15"/>
    <mergeCell ref="AN14:AN15"/>
    <mergeCell ref="D16:D17"/>
    <mergeCell ref="AK16:AK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0" priority="32" stopIfTrue="1">
      <formula>IF(WEEKDAY(F$5)=1,TRUE,FALSE)</formula>
    </cfRule>
  </conditionalFormatting>
  <conditionalFormatting sqref="F9:AJ12">
    <cfRule type="expression" dxfId="29" priority="31" stopIfTrue="1">
      <formula>IF(WEEKDAY(F$5)=1,TRUE,FALSE)</formula>
    </cfRule>
  </conditionalFormatting>
  <conditionalFormatting sqref="F14:AJ19">
    <cfRule type="expression" dxfId="28" priority="2" stopIfTrue="1">
      <formula>IF(WEEKDAY(F$5)=1,TRUE,FALSE)</formula>
    </cfRule>
  </conditionalFormatting>
  <conditionalFormatting sqref="F14:AJ19">
    <cfRule type="expression" dxfId="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08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22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42583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- 8'!$B$8:$AS$19,36,0)</f>
        <v>22</v>
      </c>
      <c r="G10" s="145">
        <f t="shared" ref="G10:G11" si="3">ROUND(E10/$U$2*F10,0)</f>
        <v>2700000</v>
      </c>
      <c r="H10" s="92">
        <f>(VLOOKUP(B10,'CC - 8'!$B$8:$AS$19,37,0)+VLOOKUP(B10,'CC - 8'!$B$8:$AS$19,38,0))</f>
        <v>8</v>
      </c>
      <c r="I10" s="145">
        <f t="shared" ref="I10:I11" si="4">ROUND(E10/$U$2*H10,0)</f>
        <v>981818</v>
      </c>
      <c r="J10" s="93">
        <f t="shared" ref="J10:K11" si="5">F10+H10</f>
        <v>30</v>
      </c>
      <c r="K10" s="39">
        <f>G10+I10</f>
        <v>3681818</v>
      </c>
      <c r="L10" s="90">
        <f t="shared" ref="L10:L11" si="6">+F10*15000</f>
        <v>330000</v>
      </c>
      <c r="M10" s="40">
        <f t="shared" ref="M10:M11" si="7">K10+L10</f>
        <v>4011818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4011818</v>
      </c>
      <c r="R10" s="39">
        <f>VLOOKUP(B10,DS,23,0)</f>
        <v>0</v>
      </c>
      <c r="S10" s="45">
        <f t="shared" ref="S10:S11" si="9">Q10-R10</f>
        <v>4011818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- 8'!$B$8:$AS$19,36,0)</f>
        <v>22</v>
      </c>
      <c r="G11" s="145">
        <f t="shared" si="3"/>
        <v>2400000</v>
      </c>
      <c r="H11" s="92">
        <f>(VLOOKUP(B11,'CC - 8'!$B$8:$AS$19,37,0)+VLOOKUP(B11,'CC - 8'!$B$8:$AS$19,38,0))</f>
        <v>8</v>
      </c>
      <c r="I11" s="145">
        <f t="shared" si="4"/>
        <v>872727</v>
      </c>
      <c r="J11" s="93">
        <f t="shared" si="5"/>
        <v>30</v>
      </c>
      <c r="K11" s="39">
        <f t="shared" si="5"/>
        <v>3272727</v>
      </c>
      <c r="L11" s="90">
        <f t="shared" si="6"/>
        <v>330000</v>
      </c>
      <c r="M11" s="40">
        <f t="shared" si="7"/>
        <v>3602727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3602727</v>
      </c>
      <c r="R11" s="39">
        <f>VLOOKUP(B11,DS,23,0)</f>
        <v>0</v>
      </c>
      <c r="S11" s="45">
        <f t="shared" si="9"/>
        <v>3602727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1854545</v>
      </c>
      <c r="J13" s="140"/>
      <c r="K13" s="140">
        <f t="shared" ref="K13:S13" si="10">SUM(K9:K11)</f>
        <v>6954545</v>
      </c>
      <c r="L13" s="140">
        <f t="shared" si="10"/>
        <v>660000</v>
      </c>
      <c r="M13" s="140">
        <f t="shared" si="10"/>
        <v>7614545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7614545</v>
      </c>
      <c r="R13" s="140">
        <f t="shared" si="10"/>
        <v>0</v>
      </c>
      <c r="S13" s="140">
        <f t="shared" si="10"/>
        <v>7614545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- 8'!$B$8:$AS$19,36,0)</f>
        <v>22</v>
      </c>
      <c r="G15" s="145">
        <f t="shared" ref="G15" si="14">ROUND(E15/$U$2*F15,0)</f>
        <v>2200000</v>
      </c>
      <c r="H15" s="92">
        <f>(VLOOKUP(B15,'CC - 8'!$B$8:$AS$19,37,0)+VLOOKUP(B15,'CC - 8'!$B$8:$AS$19,38,0))</f>
        <v>8</v>
      </c>
      <c r="I15" s="145">
        <f t="shared" ref="I15" si="15">ROUND(E15/$U$2*H15,0)</f>
        <v>800000</v>
      </c>
      <c r="J15" s="146">
        <f t="shared" ref="J15:K15" si="16">F15+H15</f>
        <v>30</v>
      </c>
      <c r="K15" s="39">
        <f t="shared" si="16"/>
        <v>3000000</v>
      </c>
      <c r="L15" s="90">
        <f t="shared" ref="L15" si="17">+F15*15000</f>
        <v>330000</v>
      </c>
      <c r="M15" s="40">
        <f t="shared" ref="M15" si="18">K15+L15</f>
        <v>3330000</v>
      </c>
      <c r="N15" s="40">
        <f>IF(VLOOKUP(B15,DS,9,0)="x",'L - 8'!E15*$N$4,0)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3330000</v>
      </c>
      <c r="R15" s="39">
        <f t="shared" ref="R15" si="21">VLOOKUP(B15,DS,23,0)</f>
        <v>0</v>
      </c>
      <c r="S15" s="45">
        <f>Q15-R15</f>
        <v>3330000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- 8'!$B$8:$AS$19,36,0)</f>
        <v>22</v>
      </c>
      <c r="G16" s="145">
        <f t="shared" ref="G16:G17" si="25">ROUND(E16/$U$2*F16,0)</f>
        <v>2200000</v>
      </c>
      <c r="H16" s="92">
        <f>(VLOOKUP(B16,'CC - 8'!$B$8:$AS$19,37,0)+VLOOKUP(B16,'CC - 8'!$B$8:$AS$19,38,0))</f>
        <v>8</v>
      </c>
      <c r="I16" s="145">
        <f t="shared" ref="I16:I17" si="26">ROUND(E16/$U$2*H16,0)</f>
        <v>800000</v>
      </c>
      <c r="J16" s="146">
        <f t="shared" ref="J16:J17" si="27">F16+H16</f>
        <v>30</v>
      </c>
      <c r="K16" s="39">
        <f t="shared" ref="K16:K17" si="28">G16+I16</f>
        <v>3000000</v>
      </c>
      <c r="L16" s="90">
        <f t="shared" ref="L16:L17" si="29">+F16*15000</f>
        <v>330000</v>
      </c>
      <c r="M16" s="40">
        <f t="shared" ref="M16:M17" si="30">K16+L16</f>
        <v>3330000</v>
      </c>
      <c r="N16" s="40">
        <f>IF(VLOOKUP(B16,DS,9,0)="x",'L - 8'!E16*$N$4,0)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3330000</v>
      </c>
      <c r="R16" s="39">
        <f t="shared" ref="R16:R17" si="34">VLOOKUP(B16,DS,23,0)</f>
        <v>0</v>
      </c>
      <c r="S16" s="45">
        <f t="shared" ref="S16:S17" si="35">Q16-R16</f>
        <v>3330000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- 8'!$B$8:$AS$19,36,0)</f>
        <v>22</v>
      </c>
      <c r="G17" s="145">
        <f t="shared" si="25"/>
        <v>2000000</v>
      </c>
      <c r="H17" s="92">
        <f>(VLOOKUP(B17,'CC - 8'!$B$8:$AS$19,37,0)+VLOOKUP(B17,'CC - 8'!$B$8:$AS$19,38,0))</f>
        <v>8</v>
      </c>
      <c r="I17" s="145">
        <f t="shared" si="26"/>
        <v>727273</v>
      </c>
      <c r="J17" s="146">
        <f t="shared" si="27"/>
        <v>30</v>
      </c>
      <c r="K17" s="39">
        <f t="shared" si="28"/>
        <v>2727273</v>
      </c>
      <c r="L17" s="90">
        <f t="shared" si="29"/>
        <v>330000</v>
      </c>
      <c r="M17" s="40">
        <f t="shared" si="30"/>
        <v>3057273</v>
      </c>
      <c r="N17" s="40">
        <f>IF(VLOOKUP(B17,DS,9,0)="x",'L - 8'!E17*$N$4,0)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3057273</v>
      </c>
      <c r="R17" s="39">
        <f t="shared" si="34"/>
        <v>0</v>
      </c>
      <c r="S17" s="45">
        <f t="shared" si="35"/>
        <v>3057273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2327273</v>
      </c>
      <c r="J19" s="140"/>
      <c r="K19" s="140">
        <f t="shared" ref="K19:S19" si="36">SUM(K14:K18)</f>
        <v>8727273</v>
      </c>
      <c r="L19" s="140">
        <f t="shared" si="36"/>
        <v>990000</v>
      </c>
      <c r="M19" s="140">
        <f t="shared" si="36"/>
        <v>9717273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9717273</v>
      </c>
      <c r="R19" s="140">
        <f t="shared" si="36"/>
        <v>0</v>
      </c>
      <c r="S19" s="140">
        <f t="shared" si="36"/>
        <v>9717273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08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42614</v>
      </c>
      <c r="G5" s="118">
        <f t="shared" ref="G5:AJ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 t="shared" si="0"/>
        <v>42643</v>
      </c>
      <c r="AJ5" s="118">
        <f t="shared" si="0"/>
        <v>42644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60">
        <f>((SUM(F9:AJ9))/8)-(SUMIF($F$6:$AJ$6,"C.Nhật",F9:AJ9)/8)</f>
        <v>21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29</v>
      </c>
      <c r="AO9" s="266">
        <v>0</v>
      </c>
      <c r="AP9" s="264"/>
      <c r="AQ9" s="264"/>
      <c r="AR9" s="264"/>
      <c r="AS9" s="26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60">
        <f t="shared" ref="AK11" si="2">((SUM(F11:AJ11))/8)-(SUMIF($F$6:$AJ$6,"C.Nhật",F11:AJ11)/8)</f>
        <v>21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29</v>
      </c>
      <c r="AO11" s="266">
        <v>0</v>
      </c>
      <c r="AP11" s="264"/>
      <c r="AQ11" s="264"/>
      <c r="AR11" s="264"/>
      <c r="AS11" s="268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/>
      <c r="AK14" s="260">
        <f t="shared" ref="AK14" si="6">((SUM(F14:AJ14))/8)-(SUMIF($F$6:$AJ$6,"C.Nhật",F14:AJ14)/8)</f>
        <v>21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29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60">
        <f t="shared" ref="AK16" si="8">((SUM(F16:AJ16))/8)-(SUMIF($F$6:$AJ$6,"C.Nhật",F16:AJ16)/8)</f>
        <v>21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29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60">
        <f t="shared" ref="AK18" si="11">((SUM(F18:AJ18))/8)-(SUMIF($F$6:$AJ$6,"C.Nhật",F18:AJ18)/8)</f>
        <v>21</v>
      </c>
      <c r="AL18" s="260">
        <f t="shared" ref="AL18" si="12">SUM(F19:AJ19)/8*1.5</f>
        <v>0</v>
      </c>
      <c r="AM18" s="262">
        <f>SUMIF($F$6:$AJ$6,"C.Nhật",$F18:$AJ19)/8*2</f>
        <v>8</v>
      </c>
      <c r="AN18" s="264">
        <f t="shared" ref="AN18" si="13">SUM(AK18:AM19)</f>
        <v>29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L18:AL19"/>
    <mergeCell ref="AM18:AM19"/>
    <mergeCell ref="AN18:AN19"/>
    <mergeCell ref="AO18:AO19"/>
    <mergeCell ref="AP18:AP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4:AL15"/>
    <mergeCell ref="AM14:AM15"/>
    <mergeCell ref="AN14:AN15"/>
    <mergeCell ref="D16:D17"/>
    <mergeCell ref="AK16:AK17"/>
    <mergeCell ref="A14:A15"/>
    <mergeCell ref="B14:B15"/>
    <mergeCell ref="C14:C15"/>
    <mergeCell ref="D14:D15"/>
    <mergeCell ref="AK14:AK15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2">
    <cfRule type="expression" dxfId="26" priority="33" stopIfTrue="1">
      <formula>IF(WEEKDAY(F$5)=1,TRUE,FALSE)</formula>
    </cfRule>
  </conditionalFormatting>
  <conditionalFormatting sqref="F9:AJ10 F11:AI12">
    <cfRule type="expression" dxfId="25" priority="32" stopIfTrue="1">
      <formula>IF(WEEKDAY(F$5)=1,TRUE,FALSE)</formula>
    </cfRule>
  </conditionalFormatting>
  <conditionalFormatting sqref="AJ11:AJ12">
    <cfRule type="expression" dxfId="24" priority="23" stopIfTrue="1">
      <formula>IF(WEEKDAY(AJ$5)=1,TRUE,FALSE)</formula>
    </cfRule>
  </conditionalFormatting>
  <conditionalFormatting sqref="AJ11:AJ12">
    <cfRule type="expression" dxfId="23" priority="22" stopIfTrue="1">
      <formula>IF(WEEKDAY(AJ$5)=1,TRUE,FALSE)</formula>
    </cfRule>
  </conditionalFormatting>
  <conditionalFormatting sqref="AJ14:AJ19">
    <cfRule type="expression" dxfId="22" priority="19" stopIfTrue="1">
      <formula>IF(WEEKDAY(AJ$5)=1,TRUE,FALSE)</formula>
    </cfRule>
  </conditionalFormatting>
  <conditionalFormatting sqref="AJ14:AJ19">
    <cfRule type="expression" dxfId="21" priority="18" stopIfTrue="1">
      <formula>IF(WEEKDAY(AJ$5)=1,TRUE,FALSE)</formula>
    </cfRule>
  </conditionalFormatting>
  <conditionalFormatting sqref="AJ14:AJ19">
    <cfRule type="expression" dxfId="20" priority="17" stopIfTrue="1">
      <formula>IF(WEEKDAY(AJ$5)=1,TRUE,FALSE)</formula>
    </cfRule>
  </conditionalFormatting>
  <conditionalFormatting sqref="AJ14:AJ19">
    <cfRule type="expression" dxfId="19" priority="16" stopIfTrue="1">
      <formula>IF(WEEKDAY(AJ$5)=1,TRUE,FALSE)</formula>
    </cfRule>
  </conditionalFormatting>
  <conditionalFormatting sqref="AJ14:AJ19">
    <cfRule type="expression" dxfId="18" priority="15" stopIfTrue="1">
      <formula>IF(WEEKDAY(AJ$5)=1,TRUE,FALSE)</formula>
    </cfRule>
  </conditionalFormatting>
  <conditionalFormatting sqref="AJ14:AJ19">
    <cfRule type="expression" dxfId="17" priority="14" stopIfTrue="1">
      <formula>IF(WEEKDAY(AJ$5)=1,TRUE,FALSE)</formula>
    </cfRule>
  </conditionalFormatting>
  <conditionalFormatting sqref="AJ14:AJ19">
    <cfRule type="expression" dxfId="16" priority="13" stopIfTrue="1">
      <formula>IF(WEEKDAY(AJ$5)=1,TRUE,FALSE)</formula>
    </cfRule>
  </conditionalFormatting>
  <conditionalFormatting sqref="F14:AI19">
    <cfRule type="expression" dxfId="15" priority="2" stopIfTrue="1">
      <formula>IF(WEEKDAY(F$5)=1,TRUE,FALSE)</formula>
    </cfRule>
  </conditionalFormatting>
  <conditionalFormatting sqref="F14:AI19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0" t="str">
        <f>"BẢNG THANH TOÁN LƯƠNG THÁNG"&amp;" "&amp;TEXT($E$4,"mm")&amp;" / "&amp;TEXT($E$4,"yyyy")</f>
        <v>BẢNG THANH TOÁN LƯƠNG THÁNG 09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42614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01" t="s">
        <v>40</v>
      </c>
      <c r="G7" s="199" t="s">
        <v>18</v>
      </c>
      <c r="H7" s="201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-9'!$B$8:$AS$19,36,0)</f>
        <v>21</v>
      </c>
      <c r="G10" s="145">
        <f t="shared" ref="G10:G11" si="3">ROUND(E10/$U$2*F10,0)</f>
        <v>2700000</v>
      </c>
      <c r="H10" s="92">
        <f>(VLOOKUP(B10,'CC -9'!$B$8:$AS$19,37,0)+VLOOKUP(B10,'CC -9'!$B$8:$AS$19,38,0))</f>
        <v>8</v>
      </c>
      <c r="I10" s="145">
        <f t="shared" ref="I10:I11" si="4">ROUND(E10/$U$2*H10,0)</f>
        <v>1028571</v>
      </c>
      <c r="J10" s="93">
        <f t="shared" ref="J10:K11" si="5">F10+H10</f>
        <v>29</v>
      </c>
      <c r="K10" s="39">
        <f>G10+I10</f>
        <v>3728571</v>
      </c>
      <c r="L10" s="90">
        <f t="shared" ref="L10:L11" si="6">+F10*15000</f>
        <v>315000</v>
      </c>
      <c r="M10" s="40">
        <f t="shared" ref="M10:M11" si="7">K10+L10</f>
        <v>4043571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4043571</v>
      </c>
      <c r="R10" s="39">
        <f>VLOOKUP(B10,DS,23,0)</f>
        <v>0</v>
      </c>
      <c r="S10" s="45">
        <f t="shared" ref="S10:S11" si="9">Q10-R10</f>
        <v>4043571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-9'!$B$8:$AS$19,36,0)</f>
        <v>21</v>
      </c>
      <c r="G11" s="145">
        <f t="shared" si="3"/>
        <v>2400000</v>
      </c>
      <c r="H11" s="92">
        <f>(VLOOKUP(B11,'CC -9'!$B$8:$AS$19,37,0)+VLOOKUP(B11,'CC -9'!$B$8:$AS$19,38,0))</f>
        <v>8</v>
      </c>
      <c r="I11" s="145">
        <f t="shared" si="4"/>
        <v>914286</v>
      </c>
      <c r="J11" s="93">
        <f t="shared" si="5"/>
        <v>29</v>
      </c>
      <c r="K11" s="39">
        <f t="shared" si="5"/>
        <v>3314286</v>
      </c>
      <c r="L11" s="90">
        <f t="shared" si="6"/>
        <v>315000</v>
      </c>
      <c r="M11" s="40">
        <f t="shared" si="7"/>
        <v>3629286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3629286</v>
      </c>
      <c r="R11" s="39">
        <f>VLOOKUP(B11,DS,23,0)</f>
        <v>0</v>
      </c>
      <c r="S11" s="45">
        <f t="shared" si="9"/>
        <v>3629286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1942857</v>
      </c>
      <c r="J13" s="140"/>
      <c r="K13" s="140">
        <f t="shared" ref="K13:S13" si="10">SUM(K9:K11)</f>
        <v>7042857</v>
      </c>
      <c r="L13" s="140">
        <f t="shared" si="10"/>
        <v>630000</v>
      </c>
      <c r="M13" s="140">
        <f t="shared" si="10"/>
        <v>7672857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7672857</v>
      </c>
      <c r="R13" s="140">
        <f t="shared" si="10"/>
        <v>0</v>
      </c>
      <c r="S13" s="140">
        <f t="shared" si="10"/>
        <v>7672857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-9'!$B$8:$AS$19,36,0)</f>
        <v>21</v>
      </c>
      <c r="G15" s="145">
        <f t="shared" ref="G15" si="14">ROUND(E15/$U$2*F15,0)</f>
        <v>2200000</v>
      </c>
      <c r="H15" s="92">
        <f>(VLOOKUP(B15,'CC -9'!$B$8:$AS$19,37,0)+VLOOKUP(B15,'CC -9'!$B$8:$AS$19,38,0))</f>
        <v>8</v>
      </c>
      <c r="I15" s="145">
        <f t="shared" ref="I15" si="15">ROUND(E15/$U$2*H15,0)</f>
        <v>838095</v>
      </c>
      <c r="J15" s="146">
        <f t="shared" ref="J15:K15" si="16">F15+H15</f>
        <v>29</v>
      </c>
      <c r="K15" s="39">
        <f t="shared" si="16"/>
        <v>3038095</v>
      </c>
      <c r="L15" s="90">
        <f t="shared" ref="L15" si="17">+F15*15000</f>
        <v>315000</v>
      </c>
      <c r="M15" s="40">
        <f t="shared" ref="M15" si="18">K15+L15</f>
        <v>3353095</v>
      </c>
      <c r="N15" s="40">
        <f>IF(VLOOKUP(B15,DS,9,0)="x",'L - 9'!E15*$N$4,0)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3353095</v>
      </c>
      <c r="R15" s="39">
        <f t="shared" ref="R15" si="21">VLOOKUP(B15,DS,23,0)</f>
        <v>0</v>
      </c>
      <c r="S15" s="45">
        <f>Q15-R15</f>
        <v>3353095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-9'!$B$8:$AS$19,36,0)</f>
        <v>21</v>
      </c>
      <c r="G16" s="145">
        <f t="shared" ref="G16:G17" si="25">ROUND(E16/$U$2*F16,0)</f>
        <v>2200000</v>
      </c>
      <c r="H16" s="92">
        <f>(VLOOKUP(B16,'CC -9'!$B$8:$AS$19,37,0)+VLOOKUP(B16,'CC -9'!$B$8:$AS$19,38,0))</f>
        <v>8</v>
      </c>
      <c r="I16" s="145">
        <f t="shared" ref="I16:I17" si="26">ROUND(E16/$U$2*H16,0)</f>
        <v>838095</v>
      </c>
      <c r="J16" s="146">
        <f t="shared" ref="J16:J17" si="27">F16+H16</f>
        <v>29</v>
      </c>
      <c r="K16" s="39">
        <f t="shared" ref="K16:K17" si="28">G16+I16</f>
        <v>3038095</v>
      </c>
      <c r="L16" s="90">
        <f t="shared" ref="L16:L17" si="29">+F16*15000</f>
        <v>315000</v>
      </c>
      <c r="M16" s="40">
        <f t="shared" ref="M16:M17" si="30">K16+L16</f>
        <v>3353095</v>
      </c>
      <c r="N16" s="40">
        <f>IF(VLOOKUP(B16,DS,9,0)="x",'L - 9'!E16*$N$4,0)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3353095</v>
      </c>
      <c r="R16" s="39">
        <f t="shared" ref="R16:R17" si="34">VLOOKUP(B16,DS,23,0)</f>
        <v>0</v>
      </c>
      <c r="S16" s="45">
        <f t="shared" ref="S16:S17" si="35">Q16-R16</f>
        <v>3353095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-9'!$B$8:$AS$19,36,0)</f>
        <v>21</v>
      </c>
      <c r="G17" s="145">
        <f t="shared" si="25"/>
        <v>2000000</v>
      </c>
      <c r="H17" s="92">
        <f>(VLOOKUP(B17,'CC -9'!$B$8:$AS$19,37,0)+VLOOKUP(B17,'CC -9'!$B$8:$AS$19,38,0))</f>
        <v>8</v>
      </c>
      <c r="I17" s="145">
        <f t="shared" si="26"/>
        <v>761905</v>
      </c>
      <c r="J17" s="146">
        <f t="shared" si="27"/>
        <v>29</v>
      </c>
      <c r="K17" s="39">
        <f t="shared" si="28"/>
        <v>2761905</v>
      </c>
      <c r="L17" s="90">
        <f t="shared" si="29"/>
        <v>315000</v>
      </c>
      <c r="M17" s="40">
        <f t="shared" si="30"/>
        <v>3076905</v>
      </c>
      <c r="N17" s="40">
        <f>IF(VLOOKUP(B17,DS,9,0)="x",'L - 9'!E17*$N$4,0)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3076905</v>
      </c>
      <c r="R17" s="39">
        <f t="shared" si="34"/>
        <v>0</v>
      </c>
      <c r="S17" s="45">
        <f t="shared" si="35"/>
        <v>3076905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2438095</v>
      </c>
      <c r="J19" s="140"/>
      <c r="K19" s="140">
        <f t="shared" ref="K19:S19" si="36">SUM(K14:K18)</f>
        <v>8838095</v>
      </c>
      <c r="L19" s="140">
        <f t="shared" si="36"/>
        <v>945000</v>
      </c>
      <c r="M19" s="140">
        <f t="shared" si="36"/>
        <v>9783095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9783095</v>
      </c>
      <c r="R19" s="140">
        <f t="shared" si="36"/>
        <v>0</v>
      </c>
      <c r="S19" s="140">
        <f t="shared" si="36"/>
        <v>9783095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09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42644</v>
      </c>
      <c r="G5" s="118">
        <f t="shared" ref="G5:AJ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 t="shared" si="0"/>
        <v>42673</v>
      </c>
      <c r="AJ5" s="118">
        <f t="shared" si="0"/>
        <v>42674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22</v>
      </c>
      <c r="AL9" s="260">
        <f>SUM(F10:AJ10)/8*1.5</f>
        <v>0</v>
      </c>
      <c r="AM9" s="262">
        <f>SUMIF($F$6:$AJ$6,"C.Nhật",$F9:$AJ10)/8*2</f>
        <v>10</v>
      </c>
      <c r="AN9" s="264">
        <f>SUM(AK9:AM10)</f>
        <v>32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22</v>
      </c>
      <c r="AL11" s="260">
        <f t="shared" ref="AL11" si="3">SUM(F12:AJ12)/8*1.5</f>
        <v>0</v>
      </c>
      <c r="AM11" s="262">
        <f t="shared" ref="AM11" si="4">SUMIF($F$6:$AJ$6,"C.Nhật",$F11:$AJ12)/8*2</f>
        <v>10</v>
      </c>
      <c r="AN11" s="264">
        <f t="shared" ref="AN11" si="5">SUM(AK11:AM12)</f>
        <v>32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22</v>
      </c>
      <c r="AL14" s="260">
        <f t="shared" ref="AL14" si="7">SUM(F15:AJ15)/8*1.5</f>
        <v>0</v>
      </c>
      <c r="AM14" s="262">
        <f>SUMIF($F$6:$AJ$6,"C.Nhật",$F14:$AJ15)/8*2</f>
        <v>10</v>
      </c>
      <c r="AN14" s="264">
        <f>SUM(AK14:AM15)</f>
        <v>32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22</v>
      </c>
      <c r="AL16" s="260">
        <f t="shared" ref="AL16" si="9">SUM(F17:AJ17)/8*1.5</f>
        <v>0</v>
      </c>
      <c r="AM16" s="262">
        <f>SUMIF($F$6:$AJ$6,"C.Nhật",$F16:$AJ17)/8*2</f>
        <v>10</v>
      </c>
      <c r="AN16" s="264">
        <f t="shared" ref="AN16" si="10">SUM(AK16:AM17)</f>
        <v>32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22</v>
      </c>
      <c r="AL18" s="260">
        <f t="shared" ref="AL18" si="12">SUM(F19:AJ19)/8*1.5</f>
        <v>0</v>
      </c>
      <c r="AM18" s="262">
        <f>SUMIF($F$6:$AJ$6,"C.Nhật",$F18:$AJ19)/8*2</f>
        <v>10</v>
      </c>
      <c r="AN18" s="264">
        <f t="shared" ref="AN18" si="13">SUM(AK18:AM19)</f>
        <v>32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B14:B15"/>
    <mergeCell ref="C14:C15"/>
    <mergeCell ref="AQ18:AQ19"/>
    <mergeCell ref="AR18:AR19"/>
    <mergeCell ref="A16:A17"/>
    <mergeCell ref="B16:B17"/>
    <mergeCell ref="C16:C17"/>
    <mergeCell ref="D16:D17"/>
    <mergeCell ref="AK16:AK17"/>
    <mergeCell ref="AO14:AO15"/>
    <mergeCell ref="A18:A19"/>
    <mergeCell ref="B18:B19"/>
    <mergeCell ref="C18:C19"/>
    <mergeCell ref="D18:D19"/>
    <mergeCell ref="AK18:AK19"/>
    <mergeCell ref="A14:A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Q14:AQ15"/>
    <mergeCell ref="AR14:AR15"/>
    <mergeCell ref="AS18:AS19"/>
    <mergeCell ref="AL18:AL19"/>
    <mergeCell ref="AM18:AM19"/>
    <mergeCell ref="AN18:AN19"/>
    <mergeCell ref="AO18:AO19"/>
    <mergeCell ref="AP18:AP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1:AS12"/>
    <mergeCell ref="A11:A12"/>
    <mergeCell ref="B11:B12"/>
    <mergeCell ref="C11:C12"/>
    <mergeCell ref="D11:D12"/>
    <mergeCell ref="AK11:AK12"/>
    <mergeCell ref="AO11:AO12"/>
    <mergeCell ref="AP11:AP12"/>
    <mergeCell ref="AQ11:AQ12"/>
    <mergeCell ref="AR11:AR12"/>
    <mergeCell ref="D14:D15"/>
    <mergeCell ref="AK14:AK15"/>
    <mergeCell ref="AP14:AP15"/>
    <mergeCell ref="AL11:AL12"/>
    <mergeCell ref="AM11:AM12"/>
    <mergeCell ref="AN11:AN12"/>
  </mergeCells>
  <conditionalFormatting sqref="F5:AJ6 F9:AJ12">
    <cfRule type="expression" dxfId="13" priority="30" stopIfTrue="1">
      <formula>IF(WEEKDAY(F$5)=1,TRUE,FALSE)</formula>
    </cfRule>
  </conditionalFormatting>
  <conditionalFormatting sqref="F9:AJ12">
    <cfRule type="expression" dxfId="12" priority="29" stopIfTrue="1">
      <formula>IF(WEEKDAY(F$5)=1,TRUE,FALSE)</formula>
    </cfRule>
  </conditionalFormatting>
  <conditionalFormatting sqref="F14:AJ19">
    <cfRule type="expression" dxfId="11" priority="2" stopIfTrue="1">
      <formula>IF(WEEKDAY(F$5)=1,TRUE,FALSE)</formula>
    </cfRule>
  </conditionalFormatting>
  <conditionalFormatting sqref="F14:AJ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10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22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42644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-10'!$B$8:$AS$19,36,0)</f>
        <v>22</v>
      </c>
      <c r="G10" s="145">
        <f t="shared" ref="G10:G11" si="3">ROUND(E10/$U$2*F10,0)</f>
        <v>2700000</v>
      </c>
      <c r="H10" s="92">
        <f>(VLOOKUP(B10,'CC -10'!$B$8:$AS$19,37,0)+VLOOKUP(B10,'CC -10'!$B$8:$AS$19,38,0))</f>
        <v>10</v>
      </c>
      <c r="I10" s="145">
        <f t="shared" ref="I10:I11" si="4">ROUND(E10/$U$2*H10,0)</f>
        <v>1227273</v>
      </c>
      <c r="J10" s="93">
        <f t="shared" ref="J10:K11" si="5">F10+H10</f>
        <v>32</v>
      </c>
      <c r="K10" s="39">
        <f>G10+I10</f>
        <v>3927273</v>
      </c>
      <c r="L10" s="90">
        <f t="shared" ref="L10:L11" si="6">+F10*15000</f>
        <v>330000</v>
      </c>
      <c r="M10" s="40">
        <f t="shared" ref="M10:M11" si="7">K10+L10</f>
        <v>4257273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4257273</v>
      </c>
      <c r="R10" s="39">
        <f>VLOOKUP(B10,DS,23,0)</f>
        <v>0</v>
      </c>
      <c r="S10" s="45">
        <f t="shared" ref="S10:S11" si="9">Q10-R10</f>
        <v>4257273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-10'!$B$8:$AS$19,36,0)</f>
        <v>22</v>
      </c>
      <c r="G11" s="145">
        <f t="shared" si="3"/>
        <v>2400000</v>
      </c>
      <c r="H11" s="92">
        <f>(VLOOKUP(B11,'CC -10'!$B$8:$AS$19,37,0)+VLOOKUP(B11,'CC -10'!$B$8:$AS$19,38,0))</f>
        <v>10</v>
      </c>
      <c r="I11" s="145">
        <f t="shared" si="4"/>
        <v>1090909</v>
      </c>
      <c r="J11" s="93">
        <f t="shared" si="5"/>
        <v>32</v>
      </c>
      <c r="K11" s="39">
        <f t="shared" si="5"/>
        <v>3490909</v>
      </c>
      <c r="L11" s="90">
        <f t="shared" si="6"/>
        <v>330000</v>
      </c>
      <c r="M11" s="40">
        <f t="shared" si="7"/>
        <v>3820909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3820909</v>
      </c>
      <c r="R11" s="39">
        <f>VLOOKUP(B11,DS,23,0)</f>
        <v>0</v>
      </c>
      <c r="S11" s="45">
        <f t="shared" si="9"/>
        <v>3820909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2318182</v>
      </c>
      <c r="J13" s="140"/>
      <c r="K13" s="140">
        <f t="shared" ref="K13:S13" si="10">SUM(K9:K11)</f>
        <v>7418182</v>
      </c>
      <c r="L13" s="140">
        <f t="shared" si="10"/>
        <v>660000</v>
      </c>
      <c r="M13" s="140">
        <f t="shared" si="10"/>
        <v>8078182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8078182</v>
      </c>
      <c r="R13" s="140">
        <f t="shared" si="10"/>
        <v>0</v>
      </c>
      <c r="S13" s="140">
        <f t="shared" si="10"/>
        <v>8078182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-10'!$B$8:$AS$19,36,0)</f>
        <v>22</v>
      </c>
      <c r="G15" s="145">
        <f t="shared" ref="G15" si="14">ROUND(E15/$U$2*F15,0)</f>
        <v>2200000</v>
      </c>
      <c r="H15" s="92">
        <f>(VLOOKUP(B15,'CC -10'!$B$8:$AS$19,37,0)+VLOOKUP(B15,'CC -10'!$B$8:$AS$19,38,0))</f>
        <v>10</v>
      </c>
      <c r="I15" s="145">
        <f t="shared" ref="I15" si="15">ROUND(E15/$U$2*H15,0)</f>
        <v>1000000</v>
      </c>
      <c r="J15" s="146">
        <f t="shared" ref="J15:K15" si="16">F15+H15</f>
        <v>32</v>
      </c>
      <c r="K15" s="39">
        <f t="shared" si="16"/>
        <v>3200000</v>
      </c>
      <c r="L15" s="90">
        <f t="shared" ref="L15" si="17">+F15*15000</f>
        <v>330000</v>
      </c>
      <c r="M15" s="40">
        <f t="shared" ref="M15" si="18">K15+L15</f>
        <v>3530000</v>
      </c>
      <c r="N15" s="40">
        <f>IF(VLOOKUP(B15,DS,9,0)="x",'L - 10'!E15*$N$4,0)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3530000</v>
      </c>
      <c r="R15" s="39">
        <f t="shared" ref="R15" si="21">VLOOKUP(B15,DS,23,0)</f>
        <v>0</v>
      </c>
      <c r="S15" s="45">
        <f>Q15-R15</f>
        <v>3530000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-10'!$B$8:$AS$19,36,0)</f>
        <v>22</v>
      </c>
      <c r="G16" s="145">
        <f t="shared" ref="G16:G17" si="25">ROUND(E16/$U$2*F16,0)</f>
        <v>2200000</v>
      </c>
      <c r="H16" s="92">
        <f>(VLOOKUP(B16,'CC -10'!$B$8:$AS$19,37,0)+VLOOKUP(B16,'CC -10'!$B$8:$AS$19,38,0))</f>
        <v>10</v>
      </c>
      <c r="I16" s="145">
        <f t="shared" ref="I16:I17" si="26">ROUND(E16/$U$2*H16,0)</f>
        <v>1000000</v>
      </c>
      <c r="J16" s="146">
        <f t="shared" ref="J16:J17" si="27">F16+H16</f>
        <v>32</v>
      </c>
      <c r="K16" s="39">
        <f t="shared" ref="K16:K17" si="28">G16+I16</f>
        <v>3200000</v>
      </c>
      <c r="L16" s="90">
        <f t="shared" ref="L16:L17" si="29">+F16*15000</f>
        <v>330000</v>
      </c>
      <c r="M16" s="40">
        <f t="shared" ref="M16:M17" si="30">K16+L16</f>
        <v>3530000</v>
      </c>
      <c r="N16" s="40">
        <f>IF(VLOOKUP(B16,DS,9,0)="x",'L - 10'!E16*$N$4,0)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3530000</v>
      </c>
      <c r="R16" s="39">
        <f t="shared" ref="R16:R17" si="34">VLOOKUP(B16,DS,23,0)</f>
        <v>0</v>
      </c>
      <c r="S16" s="45">
        <f t="shared" ref="S16:S17" si="35">Q16-R16</f>
        <v>3530000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-10'!$B$8:$AS$19,36,0)</f>
        <v>22</v>
      </c>
      <c r="G17" s="145">
        <f t="shared" si="25"/>
        <v>2000000</v>
      </c>
      <c r="H17" s="92">
        <f>(VLOOKUP(B17,'CC -10'!$B$8:$AS$19,37,0)+VLOOKUP(B17,'CC -10'!$B$8:$AS$19,38,0))</f>
        <v>10</v>
      </c>
      <c r="I17" s="145">
        <f t="shared" si="26"/>
        <v>909091</v>
      </c>
      <c r="J17" s="146">
        <f t="shared" si="27"/>
        <v>32</v>
      </c>
      <c r="K17" s="39">
        <f t="shared" si="28"/>
        <v>2909091</v>
      </c>
      <c r="L17" s="90">
        <f t="shared" si="29"/>
        <v>330000</v>
      </c>
      <c r="M17" s="40">
        <f t="shared" si="30"/>
        <v>3239091</v>
      </c>
      <c r="N17" s="40">
        <f>IF(VLOOKUP(B17,DS,9,0)="x",'L - 10'!E17*$N$4,0)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3239091</v>
      </c>
      <c r="R17" s="39">
        <f t="shared" si="34"/>
        <v>0</v>
      </c>
      <c r="S17" s="45">
        <f t="shared" si="35"/>
        <v>3239091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2909091</v>
      </c>
      <c r="J19" s="140"/>
      <c r="K19" s="140">
        <f t="shared" ref="K19:S19" si="36">SUM(K14:K18)</f>
        <v>9309091</v>
      </c>
      <c r="L19" s="140">
        <f t="shared" si="36"/>
        <v>990000</v>
      </c>
      <c r="M19" s="140">
        <f t="shared" si="36"/>
        <v>10299091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10299091</v>
      </c>
      <c r="R19" s="140">
        <f t="shared" si="36"/>
        <v>0</v>
      </c>
      <c r="S19" s="140">
        <f t="shared" si="36"/>
        <v>10299091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10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42675</v>
      </c>
      <c r="G5" s="118">
        <f t="shared" ref="G5:AI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 t="shared" si="0"/>
        <v>42704</v>
      </c>
      <c r="AJ5" s="226"/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T.Ba</v>
      </c>
      <c r="G6" s="174" t="str">
        <f t="shared" ref="G6:AI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/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/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227"/>
      <c r="AK9" s="260">
        <f>((SUM(F9:AI9))/8)-(SUMIF($F$6:$AI$6,"C.Nhật",F9:AI9)/8)</f>
        <v>21</v>
      </c>
      <c r="AL9" s="260">
        <f>SUM(F10:AI10)/8*1.5</f>
        <v>0</v>
      </c>
      <c r="AM9" s="262">
        <f>SUMIF($F$6:$AI$6,"C.Nhật",$F9:$AI10)/8*2</f>
        <v>8</v>
      </c>
      <c r="AN9" s="264">
        <f>SUM(AK9:AM10)</f>
        <v>29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28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f>A7+1</f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227"/>
      <c r="AK11" s="260">
        <f>((SUM(F11:AI11))/8)-(SUMIF($F$6:$AI$6,"C.Nhật",F11:AI11)/8)</f>
        <v>21</v>
      </c>
      <c r="AL11" s="260">
        <f>SUM(F12:AI12)/8*1.5</f>
        <v>0</v>
      </c>
      <c r="AM11" s="262">
        <f>SUMIF($F$6:$AI$6,"C.Nhật",$F11:$AI12)/8*2</f>
        <v>8</v>
      </c>
      <c r="AN11" s="264">
        <f t="shared" ref="AN11" si="2">SUM(AK11:AM12)</f>
        <v>29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28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227"/>
      <c r="AK14" s="260">
        <f>((SUM(F14:AI14))/8)-(SUMIF($F$6:$AI$6,"C.Nhật",F14:AI14)/8)</f>
        <v>21</v>
      </c>
      <c r="AL14" s="260">
        <f>SUM(F15:AI15)/8*1.5</f>
        <v>0</v>
      </c>
      <c r="AM14" s="262">
        <f>SUMIF($F$6:$AI$6,"C.Nhật",$F14:$AI15)/8*2</f>
        <v>8</v>
      </c>
      <c r="AN14" s="264">
        <f>SUM(AK14:AM15)</f>
        <v>29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28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227"/>
      <c r="AK16" s="260">
        <f>((SUM(F16:AI16))/8)-(SUMIF($F$6:$AI$6,"C.Nhật",F16:AI16)/8)</f>
        <v>21</v>
      </c>
      <c r="AL16" s="260">
        <f>SUM(F17:AI17)/8*1.5</f>
        <v>0</v>
      </c>
      <c r="AM16" s="262">
        <f>SUMIF($F$6:$AI$6,"C.Nhật",$F16:$AI17)/8*2</f>
        <v>8</v>
      </c>
      <c r="AN16" s="264">
        <f t="shared" ref="AN16" si="3">SUM(AK16:AM17)</f>
        <v>29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28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227"/>
      <c r="AK18" s="260">
        <f>((SUM(F18:AI18))/8)-(SUMIF($F$6:$AI$6,"C.Nhật",F18:AI18)/8)</f>
        <v>21</v>
      </c>
      <c r="AL18" s="260">
        <f>SUM(F19:AI19)/8*1.5</f>
        <v>0</v>
      </c>
      <c r="AM18" s="262">
        <f>SUMIF($F$6:$AI$6,"C.Nhật",$F18:$AI19)/8*2</f>
        <v>8</v>
      </c>
      <c r="AN18" s="264">
        <f t="shared" ref="AN18" si="4">SUM(AK18:AM19)</f>
        <v>29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28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4:A15"/>
    <mergeCell ref="B14:B15"/>
    <mergeCell ref="A16:A17"/>
    <mergeCell ref="B16:B17"/>
    <mergeCell ref="C16:C17"/>
    <mergeCell ref="C14:C15"/>
    <mergeCell ref="D16:D17"/>
    <mergeCell ref="AK16:AK17"/>
    <mergeCell ref="A18:A19"/>
    <mergeCell ref="B18:B19"/>
    <mergeCell ref="C18:C19"/>
    <mergeCell ref="D18:D19"/>
    <mergeCell ref="AK18:AK19"/>
    <mergeCell ref="AR11:AR12"/>
    <mergeCell ref="AS11:AS12"/>
    <mergeCell ref="AL11:AL12"/>
    <mergeCell ref="AR18:AR19"/>
    <mergeCell ref="AS18:AS19"/>
    <mergeCell ref="AR14:AR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8:AL19"/>
    <mergeCell ref="A11:A12"/>
    <mergeCell ref="B11:B12"/>
    <mergeCell ref="C11:C12"/>
    <mergeCell ref="D11:D12"/>
    <mergeCell ref="AK11:AK12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P18:AP19"/>
    <mergeCell ref="AQ18:AQ19"/>
    <mergeCell ref="AL14:AL15"/>
    <mergeCell ref="AM14:AM15"/>
    <mergeCell ref="AN14:AN15"/>
    <mergeCell ref="AO14:AO15"/>
    <mergeCell ref="AP14:AP15"/>
    <mergeCell ref="AM11:AM12"/>
    <mergeCell ref="AN11:AN12"/>
    <mergeCell ref="AO11:AO12"/>
    <mergeCell ref="AP11:AP12"/>
    <mergeCell ref="AQ11:AQ12"/>
  </mergeCells>
  <conditionalFormatting sqref="F5:AJ6 F9:AJ12">
    <cfRule type="expression" dxfId="9" priority="55" stopIfTrue="1">
      <formula>IF(WEEKDAY(F$5)=1,TRUE,FALSE)</formula>
    </cfRule>
  </conditionalFormatting>
  <conditionalFormatting sqref="F11:AJ12">
    <cfRule type="expression" dxfId="8" priority="54" stopIfTrue="1">
      <formula>IF(WEEKDAY(F$5)=1,TRUE,FALSE)</formula>
    </cfRule>
  </conditionalFormatting>
  <conditionalFormatting sqref="AJ14:AJ19">
    <cfRule type="expression" dxfId="7" priority="6" stopIfTrue="1">
      <formula>IF(WEEKDAY(AJ$5)=1,TRUE,FALSE)</formula>
    </cfRule>
  </conditionalFormatting>
  <conditionalFormatting sqref="AJ16:AJ17">
    <cfRule type="expression" dxfId="6" priority="5" stopIfTrue="1">
      <formula>IF(WEEKDAY(AJ$5)=1,TRUE,FALSE)</formula>
    </cfRule>
  </conditionalFormatting>
  <conditionalFormatting sqref="F14:AI19">
    <cfRule type="expression" dxfId="5" priority="2" stopIfTrue="1">
      <formula>IF(WEEKDAY(F$5)=1,TRUE,FALSE)</formula>
    </cfRule>
  </conditionalFormatting>
  <conditionalFormatting sqref="F16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11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42675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-11'!$B$8:$AS$19,36,0)</f>
        <v>21</v>
      </c>
      <c r="G10" s="145">
        <f>ROUND(E10/$U$2*F10,0)</f>
        <v>2700000</v>
      </c>
      <c r="H10" s="92">
        <f>(VLOOKUP(B10,'CC -11'!$B$8:$AS$19,37,0)+VLOOKUP(B10,'CC -11'!$B$8:$AS$19,38,0))</f>
        <v>8</v>
      </c>
      <c r="I10" s="145">
        <f t="shared" ref="I10:I11" si="3">ROUND(E10/$U$2*H10,0)</f>
        <v>1028571</v>
      </c>
      <c r="J10" s="93">
        <f t="shared" ref="J10:K11" si="4">F10+H10</f>
        <v>29</v>
      </c>
      <c r="K10" s="39">
        <f>G10+I10</f>
        <v>3728571</v>
      </c>
      <c r="L10" s="90">
        <f t="shared" ref="L10:L11" si="5">+F10*15000</f>
        <v>315000</v>
      </c>
      <c r="M10" s="40">
        <f t="shared" ref="M10:M11" si="6">K10+L10</f>
        <v>4043571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7">M10-SUM(N10:P10)</f>
        <v>4043571</v>
      </c>
      <c r="R10" s="39">
        <f>VLOOKUP(B10,DS,23,0)</f>
        <v>0</v>
      </c>
      <c r="S10" s="45">
        <f t="shared" ref="S10:S11" si="8">Q10-R10</f>
        <v>4043571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-11'!$B$8:$AS$19,36,0)</f>
        <v>21</v>
      </c>
      <c r="G11" s="145">
        <f t="shared" ref="G11" si="9">ROUND(E11/$U$2*F11,0)</f>
        <v>2400000</v>
      </c>
      <c r="H11" s="92">
        <f>(VLOOKUP(B11,'CC -11'!$B$8:$AS$19,37,0)+VLOOKUP(B11,'CC -11'!$B$8:$AS$19,38,0))</f>
        <v>8</v>
      </c>
      <c r="I11" s="145">
        <f t="shared" si="3"/>
        <v>914286</v>
      </c>
      <c r="J11" s="93">
        <f t="shared" si="4"/>
        <v>29</v>
      </c>
      <c r="K11" s="39">
        <f t="shared" si="4"/>
        <v>3314286</v>
      </c>
      <c r="L11" s="90">
        <f t="shared" si="5"/>
        <v>315000</v>
      </c>
      <c r="M11" s="40">
        <f t="shared" si="6"/>
        <v>3629286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7"/>
        <v>3629286</v>
      </c>
      <c r="R11" s="39">
        <f>VLOOKUP(B11,DS,23,0)</f>
        <v>0</v>
      </c>
      <c r="S11" s="45">
        <f t="shared" si="8"/>
        <v>3629286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1942857</v>
      </c>
      <c r="J13" s="140"/>
      <c r="K13" s="140">
        <f t="shared" ref="K13:S13" si="10">SUM(K9:K12)</f>
        <v>7042857</v>
      </c>
      <c r="L13" s="140">
        <f t="shared" si="10"/>
        <v>630000</v>
      </c>
      <c r="M13" s="140">
        <f t="shared" si="10"/>
        <v>7672857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7672857</v>
      </c>
      <c r="R13" s="140">
        <f t="shared" si="10"/>
        <v>0</v>
      </c>
      <c r="S13" s="140">
        <f t="shared" si="10"/>
        <v>7672857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-11'!$B$8:$AS$19,36,0)</f>
        <v>21</v>
      </c>
      <c r="G15" s="145">
        <f t="shared" ref="G15" si="14">ROUND(E15/$U$2*F15,0)</f>
        <v>2200000</v>
      </c>
      <c r="H15" s="92">
        <f>(VLOOKUP(B15,'CC -11'!$B$8:$AS$19,37,0)+VLOOKUP(B15,'CC -11'!$B$8:$AS$19,38,0))</f>
        <v>8</v>
      </c>
      <c r="I15" s="145">
        <f t="shared" ref="I15" si="15">ROUND(E15/$U$2*H15,0)</f>
        <v>838095</v>
      </c>
      <c r="J15" s="146">
        <f t="shared" ref="J15:K15" si="16">F15+H15</f>
        <v>29</v>
      </c>
      <c r="K15" s="39">
        <f t="shared" si="16"/>
        <v>3038095</v>
      </c>
      <c r="L15" s="90">
        <f t="shared" ref="L15" si="17">+F15*15000</f>
        <v>315000</v>
      </c>
      <c r="M15" s="40">
        <f t="shared" ref="M15" si="18">K15+L15</f>
        <v>3353095</v>
      </c>
      <c r="N15" s="40">
        <f>IF(VLOOKUP(B15,DS,9,0)="x",'L - 11'!E15*$N$4,0)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3353095</v>
      </c>
      <c r="R15" s="39">
        <f t="shared" ref="R15" si="21">VLOOKUP(B15,DS,23,0)</f>
        <v>0</v>
      </c>
      <c r="S15" s="45">
        <f>Q15-R15</f>
        <v>3353095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-11'!$B$8:$AS$19,36,0)</f>
        <v>21</v>
      </c>
      <c r="G16" s="145">
        <f t="shared" ref="G16:G17" si="25">ROUND(E16/$U$2*F16,0)</f>
        <v>2200000</v>
      </c>
      <c r="H16" s="92">
        <f>(VLOOKUP(B16,'CC -11'!$B$8:$AS$19,37,0)+VLOOKUP(B16,'CC -11'!$B$8:$AS$19,38,0))</f>
        <v>8</v>
      </c>
      <c r="I16" s="145">
        <f t="shared" ref="I16:I17" si="26">ROUND(E16/$U$2*H16,0)</f>
        <v>838095</v>
      </c>
      <c r="J16" s="146">
        <f t="shared" ref="J16:J17" si="27">F16+H16</f>
        <v>29</v>
      </c>
      <c r="K16" s="39">
        <f t="shared" ref="K16:K17" si="28">G16+I16</f>
        <v>3038095</v>
      </c>
      <c r="L16" s="90">
        <f t="shared" ref="L16:L17" si="29">+F16*15000</f>
        <v>315000</v>
      </c>
      <c r="M16" s="40">
        <f t="shared" ref="M16:M17" si="30">K16+L16</f>
        <v>3353095</v>
      </c>
      <c r="N16" s="40">
        <f>IF(VLOOKUP(B16,DS,9,0)="x",'L - 11'!E16*$N$4,0)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3353095</v>
      </c>
      <c r="R16" s="39">
        <f t="shared" ref="R16:R17" si="34">VLOOKUP(B16,DS,23,0)</f>
        <v>0</v>
      </c>
      <c r="S16" s="45">
        <f t="shared" ref="S16:S17" si="35">Q16-R16</f>
        <v>3353095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-11'!$B$8:$AS$19,36,0)</f>
        <v>21</v>
      </c>
      <c r="G17" s="145">
        <f t="shared" si="25"/>
        <v>2000000</v>
      </c>
      <c r="H17" s="92">
        <f>(VLOOKUP(B17,'CC -11'!$B$8:$AS$19,37,0)+VLOOKUP(B17,'CC -11'!$B$8:$AS$19,38,0))</f>
        <v>8</v>
      </c>
      <c r="I17" s="145">
        <f t="shared" si="26"/>
        <v>761905</v>
      </c>
      <c r="J17" s="146">
        <f t="shared" si="27"/>
        <v>29</v>
      </c>
      <c r="K17" s="39">
        <f t="shared" si="28"/>
        <v>2761905</v>
      </c>
      <c r="L17" s="90">
        <f t="shared" si="29"/>
        <v>315000</v>
      </c>
      <c r="M17" s="40">
        <f t="shared" si="30"/>
        <v>3076905</v>
      </c>
      <c r="N17" s="40">
        <f>IF(VLOOKUP(B17,DS,9,0)="x",'L - 11'!E17*$N$4,0)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3076905</v>
      </c>
      <c r="R17" s="39">
        <f t="shared" si="34"/>
        <v>0</v>
      </c>
      <c r="S17" s="45">
        <f t="shared" si="35"/>
        <v>3076905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2438095</v>
      </c>
      <c r="J19" s="140"/>
      <c r="K19" s="140">
        <f t="shared" ref="K19:S19" si="36">SUM(K14:K18)</f>
        <v>8838095</v>
      </c>
      <c r="L19" s="140">
        <f t="shared" si="36"/>
        <v>945000</v>
      </c>
      <c r="M19" s="140">
        <f t="shared" si="36"/>
        <v>9783095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9783095</v>
      </c>
      <c r="R19" s="140">
        <f t="shared" si="36"/>
        <v>0</v>
      </c>
      <c r="S19" s="140">
        <f t="shared" si="36"/>
        <v>9783095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tabSelected="1"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179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5" t="s">
        <v>28</v>
      </c>
      <c r="B5" s="245" t="s">
        <v>3</v>
      </c>
      <c r="C5" s="245" t="s">
        <v>1</v>
      </c>
      <c r="D5" s="247" t="s">
        <v>29</v>
      </c>
      <c r="E5" s="245" t="s">
        <v>30</v>
      </c>
      <c r="F5" s="118">
        <f>+E4</f>
        <v>42705</v>
      </c>
      <c r="G5" s="118">
        <f t="shared" ref="G5:AJ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 t="shared" si="0"/>
        <v>42734</v>
      </c>
      <c r="AJ5" s="118">
        <f t="shared" si="0"/>
        <v>42735</v>
      </c>
      <c r="AK5" s="248" t="s">
        <v>15</v>
      </c>
      <c r="AL5" s="249"/>
      <c r="AM5" s="250"/>
      <c r="AN5" s="251" t="s">
        <v>45</v>
      </c>
      <c r="AO5" s="251" t="s">
        <v>41</v>
      </c>
      <c r="AP5" s="251" t="s">
        <v>42</v>
      </c>
      <c r="AQ5" s="251" t="s">
        <v>43</v>
      </c>
      <c r="AR5" s="251" t="s">
        <v>44</v>
      </c>
      <c r="AS5" s="247" t="s">
        <v>0</v>
      </c>
      <c r="AT5" s="25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52"/>
      <c r="AO6" s="252"/>
      <c r="AP6" s="252"/>
      <c r="AQ6" s="252"/>
      <c r="AR6" s="252"/>
      <c r="AS6" s="246"/>
      <c r="AT6" s="25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4">
        <v>1</v>
      </c>
      <c r="B9" s="254" t="s">
        <v>162</v>
      </c>
      <c r="C9" s="256" t="str">
        <f>VLOOKUP(B9,DS,2,0)</f>
        <v>Phan Văn Hiền</v>
      </c>
      <c r="D9" s="258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60">
        <f>((SUM(F9:AJ9))/8)-(SUMIF($F$6:$AJ$6,"C.Nhật",F9:AJ9)/8)</f>
        <v>23</v>
      </c>
      <c r="AL9" s="260">
        <f>SUM(F10:AJ10)/8*1.5</f>
        <v>0</v>
      </c>
      <c r="AM9" s="262">
        <f>SUMIF($F$6:$AJ$6,"C.Nhật",$F9:$AJ10)/8*2</f>
        <v>8</v>
      </c>
      <c r="AN9" s="264">
        <f>SUM(AK9:AM10)</f>
        <v>31</v>
      </c>
      <c r="AO9" s="266">
        <v>0</v>
      </c>
      <c r="AP9" s="264"/>
      <c r="AQ9" s="264"/>
      <c r="AR9" s="264"/>
      <c r="AS9" s="26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5"/>
      <c r="B10" s="255"/>
      <c r="C10" s="257"/>
      <c r="D10" s="25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61"/>
      <c r="AL10" s="261"/>
      <c r="AM10" s="263"/>
      <c r="AN10" s="265"/>
      <c r="AO10" s="267"/>
      <c r="AP10" s="265"/>
      <c r="AQ10" s="265"/>
      <c r="AR10" s="265"/>
      <c r="AS10" s="26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4">
        <v>2</v>
      </c>
      <c r="B11" s="254" t="s">
        <v>177</v>
      </c>
      <c r="C11" s="256" t="str">
        <f>VLOOKUP(B11,DS,2,0)</f>
        <v>Nguyễn Thị Thu Sương</v>
      </c>
      <c r="D11" s="258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60">
        <f t="shared" ref="AK11" si="2">((SUM(F11:AJ11))/8)-(SUMIF($F$6:$AJ$6,"C.Nhật",F11:AJ11)/8)</f>
        <v>23</v>
      </c>
      <c r="AL11" s="260">
        <f t="shared" ref="AL11" si="3">SUM(F12:AJ12)/8*1.5</f>
        <v>0</v>
      </c>
      <c r="AM11" s="262">
        <f t="shared" ref="AM11" si="4">SUMIF($F$6:$AJ$6,"C.Nhật",$F11:$AJ12)/8*2</f>
        <v>8</v>
      </c>
      <c r="AN11" s="264">
        <f t="shared" ref="AN11" si="5">SUM(AK11:AM12)</f>
        <v>31</v>
      </c>
      <c r="AO11" s="266">
        <v>0</v>
      </c>
      <c r="AP11" s="264"/>
      <c r="AQ11" s="264"/>
      <c r="AR11" s="264"/>
      <c r="AS11" s="268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5"/>
      <c r="B12" s="255"/>
      <c r="C12" s="257"/>
      <c r="D12" s="25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61"/>
      <c r="AL12" s="261"/>
      <c r="AM12" s="263"/>
      <c r="AN12" s="265"/>
      <c r="AO12" s="267"/>
      <c r="AP12" s="265"/>
      <c r="AQ12" s="265"/>
      <c r="AR12" s="265"/>
      <c r="AS12" s="269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54">
        <v>1</v>
      </c>
      <c r="B14" s="254" t="s">
        <v>163</v>
      </c>
      <c r="C14" s="256" t="str">
        <f>VLOOKUP(B14,DS,2,0)</f>
        <v>Nguyễn Trường Giang</v>
      </c>
      <c r="D14" s="258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60">
        <f t="shared" ref="AK14" si="6">((SUM(F14:AJ14))/8)-(SUMIF($F$6:$AJ$6,"C.Nhật",F14:AJ14)/8)</f>
        <v>23</v>
      </c>
      <c r="AL14" s="260">
        <f t="shared" ref="AL14" si="7">SUM(F15:AJ15)/8*1.5</f>
        <v>0</v>
      </c>
      <c r="AM14" s="262">
        <f>SUMIF($F$6:$AJ$6,"C.Nhật",$F14:$AJ15)/8*2</f>
        <v>8</v>
      </c>
      <c r="AN14" s="264">
        <f>SUM(AK14:AM15)</f>
        <v>31</v>
      </c>
      <c r="AO14" s="266">
        <v>0</v>
      </c>
      <c r="AP14" s="264"/>
      <c r="AQ14" s="264"/>
      <c r="AR14" s="264"/>
      <c r="AS14" s="268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5"/>
      <c r="B15" s="255"/>
      <c r="C15" s="257"/>
      <c r="D15" s="259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61"/>
      <c r="AL15" s="261"/>
      <c r="AM15" s="263"/>
      <c r="AN15" s="265"/>
      <c r="AO15" s="267"/>
      <c r="AP15" s="265"/>
      <c r="AQ15" s="265"/>
      <c r="AR15" s="265"/>
      <c r="AS15" s="269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4">
        <v>2</v>
      </c>
      <c r="B16" s="254" t="s">
        <v>164</v>
      </c>
      <c r="C16" s="256" t="str">
        <f>VLOOKUP(B16,DS,2,0)</f>
        <v>Đoàn Hồng Phong</v>
      </c>
      <c r="D16" s="258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60">
        <f t="shared" ref="AK16" si="8">((SUM(F16:AJ16))/8)-(SUMIF($F$6:$AJ$6,"C.Nhật",F16:AJ16)/8)</f>
        <v>23</v>
      </c>
      <c r="AL16" s="260">
        <f t="shared" ref="AL16" si="9">SUM(F17:AJ17)/8*1.5</f>
        <v>0</v>
      </c>
      <c r="AM16" s="262">
        <f>SUMIF($F$6:$AJ$6,"C.Nhật",$F16:$AJ17)/8*2</f>
        <v>8</v>
      </c>
      <c r="AN16" s="264">
        <f t="shared" ref="AN16" si="10">SUM(AK16:AM17)</f>
        <v>31</v>
      </c>
      <c r="AO16" s="266">
        <v>0</v>
      </c>
      <c r="AP16" s="264"/>
      <c r="AQ16" s="264"/>
      <c r="AR16" s="264"/>
      <c r="AS16" s="26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5"/>
      <c r="B17" s="255"/>
      <c r="C17" s="257"/>
      <c r="D17" s="25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61"/>
      <c r="AL17" s="261"/>
      <c r="AM17" s="263"/>
      <c r="AN17" s="265"/>
      <c r="AO17" s="267"/>
      <c r="AP17" s="265"/>
      <c r="AQ17" s="265"/>
      <c r="AR17" s="265"/>
      <c r="AS17" s="26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4">
        <v>3</v>
      </c>
      <c r="B18" s="254" t="s">
        <v>165</v>
      </c>
      <c r="C18" s="256" t="str">
        <f>VLOOKUP(B18,DS,2,0)</f>
        <v>Trần Hữu Tình</v>
      </c>
      <c r="D18" s="258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60">
        <f t="shared" ref="AK18" si="11">((SUM(F18:AJ18))/8)-(SUMIF($F$6:$AJ$6,"C.Nhật",F18:AJ18)/8)</f>
        <v>23</v>
      </c>
      <c r="AL18" s="260">
        <f t="shared" ref="AL18" si="12">SUM(F19:AJ19)/8*1.5</f>
        <v>0</v>
      </c>
      <c r="AM18" s="262">
        <f>SUMIF($F$6:$AJ$6,"C.Nhật",$F18:$AJ19)/8*2</f>
        <v>8</v>
      </c>
      <c r="AN18" s="264">
        <f t="shared" ref="AN18" si="13">SUM(AK18:AM19)</f>
        <v>31</v>
      </c>
      <c r="AO18" s="266">
        <v>0</v>
      </c>
      <c r="AP18" s="264"/>
      <c r="AQ18" s="264"/>
      <c r="AR18" s="264"/>
      <c r="AS18" s="268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5"/>
      <c r="B19" s="255"/>
      <c r="C19" s="257"/>
      <c r="D19" s="25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61"/>
      <c r="AL19" s="261"/>
      <c r="AM19" s="263"/>
      <c r="AN19" s="265"/>
      <c r="AO19" s="267"/>
      <c r="AP19" s="265"/>
      <c r="AQ19" s="265"/>
      <c r="AR19" s="265"/>
      <c r="AS19" s="269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14:A15"/>
    <mergeCell ref="B14:B15"/>
    <mergeCell ref="A16:A17"/>
    <mergeCell ref="B16:B17"/>
    <mergeCell ref="C16:C17"/>
    <mergeCell ref="C14:C15"/>
    <mergeCell ref="D16:D17"/>
    <mergeCell ref="AK16:AK17"/>
    <mergeCell ref="A18:A19"/>
    <mergeCell ref="B18:B19"/>
    <mergeCell ref="C18:C19"/>
    <mergeCell ref="D18:D19"/>
    <mergeCell ref="AK18:AK19"/>
    <mergeCell ref="AR11:AR12"/>
    <mergeCell ref="AS11:AS12"/>
    <mergeCell ref="AL11:AL12"/>
    <mergeCell ref="AR18:AR19"/>
    <mergeCell ref="AS18:AS19"/>
    <mergeCell ref="AR14:AR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8:AL19"/>
    <mergeCell ref="A11:A12"/>
    <mergeCell ref="B11:B12"/>
    <mergeCell ref="C11:C12"/>
    <mergeCell ref="D11:D12"/>
    <mergeCell ref="AK11:AK12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P18:AP19"/>
    <mergeCell ref="AQ18:AQ19"/>
    <mergeCell ref="AL14:AL15"/>
    <mergeCell ref="AM14:AM15"/>
    <mergeCell ref="AN14:AN15"/>
    <mergeCell ref="AO14:AO15"/>
    <mergeCell ref="AP14:AP15"/>
    <mergeCell ref="AM11:AM12"/>
    <mergeCell ref="AN11:AN12"/>
    <mergeCell ref="AO11:AO12"/>
    <mergeCell ref="AP11:AP12"/>
    <mergeCell ref="AQ11:AQ12"/>
  </mergeCells>
  <conditionalFormatting sqref="F5:AJ6 F9:AJ12">
    <cfRule type="expression" dxfId="3" priority="34" stopIfTrue="1">
      <formula>IF(WEEKDAY(F$5)=1,TRUE,FALSE)</formula>
    </cfRule>
  </conditionalFormatting>
  <conditionalFormatting sqref="F9:AJ12">
    <cfRule type="expression" dxfId="2" priority="33" stopIfTrue="1">
      <formula>IF(WEEKDAY(F$5)=1,TRUE,FALSE)</formula>
    </cfRule>
  </conditionalFormatting>
  <conditionalFormatting sqref="F14:AJ19">
    <cfRule type="expression" dxfId="1" priority="2" stopIfTrue="1">
      <formula>IF(WEEKDAY(F$5)=1,TRUE,FALSE)</formula>
    </cfRule>
  </conditionalFormatting>
  <conditionalFormatting sqref="F14:AJ1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0" t="str">
        <f>"BẢNG THANH TOÁN LƯƠNG THÁNG"&amp;" "&amp;TEXT($E$4,"mm")&amp;" / "&amp;TEXT($E$4,"yyyy")</f>
        <v>BẢNG THANH TOÁN LƯƠNG THÁNG 12 / 2016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72" t="s">
        <v>179</v>
      </c>
      <c r="S1" s="273"/>
      <c r="T1" s="274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23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42705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5" t="s">
        <v>19</v>
      </c>
      <c r="B5" s="275" t="s">
        <v>20</v>
      </c>
      <c r="C5" s="238" t="s">
        <v>1</v>
      </c>
      <c r="D5" s="238" t="s">
        <v>2</v>
      </c>
      <c r="E5" s="241" t="s">
        <v>56</v>
      </c>
      <c r="F5" s="278" t="s">
        <v>26</v>
      </c>
      <c r="G5" s="279"/>
      <c r="H5" s="279"/>
      <c r="I5" s="279"/>
      <c r="J5" s="279"/>
      <c r="K5" s="280"/>
      <c r="L5" s="277" t="s">
        <v>57</v>
      </c>
      <c r="M5" s="277" t="s">
        <v>5</v>
      </c>
      <c r="N5" s="238" t="s">
        <v>6</v>
      </c>
      <c r="O5" s="238"/>
      <c r="P5" s="238"/>
      <c r="Q5" s="277" t="s">
        <v>7</v>
      </c>
      <c r="R5" s="277" t="s">
        <v>8</v>
      </c>
      <c r="S5" s="277" t="s">
        <v>9</v>
      </c>
      <c r="T5" s="23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6"/>
      <c r="B6" s="276"/>
      <c r="C6" s="238"/>
      <c r="D6" s="238"/>
      <c r="E6" s="241"/>
      <c r="F6" s="278" t="s">
        <v>59</v>
      </c>
      <c r="G6" s="280"/>
      <c r="H6" s="278" t="s">
        <v>158</v>
      </c>
      <c r="I6" s="279"/>
      <c r="J6" s="284" t="s">
        <v>27</v>
      </c>
      <c r="K6" s="277" t="s">
        <v>4</v>
      </c>
      <c r="L6" s="281"/>
      <c r="M6" s="281"/>
      <c r="N6" s="286" t="s">
        <v>12</v>
      </c>
      <c r="O6" s="277" t="s">
        <v>13</v>
      </c>
      <c r="P6" s="277" t="s">
        <v>34</v>
      </c>
      <c r="Q6" s="281"/>
      <c r="R6" s="281"/>
      <c r="S6" s="281"/>
      <c r="T6" s="24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6"/>
      <c r="B7" s="276"/>
      <c r="C7" s="277"/>
      <c r="D7" s="277"/>
      <c r="E7" s="241"/>
      <c r="F7" s="218" t="s">
        <v>40</v>
      </c>
      <c r="G7" s="215" t="s">
        <v>18</v>
      </c>
      <c r="H7" s="218" t="s">
        <v>40</v>
      </c>
      <c r="I7" s="128" t="s">
        <v>18</v>
      </c>
      <c r="J7" s="285"/>
      <c r="K7" s="281"/>
      <c r="L7" s="282"/>
      <c r="M7" s="282"/>
      <c r="N7" s="287"/>
      <c r="O7" s="281"/>
      <c r="P7" s="281"/>
      <c r="Q7" s="281"/>
      <c r="R7" s="281"/>
      <c r="S7" s="281"/>
      <c r="T7" s="24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-12'!$B$8:$AS$19,36,0)</f>
        <v>23</v>
      </c>
      <c r="G10" s="145">
        <f t="shared" ref="G10:G11" si="3">ROUND(E10/$U$2*F10,0)</f>
        <v>2700000</v>
      </c>
      <c r="H10" s="92">
        <f>(VLOOKUP(B10,'CC -12'!$B$8:$AS$19,37,0)+VLOOKUP(B10,'CC -12'!$B$8:$AS$19,38,0))</f>
        <v>8</v>
      </c>
      <c r="I10" s="145">
        <f t="shared" ref="I10:I11" si="4">ROUND(E10/$U$2*H10,0)</f>
        <v>939130</v>
      </c>
      <c r="J10" s="93">
        <f t="shared" ref="J10:K11" si="5">F10+H10</f>
        <v>31</v>
      </c>
      <c r="K10" s="39">
        <f>G10+I10</f>
        <v>3639130</v>
      </c>
      <c r="L10" s="90">
        <f t="shared" ref="L10:L11" si="6">+F10*15000</f>
        <v>345000</v>
      </c>
      <c r="M10" s="40">
        <f t="shared" ref="M10:M11" si="7">K10+L10</f>
        <v>3984130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3984130</v>
      </c>
      <c r="R10" s="39">
        <f>VLOOKUP(B10,DS,23,0)</f>
        <v>0</v>
      </c>
      <c r="S10" s="45">
        <f t="shared" ref="S10:S11" si="9">Q10-R10</f>
        <v>3984130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-12'!$B$8:$AS$19,36,0)</f>
        <v>23</v>
      </c>
      <c r="G11" s="145">
        <f t="shared" si="3"/>
        <v>2400000</v>
      </c>
      <c r="H11" s="92">
        <f>(VLOOKUP(B11,'CC -12'!$B$8:$AS$19,37,0)+VLOOKUP(B11,'CC -12'!$B$8:$AS$19,38,0))</f>
        <v>8</v>
      </c>
      <c r="I11" s="145">
        <f t="shared" si="4"/>
        <v>834783</v>
      </c>
      <c r="J11" s="93">
        <f t="shared" si="5"/>
        <v>31</v>
      </c>
      <c r="K11" s="39">
        <f t="shared" si="5"/>
        <v>3234783</v>
      </c>
      <c r="L11" s="90">
        <f t="shared" si="6"/>
        <v>345000</v>
      </c>
      <c r="M11" s="40">
        <f t="shared" si="7"/>
        <v>3579783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3579783</v>
      </c>
      <c r="R11" s="39">
        <f>VLOOKUP(B11,DS,23,0)</f>
        <v>0</v>
      </c>
      <c r="S11" s="45">
        <f t="shared" si="9"/>
        <v>3579783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83" t="s">
        <v>25</v>
      </c>
      <c r="B13" s="283"/>
      <c r="C13" s="283"/>
      <c r="D13" s="283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1773913</v>
      </c>
      <c r="J13" s="140"/>
      <c r="K13" s="140">
        <f t="shared" ref="K13:S13" si="10">SUM(K9:K12)</f>
        <v>6873913</v>
      </c>
      <c r="L13" s="140">
        <f t="shared" si="10"/>
        <v>690000</v>
      </c>
      <c r="M13" s="140">
        <f t="shared" si="10"/>
        <v>7563913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7563913</v>
      </c>
      <c r="R13" s="140">
        <f t="shared" si="10"/>
        <v>0</v>
      </c>
      <c r="S13" s="140">
        <f t="shared" si="10"/>
        <v>7563913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-12'!$B$8:$AS$19,36,0)</f>
        <v>23</v>
      </c>
      <c r="G15" s="145">
        <f t="shared" ref="G15" si="14">ROUND(E15/$U$2*F15,0)</f>
        <v>2200000</v>
      </c>
      <c r="H15" s="92">
        <f>(VLOOKUP(B15,'CC -12'!$B$8:$AS$19,37,0)+VLOOKUP(B15,'CC -12'!$B$8:$AS$19,38,0))</f>
        <v>8</v>
      </c>
      <c r="I15" s="145">
        <f t="shared" ref="I15" si="15">ROUND(E15/$U$2*H15,0)</f>
        <v>765217</v>
      </c>
      <c r="J15" s="146">
        <f t="shared" ref="J15:K15" si="16">F15+H15</f>
        <v>31</v>
      </c>
      <c r="K15" s="39">
        <f t="shared" si="16"/>
        <v>2965217</v>
      </c>
      <c r="L15" s="90">
        <f t="shared" ref="L15" si="17">+F15*15000</f>
        <v>345000</v>
      </c>
      <c r="M15" s="40">
        <f t="shared" ref="M15" si="18">K15+L15</f>
        <v>3310217</v>
      </c>
      <c r="N15" s="40">
        <f>IF(VLOOKUP(B15,DS,9,0)="x",'L - 12'!E15*$N$4,0)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3310217</v>
      </c>
      <c r="R15" s="39">
        <f t="shared" ref="R15" si="21">VLOOKUP(B15,DS,23,0)</f>
        <v>0</v>
      </c>
      <c r="S15" s="45">
        <f>Q15-R15</f>
        <v>3310217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-12'!$B$8:$AS$19,36,0)</f>
        <v>23</v>
      </c>
      <c r="G16" s="145">
        <f t="shared" ref="G16:G17" si="25">ROUND(E16/$U$2*F16,0)</f>
        <v>2200000</v>
      </c>
      <c r="H16" s="92">
        <f>(VLOOKUP(B16,'CC -12'!$B$8:$AS$19,37,0)+VLOOKUP(B16,'CC -12'!$B$8:$AS$19,38,0))</f>
        <v>8</v>
      </c>
      <c r="I16" s="145">
        <f t="shared" ref="I16:I17" si="26">ROUND(E16/$U$2*H16,0)</f>
        <v>765217</v>
      </c>
      <c r="J16" s="146">
        <f t="shared" ref="J16:J17" si="27">F16+H16</f>
        <v>31</v>
      </c>
      <c r="K16" s="39">
        <f t="shared" ref="K16:K17" si="28">G16+I16</f>
        <v>2965217</v>
      </c>
      <c r="L16" s="90">
        <f t="shared" ref="L16:L17" si="29">+F16*15000</f>
        <v>345000</v>
      </c>
      <c r="M16" s="40">
        <f t="shared" ref="M16:M17" si="30">K16+L16</f>
        <v>3310217</v>
      </c>
      <c r="N16" s="40">
        <f>IF(VLOOKUP(B16,DS,9,0)="x",'L - 12'!E16*$N$4,0)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3310217</v>
      </c>
      <c r="R16" s="39">
        <f t="shared" ref="R16:R17" si="34">VLOOKUP(B16,DS,23,0)</f>
        <v>0</v>
      </c>
      <c r="S16" s="45">
        <f t="shared" ref="S16:S17" si="35">Q16-R16</f>
        <v>3310217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-12'!$B$8:$AS$19,36,0)</f>
        <v>23</v>
      </c>
      <c r="G17" s="145">
        <f t="shared" si="25"/>
        <v>2000000</v>
      </c>
      <c r="H17" s="92">
        <f>(VLOOKUP(B17,'CC -12'!$B$8:$AS$19,37,0)+VLOOKUP(B17,'CC -12'!$B$8:$AS$19,38,0))</f>
        <v>8</v>
      </c>
      <c r="I17" s="145">
        <f t="shared" si="26"/>
        <v>695652</v>
      </c>
      <c r="J17" s="146">
        <f t="shared" si="27"/>
        <v>31</v>
      </c>
      <c r="K17" s="39">
        <f t="shared" si="28"/>
        <v>2695652</v>
      </c>
      <c r="L17" s="90">
        <f t="shared" si="29"/>
        <v>345000</v>
      </c>
      <c r="M17" s="40">
        <f t="shared" si="30"/>
        <v>3040652</v>
      </c>
      <c r="N17" s="40">
        <f>IF(VLOOKUP(B17,DS,9,0)="x",'L - 12'!E17*$N$4,0)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3040652</v>
      </c>
      <c r="R17" s="39">
        <f t="shared" si="34"/>
        <v>0</v>
      </c>
      <c r="S17" s="45">
        <f t="shared" si="35"/>
        <v>3040652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83" t="s">
        <v>25</v>
      </c>
      <c r="B19" s="283"/>
      <c r="C19" s="283"/>
      <c r="D19" s="283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2226086</v>
      </c>
      <c r="J19" s="140"/>
      <c r="K19" s="140">
        <f t="shared" ref="K19:S19" si="36">SUM(K14:K18)</f>
        <v>8626086</v>
      </c>
      <c r="L19" s="140">
        <f t="shared" si="36"/>
        <v>1035000</v>
      </c>
      <c r="M19" s="140">
        <f t="shared" si="36"/>
        <v>9661086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9661086</v>
      </c>
      <c r="R19" s="140">
        <f t="shared" si="36"/>
        <v>0</v>
      </c>
      <c r="S19" s="140">
        <f t="shared" si="36"/>
        <v>9661086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2016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2016-11-30T08:42:43Z</dcterms:modified>
</cp:coreProperties>
</file>